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75" yWindow="4560" windowWidth="20730" windowHeight="11760" tabRatio="798" activeTab="0"/>
  </bookViews>
  <sheets>
    <sheet name="9.2.2" sheetId="1" r:id="rId1"/>
  </sheets>
  <definedNames/>
  <calcPr fullCalcOnLoad="1"/>
</workbook>
</file>

<file path=xl/sharedStrings.xml><?xml version="1.0" encoding="utf-8"?>
<sst xmlns="http://schemas.openxmlformats.org/spreadsheetml/2006/main" count="39" uniqueCount="34">
  <si>
    <t>-</t>
  </si>
  <si>
    <t>9.2.2 Manufacturing employment as a proportion of total employment</t>
  </si>
  <si>
    <t>Jobs created by manufacturing industry</t>
  </si>
  <si>
    <t>thousand person</t>
  </si>
  <si>
    <t>Measurement unit</t>
  </si>
  <si>
    <t>Years</t>
  </si>
  <si>
    <t>Global indicator</t>
  </si>
  <si>
    <t>National indicator</t>
  </si>
  <si>
    <t>Data source</t>
  </si>
  <si>
    <t>Agency responsible for compilation of indicator (co-implementing agencies)</t>
  </si>
  <si>
    <t>Agency responsible for policy implementation (co-implementing agencies)</t>
  </si>
  <si>
    <t>Global without changes - 1, 
global with minor changes-2, 
alternative national-3, 
additional national-4</t>
  </si>
  <si>
    <t>Ministry of Industry and Infrastructure Development of the Republic of Kazakhstan,  Ministry of National Economy of the Republic of Kazakhstan, Ministry of Agriculture of the Republic of Kazakhstan, Ministry of Finance of the Republic of Kazakhstan, Ministry of Energy of the Republic of Kazakhstan, Ministry of Labour and Social Protection of the Population of the Republic of Kazakhstan, Local authorities</t>
  </si>
  <si>
    <t>Ministry of Industry and Infrastructure Development of the Republic of Kazakhstan, Local authorities, Ministry of Finance of the Republic of Kazakhstan, Ministry of National Economy of the Republic of Kazakhstan, Ministry of Labour and Social Protection of the Population of the Republic of Kazakhstan,  Ministry of Agriculture of the Republic of Kazakhstan, Local authorities</t>
  </si>
  <si>
    <t>Regions</t>
  </si>
  <si>
    <t>Akmola</t>
  </si>
  <si>
    <t>Aktobe</t>
  </si>
  <si>
    <t>Almaty</t>
  </si>
  <si>
    <t>Atyrau</t>
  </si>
  <si>
    <t>Batys Kazakhstan</t>
  </si>
  <si>
    <t>Zhambyl</t>
  </si>
  <si>
    <t>Karagandy</t>
  </si>
  <si>
    <t>Kostanai</t>
  </si>
  <si>
    <t>Kyzylorda</t>
  </si>
  <si>
    <t>Mangystau</t>
  </si>
  <si>
    <t>Ontustik Kazakhstan</t>
  </si>
  <si>
    <t>Pavlodar</t>
  </si>
  <si>
    <t>Soltustik Kazakhstan</t>
  </si>
  <si>
    <t>Turkistan</t>
  </si>
  <si>
    <t>Shygys Kazakhstan</t>
  </si>
  <si>
    <t>Almaty city</t>
  </si>
  <si>
    <t>Shymkent city</t>
  </si>
  <si>
    <t>Local authorities</t>
  </si>
  <si>
    <t>Astana city</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</si>
</sst>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 ###\ ###\ ###\ ##0.0"/>
    <numFmt numFmtId="177" formatCode="0.0000000"/>
    <numFmt numFmtId="178" formatCode="###\ ###\ ###\ ##0.0"/>
    <numFmt numFmtId="179" formatCode="0.00;[Red]0.00"/>
    <numFmt numFmtId="180" formatCode="#,##0.0000"/>
    <numFmt numFmtId="181" formatCode="#,##0.00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 ###\ ###\ ##0.00"/>
  </numFmts>
  <fonts count="50">
    <font>
      <sz val="10"/>
      <name val="Arial"/>
      <family val="2"/>
    </font>
    <font>
      <sz val="7"/>
      <name val="Times New Roman"/>
      <family val="1"/>
    </font>
    <font>
      <sz val="10"/>
      <name val="Times New Roman Cyr"/>
      <family val="0"/>
    </font>
    <font>
      <sz val="11"/>
      <color indexed="8"/>
      <name val="Calibri"/>
      <family val="2"/>
    </font>
    <font>
      <sz val="8"/>
      <name val="Arial"/>
      <family val="2"/>
    </font>
    <font>
      <sz val="11"/>
      <color indexed="9"/>
      <name val="Calibri"/>
      <family val="2"/>
    </font>
    <font>
      <sz val="12"/>
      <color indexed="8"/>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sz val="8"/>
      <name val="Calibri"/>
      <family val="2"/>
    </font>
    <font>
      <b/>
      <sz val="8"/>
      <color indexed="9"/>
      <name val="Calibri"/>
      <family val="2"/>
    </font>
    <font>
      <b/>
      <sz val="9"/>
      <color indexed="9"/>
      <name val="Calibri"/>
      <family val="2"/>
    </font>
    <font>
      <sz val="11"/>
      <color theme="1"/>
      <name val="Calibri"/>
      <family val="2"/>
    </font>
    <font>
      <sz val="11"/>
      <color theme="0"/>
      <name val="Calibri"/>
      <family val="2"/>
    </font>
    <font>
      <sz val="12"/>
      <color theme="1"/>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0"/>
      <name val="Calibri"/>
      <family val="2"/>
    </font>
    <font>
      <b/>
      <sz val="9"/>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6"/>
        <bgColor indexed="64"/>
      </patternFill>
    </fill>
    <fill>
      <patternFill patternType="solid">
        <fgColor theme="0"/>
        <bgColor indexed="64"/>
      </patternFill>
    </fill>
    <fill>
      <patternFill patternType="solid">
        <fgColor theme="3"/>
        <bgColor indexed="64"/>
      </patternFill>
    </fill>
    <fill>
      <patternFill patternType="solid">
        <fgColor rgb="FF214F8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2" fontId="0" fillId="0" borderId="0" applyFill="0" applyBorder="0" applyAlignment="0" applyProtection="0"/>
    <xf numFmtId="170" fontId="0"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3" fillId="0" borderId="0">
      <alignment/>
      <protection/>
    </xf>
    <xf numFmtId="0" fontId="0"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9" fontId="2"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ill="0" applyBorder="0" applyAlignment="0" applyProtection="0"/>
    <xf numFmtId="171" fontId="0" fillId="0" borderId="0" applyFill="0" applyBorder="0" applyAlignment="0" applyProtection="0"/>
    <xf numFmtId="0" fontId="47" fillId="32" borderId="0" applyNumberFormat="0" applyBorder="0" applyAlignment="0" applyProtection="0"/>
  </cellStyleXfs>
  <cellXfs count="38">
    <xf numFmtId="0" fontId="0" fillId="0" borderId="0" xfId="0" applyAlignment="1">
      <alignment/>
    </xf>
    <xf numFmtId="0" fontId="24" fillId="0" borderId="0" xfId="0" applyFont="1" applyAlignment="1">
      <alignment/>
    </xf>
    <xf numFmtId="0" fontId="1" fillId="0" borderId="10" xfId="0" applyFont="1" applyFill="1" applyBorder="1" applyAlignment="1">
      <alignment horizontal="center" vertical="center" wrapText="1"/>
    </xf>
    <xf numFmtId="0" fontId="0" fillId="0" borderId="0" xfId="0" applyFill="1" applyAlignment="1">
      <alignment/>
    </xf>
    <xf numFmtId="175" fontId="25" fillId="0" borderId="10" xfId="0" applyNumberFormat="1" applyFont="1" applyFill="1" applyBorder="1" applyAlignment="1">
      <alignment horizontal="right"/>
    </xf>
    <xf numFmtId="0" fontId="25" fillId="0" borderId="10" xfId="0" applyFont="1" applyFill="1" applyBorder="1" applyAlignment="1">
      <alignment horizontal="right"/>
    </xf>
    <xf numFmtId="175" fontId="25" fillId="0" borderId="10" xfId="0" applyNumberFormat="1" applyFont="1" applyFill="1" applyBorder="1" applyAlignment="1">
      <alignment/>
    </xf>
    <xf numFmtId="0" fontId="0" fillId="0" borderId="0" xfId="0" applyFill="1" applyBorder="1" applyAlignment="1">
      <alignment/>
    </xf>
    <xf numFmtId="0" fontId="25" fillId="0" borderId="11" xfId="0" applyFont="1" applyFill="1" applyBorder="1" applyAlignment="1">
      <alignment horizontal="right" vertical="top" wrapText="1"/>
    </xf>
    <xf numFmtId="0" fontId="0" fillId="0" borderId="10" xfId="0" applyFont="1" applyFill="1" applyBorder="1" applyAlignment="1">
      <alignment/>
    </xf>
    <xf numFmtId="0" fontId="25" fillId="0" borderId="10" xfId="0" applyFont="1" applyFill="1" applyBorder="1" applyAlignment="1">
      <alignment horizontal="left" vertical="top" wrapText="1"/>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top" wrapText="1"/>
    </xf>
    <xf numFmtId="175" fontId="25" fillId="0" borderId="12" xfId="0" applyNumberFormat="1" applyFont="1" applyFill="1" applyBorder="1" applyAlignment="1">
      <alignment/>
    </xf>
    <xf numFmtId="0" fontId="25" fillId="0" borderId="10" xfId="0" applyFont="1" applyFill="1" applyBorder="1" applyAlignment="1">
      <alignment horizontal="left" vertical="top" wrapText="1"/>
    </xf>
    <xf numFmtId="0" fontId="25" fillId="0" borderId="10" xfId="0" applyFont="1" applyFill="1" applyBorder="1" applyAlignment="1">
      <alignment horizontal="center" vertical="center" wrapText="1"/>
    </xf>
    <xf numFmtId="0" fontId="4" fillId="0" borderId="0" xfId="0" applyFont="1" applyAlignment="1">
      <alignment/>
    </xf>
    <xf numFmtId="0" fontId="26" fillId="33" borderId="13"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25" fillId="0" borderId="10" xfId="0" applyFont="1" applyFill="1" applyBorder="1" applyAlignment="1">
      <alignment vertical="top" wrapText="1"/>
    </xf>
    <xf numFmtId="1" fontId="25" fillId="0" borderId="10" xfId="0" applyNumberFormat="1" applyFont="1" applyFill="1" applyBorder="1" applyAlignment="1">
      <alignment/>
    </xf>
    <xf numFmtId="175" fontId="25" fillId="34" borderId="10" xfId="0" applyNumberFormat="1" applyFont="1" applyFill="1" applyBorder="1" applyAlignment="1">
      <alignment/>
    </xf>
    <xf numFmtId="175" fontId="25" fillId="34" borderId="10" xfId="0" applyNumberFormat="1" applyFont="1" applyFill="1" applyBorder="1" applyAlignment="1">
      <alignment horizontal="right"/>
    </xf>
    <xf numFmtId="175" fontId="0" fillId="0" borderId="10" xfId="0" applyNumberFormat="1" applyFont="1" applyFill="1" applyBorder="1" applyAlignment="1">
      <alignment horizontal="right"/>
    </xf>
    <xf numFmtId="0" fontId="0" fillId="34" borderId="10" xfId="0" applyFont="1" applyFill="1" applyBorder="1" applyAlignment="1">
      <alignment horizontal="right"/>
    </xf>
    <xf numFmtId="1" fontId="25" fillId="0" borderId="10" xfId="0" applyNumberFormat="1" applyFont="1" applyFill="1" applyBorder="1" applyAlignment="1">
      <alignment horizontal="right"/>
    </xf>
    <xf numFmtId="0" fontId="26" fillId="33" borderId="14" xfId="0" applyFont="1" applyFill="1" applyBorder="1" applyAlignment="1">
      <alignment horizontal="center" vertical="center" wrapText="1"/>
    </xf>
    <xf numFmtId="49" fontId="48" fillId="35" borderId="14" xfId="0" applyNumberFormat="1" applyFont="1" applyFill="1" applyBorder="1" applyAlignment="1">
      <alignment horizontal="center" vertical="center" wrapText="1"/>
    </xf>
    <xf numFmtId="49" fontId="48" fillId="35" borderId="15" xfId="0" applyNumberFormat="1" applyFont="1" applyFill="1" applyBorder="1" applyAlignment="1">
      <alignment horizontal="center" vertical="center" wrapText="1"/>
    </xf>
    <xf numFmtId="0" fontId="49" fillId="36" borderId="14" xfId="0" applyFont="1" applyFill="1" applyBorder="1" applyAlignment="1">
      <alignment horizontal="center" vertical="center" wrapText="1"/>
    </xf>
    <xf numFmtId="0" fontId="49" fillId="36" borderId="15"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26" fillId="33" borderId="16" xfId="0" applyFont="1" applyFill="1" applyBorder="1" applyAlignment="1">
      <alignment horizontal="center" vertical="center" wrapText="1"/>
    </xf>
    <xf numFmtId="0" fontId="49" fillId="35" borderId="14" xfId="0" applyFont="1" applyFill="1" applyBorder="1" applyAlignment="1">
      <alignment horizontal="center" vertical="center" wrapText="1"/>
    </xf>
    <xf numFmtId="0" fontId="49" fillId="35" borderId="15" xfId="0" applyFont="1" applyFill="1" applyBorder="1" applyAlignment="1">
      <alignment horizontal="center" vertical="center" wrapText="1"/>
    </xf>
    <xf numFmtId="0" fontId="26" fillId="33" borderId="17" xfId="0" applyFont="1" applyFill="1" applyBorder="1" applyAlignment="1">
      <alignment horizontal="center" vertical="center" wrapText="1"/>
    </xf>
    <xf numFmtId="0" fontId="26" fillId="33" borderId="18" xfId="0" applyFont="1" applyFill="1" applyBorder="1" applyAlignment="1">
      <alignment horizontal="center" vertical="center" wrapText="1"/>
    </xf>
    <xf numFmtId="0" fontId="26" fillId="33" borderId="19" xfId="0"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3 2 2 2" xfId="56"/>
    <cellStyle name="Обычный 4" xfId="57"/>
    <cellStyle name="Обычный 5" xfId="58"/>
    <cellStyle name="Обычный 6" xfId="59"/>
    <cellStyle name="Обычный 7" xfId="60"/>
    <cellStyle name="Followed Hyperlink" xfId="61"/>
    <cellStyle name="Плохой" xfId="62"/>
    <cellStyle name="Пояснение" xfId="63"/>
    <cellStyle name="Примечание" xfId="64"/>
    <cellStyle name="Percent" xfId="65"/>
    <cellStyle name="Процентный 2"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EE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89"/>
  <sheetViews>
    <sheetView tabSelected="1" zoomScale="99" zoomScaleNormal="99" zoomScalePageLayoutView="0" workbookViewId="0" topLeftCell="A1">
      <pane ySplit="3" topLeftCell="A4" activePane="bottomLeft" state="frozen"/>
      <selection pane="topLeft" activeCell="A1" sqref="A1"/>
      <selection pane="bottomLeft" activeCell="C25" sqref="C25"/>
    </sheetView>
  </sheetViews>
  <sheetFormatPr defaultColWidth="8.8515625" defaultRowHeight="12.75"/>
  <cols>
    <col min="1" max="1" width="29.421875" style="0" customWidth="1"/>
    <col min="2" max="2" width="27.00390625" style="0" customWidth="1"/>
    <col min="3" max="3" width="16.421875" style="0" customWidth="1"/>
    <col min="4" max="8" width="10.7109375" style="0" customWidth="1"/>
    <col min="9" max="9" width="10.7109375" style="3" customWidth="1"/>
    <col min="10" max="16" width="10.7109375" style="0" customWidth="1"/>
    <col min="17" max="17" width="19.28125" style="0" customWidth="1"/>
    <col min="18" max="18" width="28.140625" style="0" customWidth="1"/>
    <col min="19" max="20" width="28.8515625" style="0" customWidth="1"/>
    <col min="21" max="21" width="39.7109375" style="0" customWidth="1"/>
    <col min="22" max="22" width="26.421875" style="0" customWidth="1"/>
    <col min="23" max="23" width="35.7109375" style="0" customWidth="1"/>
    <col min="24" max="24" width="30.7109375" style="0" customWidth="1"/>
  </cols>
  <sheetData>
    <row r="1" ht="18" customHeight="1">
      <c r="A1" s="1"/>
    </row>
    <row r="2" spans="1:20" s="16" customFormat="1" ht="29.25" customHeight="1">
      <c r="A2" s="29" t="s">
        <v>6</v>
      </c>
      <c r="B2" s="31" t="s">
        <v>7</v>
      </c>
      <c r="C2" s="29" t="s">
        <v>4</v>
      </c>
      <c r="D2" s="35" t="s">
        <v>5</v>
      </c>
      <c r="E2" s="36"/>
      <c r="F2" s="36"/>
      <c r="G2" s="36"/>
      <c r="H2" s="36"/>
      <c r="I2" s="36"/>
      <c r="J2" s="36"/>
      <c r="K2" s="36"/>
      <c r="L2" s="36"/>
      <c r="M2" s="36"/>
      <c r="N2" s="36"/>
      <c r="O2" s="36"/>
      <c r="P2" s="37"/>
      <c r="Q2" s="29" t="s">
        <v>8</v>
      </c>
      <c r="R2" s="33" t="s">
        <v>9</v>
      </c>
      <c r="S2" s="29" t="s">
        <v>10</v>
      </c>
      <c r="T2" s="27" t="s">
        <v>11</v>
      </c>
    </row>
    <row r="3" spans="1:20" s="16" customFormat="1" ht="30.75" customHeight="1">
      <c r="A3" s="30"/>
      <c r="B3" s="32"/>
      <c r="C3" s="30"/>
      <c r="D3" s="17">
        <v>2010</v>
      </c>
      <c r="E3" s="17">
        <v>2011</v>
      </c>
      <c r="F3" s="17">
        <v>2012</v>
      </c>
      <c r="G3" s="17">
        <v>2013</v>
      </c>
      <c r="H3" s="17">
        <v>2014</v>
      </c>
      <c r="I3" s="17">
        <v>2015</v>
      </c>
      <c r="J3" s="17">
        <v>2016</v>
      </c>
      <c r="K3" s="17">
        <v>2017</v>
      </c>
      <c r="L3" s="17">
        <v>2018</v>
      </c>
      <c r="M3" s="17">
        <v>2019</v>
      </c>
      <c r="N3" s="18">
        <v>2020</v>
      </c>
      <c r="O3" s="17">
        <v>2021</v>
      </c>
      <c r="P3" s="26">
        <v>2022</v>
      </c>
      <c r="Q3" s="30"/>
      <c r="R3" s="34"/>
      <c r="S3" s="30"/>
      <c r="T3" s="28"/>
    </row>
    <row r="4" spans="1:20" s="3" customFormat="1" ht="135">
      <c r="A4" s="10" t="s">
        <v>1</v>
      </c>
      <c r="B4" s="14" t="s">
        <v>2</v>
      </c>
      <c r="C4" s="15" t="s">
        <v>3</v>
      </c>
      <c r="D4" s="20">
        <f>SUM(D6:D23)</f>
        <v>27.532</v>
      </c>
      <c r="E4" s="6">
        <f aca="true" t="shared" si="0" ref="E4:M4">SUM(E6:E23)</f>
        <v>26.298000000000002</v>
      </c>
      <c r="F4" s="6">
        <f t="shared" si="0"/>
        <v>20.615</v>
      </c>
      <c r="G4" s="6">
        <f t="shared" si="0"/>
        <v>20.909</v>
      </c>
      <c r="H4" s="6">
        <f t="shared" si="0"/>
        <v>21.695</v>
      </c>
      <c r="I4" s="6">
        <f t="shared" si="0"/>
        <v>21.497000000000003</v>
      </c>
      <c r="J4" s="6">
        <f>SUM(J6:J23)</f>
        <v>22.102</v>
      </c>
      <c r="K4" s="6">
        <f>SUM(K6:K23)</f>
        <v>17.901999999999997</v>
      </c>
      <c r="L4" s="6">
        <f t="shared" si="0"/>
        <v>16.793</v>
      </c>
      <c r="M4" s="6">
        <f t="shared" si="0"/>
        <v>6.152000000000001</v>
      </c>
      <c r="N4" s="21">
        <v>18.7</v>
      </c>
      <c r="O4" s="21">
        <v>8.5</v>
      </c>
      <c r="P4" s="21">
        <v>14.4</v>
      </c>
      <c r="Q4" s="19" t="s">
        <v>32</v>
      </c>
      <c r="R4" s="19" t="s">
        <v>12</v>
      </c>
      <c r="S4" s="19" t="s">
        <v>13</v>
      </c>
      <c r="T4" s="11">
        <v>1</v>
      </c>
    </row>
    <row r="5" spans="1:20" s="3" customFormat="1" ht="12.75">
      <c r="A5" s="10"/>
      <c r="B5" s="10" t="s">
        <v>14</v>
      </c>
      <c r="C5" s="2"/>
      <c r="D5" s="20"/>
      <c r="E5" s="6"/>
      <c r="F5" s="6"/>
      <c r="G5" s="6"/>
      <c r="H5" s="20"/>
      <c r="I5" s="6"/>
      <c r="J5" s="6"/>
      <c r="K5" s="6"/>
      <c r="L5" s="6"/>
      <c r="M5" s="6"/>
      <c r="N5" s="21"/>
      <c r="O5" s="21"/>
      <c r="P5" s="21"/>
      <c r="Q5" s="9"/>
      <c r="R5" s="9"/>
      <c r="S5" s="9"/>
      <c r="T5" s="9"/>
    </row>
    <row r="6" spans="1:20" s="3" customFormat="1" ht="12.75">
      <c r="A6" s="10"/>
      <c r="B6" s="5" t="s">
        <v>15</v>
      </c>
      <c r="C6" s="2"/>
      <c r="D6" s="6">
        <f>3780/1000</f>
        <v>3.78</v>
      </c>
      <c r="E6" s="6">
        <f>1870/1000</f>
        <v>1.87</v>
      </c>
      <c r="F6" s="6">
        <f>1090/1000</f>
        <v>1.09</v>
      </c>
      <c r="G6" s="6">
        <f>1033/1000</f>
        <v>1.033</v>
      </c>
      <c r="H6" s="6">
        <f>1446/1000</f>
        <v>1.446</v>
      </c>
      <c r="I6" s="6">
        <f>1971/1000</f>
        <v>1.971</v>
      </c>
      <c r="J6" s="6">
        <f>1902/1000</f>
        <v>1.902</v>
      </c>
      <c r="K6" s="6">
        <f>1819/1000</f>
        <v>1.819</v>
      </c>
      <c r="L6" s="6">
        <f>1546/1000</f>
        <v>1.546</v>
      </c>
      <c r="M6" s="6">
        <f>139/1000</f>
        <v>0.139</v>
      </c>
      <c r="N6" s="21">
        <v>1.2</v>
      </c>
      <c r="O6" s="21">
        <v>0.74</v>
      </c>
      <c r="P6" s="21">
        <v>2.4</v>
      </c>
      <c r="Q6" s="9"/>
      <c r="R6" s="9"/>
      <c r="S6" s="12"/>
      <c r="T6" s="9"/>
    </row>
    <row r="7" spans="1:20" s="3" customFormat="1" ht="12.75">
      <c r="A7" s="10"/>
      <c r="B7" s="5" t="s">
        <v>16</v>
      </c>
      <c r="C7" s="2"/>
      <c r="D7" s="6">
        <f>3033/1000</f>
        <v>3.033</v>
      </c>
      <c r="E7" s="6">
        <f>2809/1000</f>
        <v>2.809</v>
      </c>
      <c r="F7" s="6">
        <f>987/1000</f>
        <v>0.987</v>
      </c>
      <c r="G7" s="6">
        <f>1455/1000</f>
        <v>1.455</v>
      </c>
      <c r="H7" s="6">
        <f>1197/1000</f>
        <v>1.197</v>
      </c>
      <c r="I7" s="6">
        <f>2092/1000</f>
        <v>2.092</v>
      </c>
      <c r="J7" s="6">
        <f>1154/1000</f>
        <v>1.154</v>
      </c>
      <c r="K7" s="6">
        <f>746/1000</f>
        <v>0.746</v>
      </c>
      <c r="L7" s="6">
        <f>538/1000</f>
        <v>0.538</v>
      </c>
      <c r="M7" s="6">
        <f>80/1000</f>
        <v>0.08</v>
      </c>
      <c r="N7" s="21">
        <v>1.2</v>
      </c>
      <c r="O7" s="21">
        <v>0.42</v>
      </c>
      <c r="P7" s="21">
        <v>0.9</v>
      </c>
      <c r="Q7" s="9"/>
      <c r="R7" s="9"/>
      <c r="S7" s="9"/>
      <c r="T7" s="9"/>
    </row>
    <row r="8" spans="1:20" s="3" customFormat="1" ht="12.75">
      <c r="A8" s="10"/>
      <c r="B8" s="5" t="s">
        <v>17</v>
      </c>
      <c r="C8" s="2"/>
      <c r="D8" s="6">
        <f>1516/1000</f>
        <v>1.516</v>
      </c>
      <c r="E8" s="6">
        <f>2746/1000</f>
        <v>2.746</v>
      </c>
      <c r="F8" s="6">
        <f>2261/1000</f>
        <v>2.261</v>
      </c>
      <c r="G8" s="6">
        <f>2539/1000</f>
        <v>2.539</v>
      </c>
      <c r="H8" s="6">
        <f>2020/1000</f>
        <v>2.02</v>
      </c>
      <c r="I8" s="6">
        <f>1709/1000</f>
        <v>1.709</v>
      </c>
      <c r="J8" s="6">
        <f>1650/1000</f>
        <v>1.65</v>
      </c>
      <c r="K8" s="6">
        <f>1270/1000</f>
        <v>1.27</v>
      </c>
      <c r="L8" s="6">
        <f>866/1000</f>
        <v>0.866</v>
      </c>
      <c r="M8" s="6">
        <f>973/1000</f>
        <v>0.973</v>
      </c>
      <c r="N8" s="21">
        <v>2.8</v>
      </c>
      <c r="O8" s="21">
        <v>0.32</v>
      </c>
      <c r="P8" s="21">
        <v>1</v>
      </c>
      <c r="Q8" s="9"/>
      <c r="R8" s="9"/>
      <c r="S8" s="9"/>
      <c r="T8" s="9"/>
    </row>
    <row r="9" spans="1:20" s="3" customFormat="1" ht="12.75">
      <c r="A9" s="10"/>
      <c r="B9" s="5" t="s">
        <v>18</v>
      </c>
      <c r="C9" s="2"/>
      <c r="D9" s="6">
        <f>1536/1000</f>
        <v>1.536</v>
      </c>
      <c r="E9" s="6">
        <f>1198/1000</f>
        <v>1.198</v>
      </c>
      <c r="F9" s="6">
        <f>695/1000</f>
        <v>0.695</v>
      </c>
      <c r="G9" s="6">
        <f>580/1000</f>
        <v>0.58</v>
      </c>
      <c r="H9" s="6">
        <f>967/1000</f>
        <v>0.967</v>
      </c>
      <c r="I9" s="6">
        <f>980/1000</f>
        <v>0.98</v>
      </c>
      <c r="J9" s="6">
        <f>1435/1000</f>
        <v>1.435</v>
      </c>
      <c r="K9" s="6">
        <f>744/1000</f>
        <v>0.744</v>
      </c>
      <c r="L9" s="6">
        <f>362/1000</f>
        <v>0.362</v>
      </c>
      <c r="M9" s="6">
        <f>113/1000</f>
        <v>0.113</v>
      </c>
      <c r="N9" s="21">
        <v>0.6</v>
      </c>
      <c r="O9" s="21">
        <v>0.14</v>
      </c>
      <c r="P9" s="21">
        <v>0.6</v>
      </c>
      <c r="Q9" s="9"/>
      <c r="R9" s="9"/>
      <c r="S9" s="9"/>
      <c r="T9" s="9"/>
    </row>
    <row r="10" spans="1:20" s="3" customFormat="1" ht="12.75">
      <c r="A10" s="10"/>
      <c r="B10" s="5" t="s">
        <v>19</v>
      </c>
      <c r="C10" s="2"/>
      <c r="D10" s="6">
        <f>1034/1000</f>
        <v>1.034</v>
      </c>
      <c r="E10" s="6">
        <f>784/1000</f>
        <v>0.784</v>
      </c>
      <c r="F10" s="6">
        <f>756/1000</f>
        <v>0.756</v>
      </c>
      <c r="G10" s="6">
        <f>601/1000</f>
        <v>0.601</v>
      </c>
      <c r="H10" s="6">
        <f>913/1000</f>
        <v>0.913</v>
      </c>
      <c r="I10" s="6">
        <f>873/1000</f>
        <v>0.873</v>
      </c>
      <c r="J10" s="6">
        <f>1028/1000</f>
        <v>1.028</v>
      </c>
      <c r="K10" s="6">
        <f>1036/1000</f>
        <v>1.036</v>
      </c>
      <c r="L10" s="6">
        <f>497/1000</f>
        <v>0.497</v>
      </c>
      <c r="M10" s="4" t="s">
        <v>0</v>
      </c>
      <c r="N10" s="22">
        <v>0.3</v>
      </c>
      <c r="O10" s="21">
        <v>0.22</v>
      </c>
      <c r="P10" s="21">
        <v>0.6</v>
      </c>
      <c r="Q10" s="9"/>
      <c r="R10" s="9"/>
      <c r="S10" s="9"/>
      <c r="T10" s="9"/>
    </row>
    <row r="11" spans="1:20" s="3" customFormat="1" ht="12.75">
      <c r="A11" s="10"/>
      <c r="B11" s="5" t="s">
        <v>20</v>
      </c>
      <c r="C11" s="2"/>
      <c r="D11" s="13">
        <f>2805/1000</f>
        <v>2.805</v>
      </c>
      <c r="E11" s="13">
        <f>2125/1000</f>
        <v>2.125</v>
      </c>
      <c r="F11" s="6">
        <f>430/1000</f>
        <v>0.43</v>
      </c>
      <c r="G11" s="6">
        <f>838/1000</f>
        <v>0.838</v>
      </c>
      <c r="H11" s="6">
        <f>1593/1000</f>
        <v>1.593</v>
      </c>
      <c r="I11" s="6">
        <f>1215/1000</f>
        <v>1.215</v>
      </c>
      <c r="J11" s="6">
        <f>1146/1000</f>
        <v>1.146</v>
      </c>
      <c r="K11" s="6">
        <f>1416/1000</f>
        <v>1.416</v>
      </c>
      <c r="L11" s="6">
        <f>1091/1000</f>
        <v>1.091</v>
      </c>
      <c r="M11" s="6">
        <f>127/1000</f>
        <v>0.127</v>
      </c>
      <c r="N11" s="21">
        <v>1.4</v>
      </c>
      <c r="O11" s="21">
        <v>0.6</v>
      </c>
      <c r="P11" s="21">
        <v>0.6</v>
      </c>
      <c r="Q11" s="9"/>
      <c r="R11" s="9"/>
      <c r="S11" s="9"/>
      <c r="T11" s="9"/>
    </row>
    <row r="12" spans="1:20" s="3" customFormat="1" ht="12.75">
      <c r="A12" s="10"/>
      <c r="B12" s="5" t="s">
        <v>21</v>
      </c>
      <c r="C12" s="2"/>
      <c r="D12" s="6">
        <f>2163/1000</f>
        <v>2.163</v>
      </c>
      <c r="E12" s="6">
        <f>1933/1000</f>
        <v>1.933</v>
      </c>
      <c r="F12" s="6">
        <f>1610/1000</f>
        <v>1.61</v>
      </c>
      <c r="G12" s="6">
        <f>1561/1000</f>
        <v>1.561</v>
      </c>
      <c r="H12" s="6">
        <f>1637/1000</f>
        <v>1.637</v>
      </c>
      <c r="I12" s="6">
        <f>1549/1000</f>
        <v>1.549</v>
      </c>
      <c r="J12" s="6">
        <f>2098/1000</f>
        <v>2.098</v>
      </c>
      <c r="K12" s="6">
        <f>601/1000</f>
        <v>0.601</v>
      </c>
      <c r="L12" s="6">
        <f>989/1000</f>
        <v>0.989</v>
      </c>
      <c r="M12" s="6">
        <f>881/1000</f>
        <v>0.881</v>
      </c>
      <c r="N12" s="21">
        <v>2.5</v>
      </c>
      <c r="O12" s="21">
        <v>0.8</v>
      </c>
      <c r="P12" s="21">
        <v>1.7</v>
      </c>
      <c r="Q12" s="9"/>
      <c r="R12" s="9"/>
      <c r="S12" s="9"/>
      <c r="T12" s="9"/>
    </row>
    <row r="13" spans="1:20" s="3" customFormat="1" ht="12.75">
      <c r="A13" s="10"/>
      <c r="B13" s="5" t="s">
        <v>22</v>
      </c>
      <c r="C13" s="2"/>
      <c r="D13" s="6">
        <f>1300/1000</f>
        <v>1.3</v>
      </c>
      <c r="E13" s="6">
        <f>1881/1000</f>
        <v>1.881</v>
      </c>
      <c r="F13" s="6">
        <f>1528/1000</f>
        <v>1.528</v>
      </c>
      <c r="G13" s="6">
        <f>1544/1000</f>
        <v>1.544</v>
      </c>
      <c r="H13" s="6">
        <f>955/1000</f>
        <v>0.955</v>
      </c>
      <c r="I13" s="6">
        <f>626/1000</f>
        <v>0.626</v>
      </c>
      <c r="J13" s="6">
        <f>497/1000</f>
        <v>0.497</v>
      </c>
      <c r="K13" s="6">
        <f>394/1000</f>
        <v>0.394</v>
      </c>
      <c r="L13" s="6">
        <f>378/1000</f>
        <v>0.378</v>
      </c>
      <c r="M13" s="6">
        <f>550/1000</f>
        <v>0.55</v>
      </c>
      <c r="N13" s="21">
        <v>0.4</v>
      </c>
      <c r="O13" s="21">
        <v>0.2</v>
      </c>
      <c r="P13" s="21">
        <v>0.6</v>
      </c>
      <c r="Q13" s="9"/>
      <c r="R13" s="9"/>
      <c r="S13" s="9"/>
      <c r="T13" s="9"/>
    </row>
    <row r="14" spans="1:20" s="3" customFormat="1" ht="12.75">
      <c r="A14" s="10"/>
      <c r="B14" s="5" t="s">
        <v>23</v>
      </c>
      <c r="C14" s="2"/>
      <c r="D14" s="6">
        <f>347/1000</f>
        <v>0.347</v>
      </c>
      <c r="E14" s="6">
        <f>767/1000</f>
        <v>0.767</v>
      </c>
      <c r="F14" s="6">
        <f>315/1000</f>
        <v>0.315</v>
      </c>
      <c r="G14" s="13">
        <f>95/1000</f>
        <v>0.095</v>
      </c>
      <c r="H14" s="6">
        <f>1023/1000</f>
        <v>1.023</v>
      </c>
      <c r="I14" s="6">
        <f>953/1000</f>
        <v>0.953</v>
      </c>
      <c r="J14" s="6">
        <f>679/1000</f>
        <v>0.679</v>
      </c>
      <c r="K14" s="6">
        <f>145/1000</f>
        <v>0.145</v>
      </c>
      <c r="L14" s="6">
        <f>486/1000</f>
        <v>0.486</v>
      </c>
      <c r="M14" s="6">
        <f>105/1000</f>
        <v>0.105</v>
      </c>
      <c r="N14" s="21">
        <v>0.3</v>
      </c>
      <c r="O14" s="21">
        <v>0.1</v>
      </c>
      <c r="P14" s="21">
        <v>0.2</v>
      </c>
      <c r="Q14" s="9"/>
      <c r="R14" s="9"/>
      <c r="S14" s="9"/>
      <c r="T14" s="9"/>
    </row>
    <row r="15" spans="1:20" s="3" customFormat="1" ht="12.75">
      <c r="A15" s="10"/>
      <c r="B15" s="5" t="s">
        <v>24</v>
      </c>
      <c r="C15" s="2"/>
      <c r="D15" s="6">
        <f>1633/1000</f>
        <v>1.633</v>
      </c>
      <c r="E15" s="6">
        <f>2260/1000</f>
        <v>2.26</v>
      </c>
      <c r="F15" s="6">
        <f>1962/1000</f>
        <v>1.962</v>
      </c>
      <c r="G15" s="6">
        <f>819/1000</f>
        <v>0.819</v>
      </c>
      <c r="H15" s="6">
        <f>1115/1000</f>
        <v>1.115</v>
      </c>
      <c r="I15" s="6">
        <f>983/1000</f>
        <v>0.983</v>
      </c>
      <c r="J15" s="6">
        <f>883/1000</f>
        <v>0.883</v>
      </c>
      <c r="K15" s="6">
        <f>853/1000</f>
        <v>0.853</v>
      </c>
      <c r="L15" s="6">
        <f>120/1000</f>
        <v>0.12</v>
      </c>
      <c r="M15" s="6">
        <f>40/1000</f>
        <v>0.04</v>
      </c>
      <c r="N15" s="21">
        <v>0.3</v>
      </c>
      <c r="O15" s="21">
        <v>0.61</v>
      </c>
      <c r="P15" s="21">
        <v>0.4</v>
      </c>
      <c r="Q15" s="9"/>
      <c r="R15" s="9"/>
      <c r="S15" s="9"/>
      <c r="T15" s="9"/>
    </row>
    <row r="16" spans="1:20" s="3" customFormat="1" ht="12.75">
      <c r="A16" s="10"/>
      <c r="B16" s="5" t="s">
        <v>25</v>
      </c>
      <c r="C16" s="2"/>
      <c r="D16" s="6">
        <f>2105/1000</f>
        <v>2.105</v>
      </c>
      <c r="E16" s="6">
        <f>1628/1000</f>
        <v>1.628</v>
      </c>
      <c r="F16" s="6">
        <f>2158/1000</f>
        <v>2.158</v>
      </c>
      <c r="G16" s="6">
        <f>3652/1000</f>
        <v>3.652</v>
      </c>
      <c r="H16" s="6">
        <f>3689/1000</f>
        <v>3.689</v>
      </c>
      <c r="I16" s="6">
        <f>2931/1000</f>
        <v>2.931</v>
      </c>
      <c r="J16" s="6">
        <f>1908/1000</f>
        <v>1.908</v>
      </c>
      <c r="K16" s="6">
        <f>2860/1000</f>
        <v>2.86</v>
      </c>
      <c r="L16" s="23" t="s">
        <v>0</v>
      </c>
      <c r="M16" s="23" t="s">
        <v>0</v>
      </c>
      <c r="N16" s="24" t="s">
        <v>0</v>
      </c>
      <c r="O16" s="24" t="s">
        <v>0</v>
      </c>
      <c r="P16" s="24" t="s">
        <v>0</v>
      </c>
      <c r="Q16" s="9"/>
      <c r="R16" s="9"/>
      <c r="S16" s="9"/>
      <c r="T16" s="9"/>
    </row>
    <row r="17" spans="1:20" s="3" customFormat="1" ht="12.75">
      <c r="A17" s="10"/>
      <c r="B17" s="5" t="s">
        <v>26</v>
      </c>
      <c r="C17" s="2"/>
      <c r="D17" s="6">
        <f>2513/1000</f>
        <v>2.513</v>
      </c>
      <c r="E17" s="6">
        <f>1278/1000</f>
        <v>1.278</v>
      </c>
      <c r="F17" s="6">
        <f>1432/1000</f>
        <v>1.432</v>
      </c>
      <c r="G17" s="6">
        <f>1257/1000</f>
        <v>1.257</v>
      </c>
      <c r="H17" s="6">
        <f>1589/1000</f>
        <v>1.589</v>
      </c>
      <c r="I17" s="6">
        <f>2192/1000</f>
        <v>2.192</v>
      </c>
      <c r="J17" s="6">
        <f>1324/1000</f>
        <v>1.324</v>
      </c>
      <c r="K17" s="6">
        <f>1055/1000</f>
        <v>1.055</v>
      </c>
      <c r="L17" s="6">
        <f>1436/1000</f>
        <v>1.436</v>
      </c>
      <c r="M17" s="6">
        <f>95/1000</f>
        <v>0.095</v>
      </c>
      <c r="N17" s="21">
        <v>0.2</v>
      </c>
      <c r="O17" s="21">
        <v>0.22</v>
      </c>
      <c r="P17" s="21">
        <v>0.1</v>
      </c>
      <c r="Q17" s="9"/>
      <c r="R17" s="9"/>
      <c r="S17" s="9"/>
      <c r="T17" s="9"/>
    </row>
    <row r="18" spans="1:20" s="3" customFormat="1" ht="12.75">
      <c r="A18" s="10"/>
      <c r="B18" s="5" t="s">
        <v>27</v>
      </c>
      <c r="C18" s="2"/>
      <c r="D18" s="6">
        <f>935/1000</f>
        <v>0.935</v>
      </c>
      <c r="E18" s="6">
        <f>561/1000</f>
        <v>0.561</v>
      </c>
      <c r="F18" s="6">
        <f>417/1000</f>
        <v>0.417</v>
      </c>
      <c r="G18" s="6">
        <f>358/1000</f>
        <v>0.358</v>
      </c>
      <c r="H18" s="6">
        <f>635/1000</f>
        <v>0.635</v>
      </c>
      <c r="I18" s="6">
        <f>937/1000</f>
        <v>0.937</v>
      </c>
      <c r="J18" s="6">
        <f>869/1000</f>
        <v>0.869</v>
      </c>
      <c r="K18" s="6">
        <f>380/1000</f>
        <v>0.38</v>
      </c>
      <c r="L18" s="6">
        <f>162/1000</f>
        <v>0.162</v>
      </c>
      <c r="M18" s="6">
        <f>158/1000</f>
        <v>0.158</v>
      </c>
      <c r="N18" s="21">
        <v>1.2</v>
      </c>
      <c r="O18" s="21">
        <v>0.7</v>
      </c>
      <c r="P18" s="21">
        <v>0.1</v>
      </c>
      <c r="Q18" s="9"/>
      <c r="R18" s="9"/>
      <c r="S18" s="9"/>
      <c r="T18" s="9"/>
    </row>
    <row r="19" spans="1:20" s="3" customFormat="1" ht="12.75">
      <c r="A19" s="10"/>
      <c r="B19" s="5" t="s">
        <v>28</v>
      </c>
      <c r="C19" s="2"/>
      <c r="D19" s="4"/>
      <c r="E19" s="4"/>
      <c r="F19" s="4"/>
      <c r="G19" s="4"/>
      <c r="H19" s="4"/>
      <c r="I19" s="4"/>
      <c r="J19" s="4"/>
      <c r="K19" s="4"/>
      <c r="L19" s="6">
        <f>1135/1000</f>
        <v>1.135</v>
      </c>
      <c r="M19" s="6">
        <f>541/1000</f>
        <v>0.541</v>
      </c>
      <c r="N19" s="21">
        <v>1.5</v>
      </c>
      <c r="O19" s="21">
        <v>0.4</v>
      </c>
      <c r="P19" s="21">
        <v>0.3</v>
      </c>
      <c r="Q19" s="9"/>
      <c r="R19" s="9"/>
      <c r="S19" s="9"/>
      <c r="T19" s="9"/>
    </row>
    <row r="20" spans="1:20" s="3" customFormat="1" ht="12.75">
      <c r="A20" s="10"/>
      <c r="B20" s="5" t="s">
        <v>29</v>
      </c>
      <c r="C20" s="2"/>
      <c r="D20" s="6">
        <f>1839/1000</f>
        <v>1.839</v>
      </c>
      <c r="E20" s="6">
        <f>1293/1000</f>
        <v>1.293</v>
      </c>
      <c r="F20" s="6">
        <f>2042/1000</f>
        <v>2.042</v>
      </c>
      <c r="G20" s="6">
        <f>1878/1000</f>
        <v>1.878</v>
      </c>
      <c r="H20" s="6">
        <f>2044/1000</f>
        <v>2.044</v>
      </c>
      <c r="I20" s="6">
        <f>1452/1000</f>
        <v>1.452</v>
      </c>
      <c r="J20" s="6">
        <f>1049/1000</f>
        <v>1.049</v>
      </c>
      <c r="K20" s="6">
        <f>3278/1000</f>
        <v>3.278</v>
      </c>
      <c r="L20" s="6">
        <f>1676/1000</f>
        <v>1.676</v>
      </c>
      <c r="M20" s="6">
        <f>480/1000</f>
        <v>0.48</v>
      </c>
      <c r="N20" s="21">
        <v>0.4</v>
      </c>
      <c r="O20" s="21">
        <v>2.2</v>
      </c>
      <c r="P20" s="21">
        <v>0.67</v>
      </c>
      <c r="Q20" s="9"/>
      <c r="R20" s="9"/>
      <c r="S20" s="9"/>
      <c r="T20" s="9"/>
    </row>
    <row r="21" spans="1:20" s="3" customFormat="1" ht="12.75">
      <c r="A21" s="10"/>
      <c r="B21" s="8" t="s">
        <v>33</v>
      </c>
      <c r="C21" s="2"/>
      <c r="D21" s="6">
        <f>466/1000</f>
        <v>0.466</v>
      </c>
      <c r="E21" s="6">
        <f>1059/1000</f>
        <v>1.059</v>
      </c>
      <c r="F21" s="6">
        <f>1328/1000</f>
        <v>1.328</v>
      </c>
      <c r="G21" s="6">
        <f>1165/1000</f>
        <v>1.165</v>
      </c>
      <c r="H21" s="6">
        <f>552/1000</f>
        <v>0.552</v>
      </c>
      <c r="I21" s="6">
        <f>565/1000</f>
        <v>0.565</v>
      </c>
      <c r="J21" s="6">
        <f>494/1000</f>
        <v>0.494</v>
      </c>
      <c r="K21" s="6">
        <f>230/1000</f>
        <v>0.23</v>
      </c>
      <c r="L21" s="6">
        <f>91/1000</f>
        <v>0.091</v>
      </c>
      <c r="M21" s="6">
        <f>75/1000</f>
        <v>0.075</v>
      </c>
      <c r="N21" s="21">
        <v>0.9</v>
      </c>
      <c r="O21" s="21">
        <v>0.22</v>
      </c>
      <c r="P21" s="21">
        <v>0.97</v>
      </c>
      <c r="Q21" s="9"/>
      <c r="R21" s="9"/>
      <c r="S21" s="9"/>
      <c r="T21" s="9"/>
    </row>
    <row r="22" spans="1:20" s="3" customFormat="1" ht="12.75">
      <c r="A22" s="10"/>
      <c r="B22" s="5" t="s">
        <v>30</v>
      </c>
      <c r="C22" s="2"/>
      <c r="D22" s="6">
        <f>527/1000</f>
        <v>0.527</v>
      </c>
      <c r="E22" s="6">
        <f>2106/1000</f>
        <v>2.106</v>
      </c>
      <c r="F22" s="6">
        <f>1604/1000</f>
        <v>1.604</v>
      </c>
      <c r="G22" s="6">
        <f>1534/1000</f>
        <v>1.534</v>
      </c>
      <c r="H22" s="6">
        <f>320/1000</f>
        <v>0.32</v>
      </c>
      <c r="I22" s="6">
        <f>469/1000</f>
        <v>0.469</v>
      </c>
      <c r="J22" s="6">
        <f>3986/1000</f>
        <v>3.986</v>
      </c>
      <c r="K22" s="6">
        <f>1075/1000</f>
        <v>1.075</v>
      </c>
      <c r="L22" s="6">
        <f>4100/1000</f>
        <v>4.1</v>
      </c>
      <c r="M22" s="6">
        <f>1225/1000</f>
        <v>1.225</v>
      </c>
      <c r="N22" s="21">
        <v>2.3</v>
      </c>
      <c r="O22" s="21">
        <v>0.5</v>
      </c>
      <c r="P22" s="21">
        <v>0.12</v>
      </c>
      <c r="Q22" s="9"/>
      <c r="R22" s="9"/>
      <c r="S22" s="9"/>
      <c r="T22" s="9"/>
    </row>
    <row r="23" spans="1:20" s="3" customFormat="1" ht="12.75">
      <c r="A23" s="10"/>
      <c r="B23" s="5" t="s">
        <v>31</v>
      </c>
      <c r="C23" s="2"/>
      <c r="D23" s="25"/>
      <c r="E23" s="25"/>
      <c r="F23" s="25"/>
      <c r="G23" s="25"/>
      <c r="H23" s="25"/>
      <c r="I23" s="25"/>
      <c r="J23" s="4"/>
      <c r="K23" s="25"/>
      <c r="L23" s="6">
        <f>1320/1000</f>
        <v>1.32</v>
      </c>
      <c r="M23" s="6">
        <f>570/1000</f>
        <v>0.57</v>
      </c>
      <c r="N23" s="21">
        <v>1.2</v>
      </c>
      <c r="O23" s="21">
        <v>0.6</v>
      </c>
      <c r="P23" s="21">
        <v>1.2</v>
      </c>
      <c r="Q23" s="9"/>
      <c r="R23" s="9"/>
      <c r="S23" s="9"/>
      <c r="T23" s="9"/>
    </row>
    <row r="24" s="3" customFormat="1" ht="12.75">
      <c r="T24" s="7"/>
    </row>
    <row r="25" s="3" customFormat="1" ht="12.75">
      <c r="T25" s="7"/>
    </row>
    <row r="26" s="3" customFormat="1" ht="12.75">
      <c r="T26" s="7"/>
    </row>
    <row r="27" s="3" customFormat="1" ht="12.75">
      <c r="T27" s="7"/>
    </row>
    <row r="28" s="3" customFormat="1" ht="12.75">
      <c r="T28" s="7"/>
    </row>
    <row r="29" s="3" customFormat="1" ht="12.75">
      <c r="T29" s="7"/>
    </row>
    <row r="30" s="3" customFormat="1" ht="12.75">
      <c r="T30" s="7"/>
    </row>
    <row r="31" s="3" customFormat="1" ht="12.75">
      <c r="T31" s="7"/>
    </row>
    <row r="32" s="3" customFormat="1" ht="12.75">
      <c r="T32" s="7"/>
    </row>
    <row r="33" s="3" customFormat="1" ht="12.75">
      <c r="T33" s="7"/>
    </row>
    <row r="34" s="3" customFormat="1" ht="12.75">
      <c r="T34" s="7"/>
    </row>
    <row r="35" s="3" customFormat="1" ht="12.75">
      <c r="T35" s="7"/>
    </row>
    <row r="36" s="3" customFormat="1" ht="12.75">
      <c r="T36" s="7"/>
    </row>
    <row r="37" s="3" customFormat="1" ht="12.75">
      <c r="T37" s="7"/>
    </row>
    <row r="38" s="3" customFormat="1" ht="12.75">
      <c r="T38" s="7"/>
    </row>
    <row r="39" s="3" customFormat="1" ht="12.75">
      <c r="T39" s="7"/>
    </row>
    <row r="40" s="3" customFormat="1" ht="12.75">
      <c r="T40" s="7"/>
    </row>
    <row r="41" s="3" customFormat="1" ht="12.75">
      <c r="T41" s="7"/>
    </row>
    <row r="42" s="3" customFormat="1" ht="12.75">
      <c r="T42" s="7"/>
    </row>
    <row r="43" s="3" customFormat="1" ht="12.75">
      <c r="T43" s="7"/>
    </row>
    <row r="44" s="3" customFormat="1" ht="12.75">
      <c r="T44" s="7"/>
    </row>
    <row r="45" s="3" customFormat="1" ht="12.75">
      <c r="T45" s="7"/>
    </row>
    <row r="46" s="3" customFormat="1" ht="12.75">
      <c r="T46" s="7"/>
    </row>
    <row r="47" s="3" customFormat="1" ht="12.75">
      <c r="T47" s="7"/>
    </row>
    <row r="48" s="3" customFormat="1" ht="12.75">
      <c r="T48" s="7"/>
    </row>
    <row r="49" s="3" customFormat="1" ht="12.75">
      <c r="T49" s="7"/>
    </row>
    <row r="50" s="3" customFormat="1" ht="12.75">
      <c r="T50" s="7"/>
    </row>
    <row r="51" s="3" customFormat="1" ht="12.75">
      <c r="T51" s="7"/>
    </row>
    <row r="52" s="3" customFormat="1" ht="12.75">
      <c r="T52" s="7"/>
    </row>
    <row r="53" s="3" customFormat="1" ht="12.75">
      <c r="T53" s="7"/>
    </row>
    <row r="54" s="3" customFormat="1" ht="12.75">
      <c r="T54" s="7"/>
    </row>
    <row r="55" s="3" customFormat="1" ht="12.75">
      <c r="T55" s="7"/>
    </row>
    <row r="56" s="3" customFormat="1" ht="12.75">
      <c r="T56" s="7"/>
    </row>
    <row r="57" s="3" customFormat="1" ht="12.75">
      <c r="T57" s="7"/>
    </row>
    <row r="58" s="3" customFormat="1" ht="12.75">
      <c r="T58" s="7"/>
    </row>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c r="T389" s="3">
        <v>2</v>
      </c>
    </row>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row r="763" s="3" customFormat="1" ht="12.75"/>
    <row r="764" s="3" customFormat="1" ht="12.75"/>
    <row r="765" s="3" customFormat="1" ht="12.75"/>
    <row r="766" s="3" customFormat="1" ht="12.75"/>
    <row r="767" s="3" customFormat="1" ht="12.75"/>
    <row r="768" s="3" customFormat="1" ht="12.75"/>
    <row r="769" s="3" customFormat="1" ht="12.75"/>
    <row r="770" s="3" customFormat="1" ht="12.75"/>
    <row r="771" s="3" customFormat="1" ht="12.75"/>
    <row r="772" s="3" customFormat="1" ht="12.75"/>
    <row r="773" s="3" customFormat="1" ht="12.75"/>
    <row r="774" s="3" customFormat="1" ht="12.75"/>
    <row r="775" s="3" customFormat="1" ht="12.75"/>
    <row r="776" s="3" customFormat="1" ht="12.75"/>
    <row r="777" s="3" customFormat="1" ht="12.75"/>
    <row r="778" s="3" customFormat="1" ht="12.75"/>
    <row r="779" s="3" customFormat="1" ht="12.75"/>
    <row r="780" s="3" customFormat="1" ht="12.75"/>
    <row r="781" s="3" customFormat="1" ht="12.75"/>
    <row r="782" s="3" customFormat="1" ht="12.75"/>
    <row r="783" s="3" customFormat="1" ht="12.75"/>
    <row r="784" s="3" customFormat="1" ht="12.75"/>
    <row r="785" s="3" customFormat="1" ht="12.75"/>
    <row r="786" s="3" customFormat="1" ht="12.75"/>
    <row r="787" s="3" customFormat="1" ht="12.75"/>
    <row r="788" s="3" customFormat="1" ht="12.75"/>
    <row r="789" s="3" customFormat="1" ht="12.75"/>
    <row r="790" s="3" customFormat="1" ht="12.75"/>
    <row r="791" s="3" customFormat="1" ht="12.75"/>
    <row r="792" s="3" customFormat="1" ht="12.75"/>
    <row r="793" s="3" customFormat="1" ht="12.75"/>
    <row r="794" s="3" customFormat="1" ht="12.75"/>
    <row r="795" s="3" customFormat="1" ht="12.75"/>
    <row r="796" s="3" customFormat="1" ht="12.75"/>
    <row r="797" s="3" customFormat="1" ht="12.75"/>
    <row r="798" s="3" customFormat="1" ht="12.75"/>
    <row r="799" s="3" customFormat="1" ht="12.75"/>
    <row r="800" s="3" customFormat="1" ht="12.75"/>
    <row r="801" s="3" customFormat="1" ht="12.75"/>
    <row r="802" s="3" customFormat="1" ht="12.75"/>
    <row r="803" s="3" customFormat="1" ht="12.75"/>
    <row r="804" s="3" customFormat="1" ht="12.75"/>
    <row r="805" s="3" customFormat="1" ht="12.75"/>
    <row r="806" s="3" customFormat="1" ht="12.75"/>
    <row r="807" s="3" customFormat="1" ht="12.75"/>
    <row r="808" s="3" customFormat="1" ht="12.75"/>
    <row r="809" s="3" customFormat="1" ht="12.75"/>
    <row r="810" s="3" customFormat="1" ht="12.75"/>
    <row r="811" s="3" customFormat="1" ht="12.75"/>
    <row r="812" s="3" customFormat="1" ht="12.75"/>
    <row r="813" s="3" customFormat="1" ht="12.75"/>
    <row r="814" s="3" customFormat="1" ht="12.75"/>
    <row r="815" s="3" customFormat="1" ht="12.75"/>
    <row r="816" s="3" customFormat="1" ht="12.75"/>
    <row r="817" s="3" customFormat="1" ht="12.75"/>
    <row r="818" s="3" customFormat="1" ht="12.75"/>
    <row r="819" s="3" customFormat="1" ht="12.75"/>
    <row r="820" s="3" customFormat="1" ht="12.75"/>
    <row r="821" s="3" customFormat="1" ht="12.75"/>
    <row r="822" s="3" customFormat="1" ht="12.75"/>
    <row r="823" s="3" customFormat="1" ht="12.75"/>
    <row r="824" s="3" customFormat="1" ht="12.75"/>
    <row r="825" s="3" customFormat="1" ht="12.75"/>
    <row r="826" s="3" customFormat="1" ht="12.75"/>
    <row r="827" s="3" customFormat="1" ht="12.75"/>
    <row r="828" s="3" customFormat="1" ht="12.75"/>
    <row r="829" s="3" customFormat="1" ht="12.75"/>
    <row r="830" s="3" customFormat="1" ht="12.75"/>
    <row r="831" s="3" customFormat="1" ht="12.75"/>
    <row r="832" s="3" customFormat="1" ht="12.75"/>
    <row r="833" s="3" customFormat="1" ht="12.75"/>
    <row r="834" s="3" customFormat="1" ht="12.75"/>
    <row r="835" s="3" customFormat="1" ht="12.75"/>
    <row r="836" s="3" customFormat="1" ht="12.75"/>
    <row r="837" s="3" customFormat="1" ht="12.75"/>
    <row r="838" s="3" customFormat="1" ht="12.75"/>
    <row r="839" s="3" customFormat="1" ht="12.75"/>
    <row r="840" s="3" customFormat="1" ht="12.75"/>
    <row r="841" s="3" customFormat="1" ht="12.75"/>
    <row r="842" s="3" customFormat="1" ht="12.75"/>
    <row r="843" s="3" customFormat="1" ht="12.75"/>
    <row r="844" s="3" customFormat="1" ht="12.75"/>
    <row r="845" s="3" customFormat="1" ht="12.75"/>
    <row r="846" s="3" customFormat="1" ht="12.75"/>
    <row r="847" s="3" customFormat="1" ht="12.75"/>
    <row r="848" s="3" customFormat="1" ht="12.75"/>
    <row r="849" s="3" customFormat="1" ht="12.75"/>
    <row r="850" s="3" customFormat="1" ht="12.75"/>
    <row r="851" s="3" customFormat="1" ht="12.75"/>
    <row r="852" s="3" customFormat="1" ht="12.75"/>
    <row r="853" s="3" customFormat="1" ht="12.75"/>
    <row r="854" s="3" customFormat="1" ht="12.75"/>
    <row r="855" s="3" customFormat="1" ht="12.75"/>
    <row r="856" s="3" customFormat="1" ht="12.75"/>
    <row r="857" s="3" customFormat="1" ht="12.75"/>
    <row r="858" s="3" customFormat="1" ht="12.75"/>
    <row r="859" s="3" customFormat="1" ht="12.75"/>
    <row r="860" s="3" customFormat="1" ht="12.75"/>
    <row r="861" s="3" customFormat="1" ht="12.75"/>
    <row r="862" s="3" customFormat="1" ht="12.75"/>
    <row r="863" s="3" customFormat="1" ht="12.75"/>
    <row r="864" s="3" customFormat="1" ht="12.75"/>
    <row r="865" s="3" customFormat="1" ht="12.75"/>
    <row r="866" s="3" customFormat="1" ht="12.75"/>
    <row r="867" s="3" customFormat="1" ht="12.75"/>
    <row r="868" s="3" customFormat="1" ht="12.75"/>
    <row r="869" s="3" customFormat="1" ht="12.75"/>
    <row r="870" s="3" customFormat="1" ht="12.75"/>
    <row r="871" s="3" customFormat="1" ht="12.75"/>
    <row r="872" s="3" customFormat="1" ht="12.75"/>
    <row r="873" s="3" customFormat="1" ht="12.75"/>
    <row r="874" s="3" customFormat="1" ht="12.75"/>
    <row r="875" s="3" customFormat="1" ht="12.75"/>
    <row r="876" s="3" customFormat="1" ht="12.75"/>
    <row r="877" s="3" customFormat="1" ht="12.75"/>
    <row r="878" s="3" customFormat="1" ht="12.75"/>
    <row r="879" s="3" customFormat="1" ht="12.75"/>
    <row r="880" s="3" customFormat="1" ht="12.75"/>
    <row r="881" s="3" customFormat="1" ht="12.75"/>
    <row r="882" s="3" customFormat="1" ht="12.75"/>
    <row r="883" s="3" customFormat="1" ht="12.75"/>
    <row r="884" s="3" customFormat="1" ht="12.75"/>
    <row r="885" s="3" customFormat="1" ht="12.75"/>
    <row r="886" s="3" customFormat="1" ht="12.75"/>
    <row r="887" s="3" customFormat="1" ht="12.75"/>
    <row r="888" s="3" customFormat="1" ht="12.75"/>
    <row r="889" s="3" customFormat="1" ht="12.75"/>
    <row r="890" s="3" customFormat="1" ht="12.75"/>
    <row r="891" s="3" customFormat="1" ht="12.75"/>
    <row r="892" s="3" customFormat="1" ht="12.75"/>
    <row r="893" s="3" customFormat="1" ht="12.75"/>
    <row r="894" s="3" customFormat="1" ht="12.75"/>
    <row r="895" s="3" customFormat="1" ht="12.75"/>
    <row r="896" s="3" customFormat="1" ht="12.75"/>
    <row r="897" s="3" customFormat="1" ht="12.75"/>
    <row r="898" s="3" customFormat="1" ht="12.75"/>
    <row r="899" s="3" customFormat="1" ht="12.75"/>
    <row r="900" s="3" customFormat="1" ht="12.75"/>
    <row r="901" s="3" customFormat="1" ht="12.75"/>
    <row r="902" s="3" customFormat="1" ht="12.75"/>
    <row r="903" s="3" customFormat="1" ht="12.75"/>
    <row r="904" s="3" customFormat="1" ht="12.75"/>
    <row r="905" s="3" customFormat="1" ht="12.75"/>
    <row r="906" s="3" customFormat="1" ht="12.75"/>
    <row r="907" s="3" customFormat="1" ht="12.75"/>
    <row r="908" s="3" customFormat="1" ht="12.75"/>
    <row r="909" s="3" customFormat="1" ht="12.75"/>
    <row r="910" s="3" customFormat="1" ht="12.75"/>
    <row r="911" s="3" customFormat="1" ht="12.75"/>
    <row r="912" s="3" customFormat="1" ht="12.75"/>
    <row r="913" s="3" customFormat="1" ht="12.75"/>
    <row r="914" s="3" customFormat="1" ht="12.75"/>
    <row r="915" s="3" customFormat="1" ht="12.75"/>
    <row r="916" s="3" customFormat="1" ht="12.75"/>
    <row r="917" s="3" customFormat="1" ht="12.75"/>
    <row r="918" s="3" customFormat="1" ht="12.75"/>
    <row r="919" s="3" customFormat="1" ht="12.75"/>
    <row r="920" s="3" customFormat="1" ht="12.75"/>
    <row r="921" s="3" customFormat="1" ht="12.75"/>
    <row r="922" s="3" customFormat="1" ht="12.75"/>
    <row r="923" s="3" customFormat="1" ht="12.75"/>
    <row r="924" s="3" customFormat="1" ht="12.75"/>
    <row r="925" s="3" customFormat="1" ht="12.75"/>
    <row r="926" s="3" customFormat="1" ht="12.75"/>
    <row r="927" s="3" customFormat="1" ht="12.75"/>
    <row r="928" s="3" customFormat="1" ht="12.75"/>
    <row r="929" s="3" customFormat="1" ht="12.75"/>
    <row r="930" s="3" customFormat="1" ht="12.75"/>
    <row r="931" s="3" customFormat="1" ht="12.75"/>
    <row r="932" s="3" customFormat="1" ht="12.75"/>
    <row r="933" s="3" customFormat="1" ht="12.75"/>
    <row r="934" s="3" customFormat="1" ht="12.75"/>
    <row r="935" s="3" customFormat="1" ht="12.75"/>
    <row r="936" s="3" customFormat="1" ht="12.75"/>
    <row r="937" s="3" customFormat="1" ht="12.75"/>
    <row r="938" s="3" customFormat="1" ht="12.75"/>
    <row r="939" s="3" customFormat="1" ht="12.75"/>
    <row r="940" s="3" customFormat="1" ht="12.75"/>
    <row r="941" s="3" customFormat="1" ht="12.75"/>
    <row r="942" s="3" customFormat="1" ht="12.75"/>
    <row r="943" s="3" customFormat="1" ht="12.75"/>
    <row r="944" s="3" customFormat="1" ht="12.75"/>
    <row r="945" s="3" customFormat="1" ht="12.75"/>
    <row r="946" s="3" customFormat="1" ht="12.75"/>
    <row r="947" s="3" customFormat="1" ht="12.75"/>
    <row r="948" s="3" customFormat="1" ht="12.75"/>
    <row r="949" s="3" customFormat="1" ht="12.75"/>
    <row r="950" s="3" customFormat="1" ht="12.75"/>
    <row r="951" s="3" customFormat="1" ht="12.75"/>
    <row r="952" s="3" customFormat="1" ht="12.75"/>
    <row r="953" s="3" customFormat="1" ht="12.75"/>
    <row r="954" s="3" customFormat="1" ht="12.75"/>
    <row r="955" s="3" customFormat="1" ht="12.75"/>
    <row r="956" s="3" customFormat="1" ht="12.75"/>
    <row r="957" s="3" customFormat="1" ht="12.75"/>
    <row r="958" s="3" customFormat="1" ht="12.75"/>
    <row r="959" s="3" customFormat="1" ht="12.75"/>
    <row r="960" s="3" customFormat="1" ht="12.75"/>
    <row r="961" s="3" customFormat="1" ht="12.75"/>
    <row r="962" s="3" customFormat="1" ht="12.75"/>
    <row r="963" s="3" customFormat="1" ht="12.75"/>
    <row r="964" s="3" customFormat="1" ht="12.75"/>
    <row r="965" s="3" customFormat="1" ht="12.75"/>
    <row r="966" s="3" customFormat="1" ht="12.75"/>
    <row r="967" s="3" customFormat="1" ht="12.75"/>
    <row r="968" s="3" customFormat="1" ht="12.75"/>
    <row r="969" s="3" customFormat="1" ht="12.75"/>
    <row r="970" s="3" customFormat="1" ht="12.75"/>
    <row r="971" s="3" customFormat="1" ht="12.75"/>
    <row r="972" s="3" customFormat="1" ht="12.75"/>
    <row r="973" s="3" customFormat="1" ht="12.75"/>
    <row r="974" s="3" customFormat="1" ht="12.75"/>
    <row r="975" s="3" customFormat="1" ht="12.75"/>
    <row r="976" s="3" customFormat="1" ht="12.75"/>
    <row r="977" s="3" customFormat="1" ht="12.75"/>
    <row r="978" s="3" customFormat="1" ht="12.75"/>
    <row r="979" s="3" customFormat="1" ht="12.75"/>
    <row r="980" s="3" customFormat="1" ht="12.75"/>
    <row r="981" s="3" customFormat="1" ht="12.75"/>
    <row r="982" s="3" customFormat="1" ht="12.75"/>
    <row r="983" s="3" customFormat="1" ht="12.75"/>
    <row r="984" s="3" customFormat="1" ht="12.75"/>
    <row r="985" s="3" customFormat="1" ht="12.75"/>
    <row r="986" s="3" customFormat="1" ht="12.75"/>
    <row r="987" s="3" customFormat="1" ht="12.75"/>
    <row r="988" s="3" customFormat="1" ht="12.75"/>
    <row r="989" s="3" customFormat="1" ht="12.75"/>
    <row r="990" s="3" customFormat="1" ht="12.75"/>
    <row r="991" s="3" customFormat="1" ht="12.75"/>
    <row r="992" s="3" customFormat="1" ht="12.75"/>
    <row r="993" s="3" customFormat="1" ht="12.75"/>
    <row r="994" s="3" customFormat="1" ht="12.75"/>
    <row r="995" s="3" customFormat="1" ht="12.75"/>
    <row r="996" s="3" customFormat="1" ht="12.75"/>
    <row r="997" s="3" customFormat="1" ht="12.75"/>
    <row r="998" s="3" customFormat="1" ht="12.75"/>
    <row r="999" s="3" customFormat="1" ht="12.75"/>
    <row r="1000" s="3" customFormat="1" ht="12.75"/>
    <row r="1001" s="3" customFormat="1" ht="12.75"/>
    <row r="1002" s="3" customFormat="1" ht="12.75"/>
    <row r="1003" s="3" customFormat="1" ht="12.75"/>
    <row r="1004" s="3" customFormat="1" ht="12.75"/>
    <row r="1005" s="3" customFormat="1" ht="12.75"/>
    <row r="1006" s="3" customFormat="1" ht="12.75"/>
    <row r="1007" s="3" customFormat="1" ht="12.75"/>
    <row r="1008" s="3" customFormat="1" ht="12.75"/>
    <row r="1009" s="3" customFormat="1" ht="12.75"/>
    <row r="1010" s="3" customFormat="1" ht="12.75"/>
    <row r="1011" s="3" customFormat="1" ht="12.75"/>
    <row r="1012" s="3" customFormat="1" ht="12.75"/>
    <row r="1013" s="3" customFormat="1" ht="12.75"/>
    <row r="1014" s="3" customFormat="1" ht="12.75"/>
    <row r="1015" s="3" customFormat="1" ht="12.75"/>
    <row r="1016" s="3" customFormat="1" ht="12.75"/>
    <row r="1017" s="3" customFormat="1" ht="12.75"/>
    <row r="1018" s="3" customFormat="1" ht="12.75"/>
    <row r="1019" s="3" customFormat="1" ht="12.75"/>
    <row r="1020" s="3" customFormat="1" ht="12.75"/>
    <row r="1021" s="3" customFormat="1" ht="12.75"/>
    <row r="1022" s="3" customFormat="1" ht="12.75"/>
    <row r="1023" s="3" customFormat="1" ht="12.75"/>
    <row r="1024" s="3" customFormat="1" ht="12.75"/>
    <row r="1025" s="3" customFormat="1" ht="12.75"/>
    <row r="1026" s="3" customFormat="1" ht="12.75"/>
    <row r="1027" s="3" customFormat="1" ht="12.75"/>
    <row r="1028" s="3" customFormat="1" ht="12.75"/>
    <row r="1029" s="3" customFormat="1" ht="12.75"/>
    <row r="1030" s="3" customFormat="1" ht="12.75"/>
    <row r="1031" s="3" customFormat="1" ht="12.75"/>
    <row r="1032" s="3" customFormat="1" ht="12.75"/>
    <row r="1033" s="3" customFormat="1" ht="12.75"/>
    <row r="1034" s="3" customFormat="1" ht="12.75"/>
    <row r="1035" s="3" customFormat="1" ht="12.75"/>
    <row r="1036" s="3" customFormat="1" ht="12.75"/>
    <row r="1037" s="3" customFormat="1" ht="12.75"/>
    <row r="1038" s="3" customFormat="1" ht="12.75"/>
    <row r="1039" s="3" customFormat="1" ht="12.75"/>
    <row r="1040" s="3" customFormat="1" ht="12.75"/>
    <row r="1041" s="3" customFormat="1" ht="12.75"/>
    <row r="1042" s="3" customFormat="1" ht="12.75"/>
    <row r="1043" s="3" customFormat="1" ht="12.75"/>
    <row r="1044" s="3" customFormat="1" ht="12.75"/>
    <row r="1045" s="3" customFormat="1" ht="12.75"/>
    <row r="1046" s="3" customFormat="1" ht="12.75"/>
    <row r="1047" s="3" customFormat="1" ht="12.75"/>
    <row r="1048" s="3" customFormat="1" ht="12.75"/>
    <row r="1049" s="3" customFormat="1" ht="12.75"/>
    <row r="1050" s="3" customFormat="1" ht="12.75"/>
    <row r="1051" s="3" customFormat="1" ht="12.75"/>
    <row r="1052" s="3" customFormat="1" ht="12.75"/>
    <row r="1053" s="3" customFormat="1" ht="12.75"/>
    <row r="1054" s="3" customFormat="1" ht="12.75"/>
    <row r="1055" s="3" customFormat="1" ht="12.75"/>
    <row r="1056" s="3" customFormat="1" ht="12.75"/>
    <row r="1057" s="3" customFormat="1" ht="12.75"/>
    <row r="1058" s="3" customFormat="1" ht="12.75"/>
    <row r="1059" s="3" customFormat="1" ht="12.75"/>
    <row r="1060" s="3" customFormat="1" ht="12.75"/>
    <row r="1061" s="3" customFormat="1" ht="12.75"/>
    <row r="1062" s="3" customFormat="1" ht="12.75"/>
    <row r="1063" s="3" customFormat="1" ht="12.75"/>
    <row r="1064" s="3" customFormat="1" ht="12.75"/>
    <row r="1065" s="3" customFormat="1" ht="12.75"/>
    <row r="1066" s="3" customFormat="1" ht="12.75"/>
    <row r="1067" s="3" customFormat="1" ht="12.75"/>
    <row r="1068" s="3" customFormat="1" ht="12.75"/>
    <row r="1069" s="3" customFormat="1" ht="12.75"/>
    <row r="1070" s="3" customFormat="1" ht="12.75"/>
    <row r="1071" s="3" customFormat="1" ht="12.75"/>
    <row r="1072" s="3" customFormat="1" ht="12.75"/>
    <row r="1073" s="3" customFormat="1" ht="12.75"/>
    <row r="1074" s="3" customFormat="1" ht="12.75"/>
    <row r="1075" s="3" customFormat="1" ht="12.75"/>
    <row r="1076" s="3" customFormat="1" ht="12.75"/>
    <row r="1077" s="3" customFormat="1" ht="12.75"/>
    <row r="1078" s="3" customFormat="1" ht="12.75"/>
    <row r="1079" s="3" customFormat="1" ht="12.75"/>
    <row r="1080" s="3" customFormat="1" ht="12.75"/>
    <row r="1081" s="3" customFormat="1" ht="12.75"/>
    <row r="1082" s="3" customFormat="1" ht="12.75"/>
    <row r="1083" s="3" customFormat="1" ht="12.75"/>
    <row r="1084" s="3" customFormat="1" ht="12.75"/>
    <row r="1085" s="3" customFormat="1" ht="12.75"/>
    <row r="1086" s="3" customFormat="1" ht="12.75"/>
    <row r="1087" s="3" customFormat="1" ht="12.75"/>
    <row r="1088" s="3" customFormat="1" ht="12.75"/>
    <row r="1089" s="3" customFormat="1" ht="12.75"/>
    <row r="1090" s="3" customFormat="1" ht="12.75"/>
    <row r="1091" s="3" customFormat="1" ht="12.75"/>
    <row r="1092" s="3" customFormat="1" ht="12.75"/>
    <row r="1093" s="3" customFormat="1" ht="12.75"/>
    <row r="1094" s="3" customFormat="1" ht="12.75"/>
    <row r="1095" s="3" customFormat="1" ht="12.75"/>
    <row r="1096" s="3" customFormat="1" ht="12.75"/>
    <row r="1097" s="3" customFormat="1" ht="12.75"/>
    <row r="1098" s="3" customFormat="1" ht="12.75"/>
    <row r="1099" s="3" customFormat="1" ht="12.75"/>
    <row r="1100" s="3" customFormat="1" ht="12.75"/>
    <row r="1101" s="3" customFormat="1" ht="12.75"/>
    <row r="1102" s="3" customFormat="1" ht="12.75"/>
    <row r="1103" s="3" customFormat="1" ht="12.75"/>
    <row r="1104" s="3" customFormat="1" ht="12.75"/>
    <row r="1105" s="3" customFormat="1" ht="12.75"/>
    <row r="1106" s="3" customFormat="1" ht="12.75"/>
    <row r="1107" s="3" customFormat="1" ht="12.75"/>
    <row r="1108" s="3" customFormat="1" ht="12.75"/>
    <row r="1109" s="3" customFormat="1" ht="12.75"/>
    <row r="1110" s="3" customFormat="1" ht="12.75"/>
    <row r="1111" s="3" customFormat="1" ht="12.75"/>
    <row r="1112" s="3" customFormat="1" ht="12.75"/>
    <row r="1113" s="3" customFormat="1" ht="12.75"/>
    <row r="1114" s="3" customFormat="1" ht="12.75"/>
    <row r="1115" s="3" customFormat="1" ht="12.75"/>
    <row r="1116" s="3" customFormat="1" ht="12.75"/>
    <row r="1117" s="3" customFormat="1" ht="12.75"/>
    <row r="1118" s="3" customFormat="1" ht="12.75"/>
    <row r="1119" s="3" customFormat="1" ht="12.75"/>
    <row r="1120" s="3" customFormat="1" ht="12.75"/>
    <row r="1121" s="3" customFormat="1" ht="12.75"/>
    <row r="1122" s="3" customFormat="1" ht="12.75"/>
    <row r="1123" s="3" customFormat="1" ht="12.75"/>
    <row r="1124" s="3" customFormat="1" ht="12.75"/>
    <row r="1125" s="3" customFormat="1" ht="12.75"/>
    <row r="1126" s="3" customFormat="1" ht="12.75"/>
    <row r="1127" s="3" customFormat="1" ht="12.75"/>
    <row r="1128" s="3" customFormat="1" ht="12.75"/>
    <row r="1129" s="3" customFormat="1" ht="12.75"/>
    <row r="1130" s="3" customFormat="1" ht="12.75"/>
    <row r="1131" s="3" customFormat="1" ht="12.75"/>
    <row r="1132" s="3" customFormat="1" ht="12.75"/>
    <row r="1133" s="3" customFormat="1" ht="12.75"/>
    <row r="1134" s="3" customFormat="1" ht="12.75"/>
    <row r="1135" s="3" customFormat="1" ht="12.75"/>
    <row r="1136" s="3" customFormat="1" ht="12.75"/>
    <row r="1137" s="3" customFormat="1" ht="12.75"/>
    <row r="1138" s="3" customFormat="1" ht="12.75"/>
    <row r="1139" s="3" customFormat="1" ht="12.75"/>
    <row r="1140" s="3" customFormat="1" ht="12.75"/>
    <row r="1141" s="3" customFormat="1" ht="12.75"/>
    <row r="1142" s="3" customFormat="1" ht="12.75"/>
    <row r="1143" s="3" customFormat="1" ht="12.75"/>
    <row r="1144" s="3" customFormat="1" ht="12.75"/>
    <row r="1145" s="3" customFormat="1" ht="12.75"/>
    <row r="1146" s="3" customFormat="1" ht="12.75"/>
    <row r="1147" s="3" customFormat="1" ht="12.75"/>
    <row r="1148" s="3" customFormat="1" ht="12.75"/>
    <row r="1149" s="3" customFormat="1" ht="12.75"/>
    <row r="1150" s="3" customFormat="1" ht="12.75"/>
    <row r="1151" s="3" customFormat="1" ht="12.75"/>
    <row r="1152" s="3" customFormat="1" ht="12.75"/>
    <row r="1153" s="3" customFormat="1" ht="12.75"/>
    <row r="1154" s="3" customFormat="1" ht="12.75"/>
    <row r="1155" s="3" customFormat="1" ht="12.75"/>
    <row r="1156" s="3" customFormat="1" ht="12.75"/>
    <row r="1157" s="3" customFormat="1" ht="12.75"/>
    <row r="1158" s="3" customFormat="1" ht="12.75"/>
    <row r="1159" s="3" customFormat="1" ht="12.75"/>
    <row r="1160" s="3" customFormat="1" ht="12.75"/>
    <row r="1161" s="3" customFormat="1" ht="12.75"/>
    <row r="1162" s="3" customFormat="1" ht="12.75"/>
    <row r="1163" s="3" customFormat="1" ht="12.75"/>
    <row r="1164" s="3" customFormat="1" ht="12.75"/>
    <row r="1165" s="3" customFormat="1" ht="12.75"/>
    <row r="1166" s="3" customFormat="1" ht="12.75"/>
    <row r="1167" s="3" customFormat="1" ht="12.75"/>
    <row r="1168" s="3" customFormat="1" ht="12.75"/>
    <row r="1169" s="3" customFormat="1" ht="12.75"/>
    <row r="1170" s="3" customFormat="1" ht="12.75"/>
    <row r="1171" s="3" customFormat="1" ht="12.75"/>
    <row r="1172" s="3" customFormat="1" ht="12.75"/>
    <row r="1173" s="3" customFormat="1" ht="12.75"/>
    <row r="1174" s="3" customFormat="1" ht="12.75"/>
    <row r="1175" s="3" customFormat="1" ht="12.75"/>
    <row r="1176" s="3" customFormat="1" ht="12.75"/>
    <row r="1177" s="3" customFormat="1" ht="12.75"/>
    <row r="1178" s="3" customFormat="1" ht="12.75"/>
    <row r="1179" s="3" customFormat="1" ht="12.75"/>
    <row r="1180" s="3" customFormat="1" ht="12.75"/>
    <row r="1181" s="3" customFormat="1" ht="12.75"/>
    <row r="1182" s="3" customFormat="1" ht="12.75"/>
    <row r="1183" s="3" customFormat="1" ht="12.75"/>
    <row r="1184" s="3" customFormat="1" ht="12.75"/>
    <row r="1185" s="3" customFormat="1" ht="12.75"/>
    <row r="1186" s="3" customFormat="1" ht="12.75"/>
    <row r="1187" s="3" customFormat="1" ht="12.75"/>
    <row r="1188" s="3" customFormat="1" ht="12.75"/>
    <row r="1189" s="3" customFormat="1" ht="12.75"/>
    <row r="1190" s="3" customFormat="1" ht="12.75"/>
    <row r="1191" s="3" customFormat="1" ht="12.75"/>
    <row r="1192" s="3" customFormat="1" ht="12.75"/>
    <row r="1193" s="3" customFormat="1" ht="12.75"/>
    <row r="1194" s="3" customFormat="1" ht="12.75"/>
    <row r="1195" s="3" customFormat="1" ht="12.75"/>
    <row r="1196" s="3" customFormat="1" ht="12.75"/>
    <row r="1197" s="3" customFormat="1" ht="12.75"/>
    <row r="1198" s="3" customFormat="1" ht="12.75"/>
    <row r="1199" s="3" customFormat="1" ht="12.75"/>
    <row r="1200" s="3" customFormat="1" ht="12.75"/>
    <row r="1201" s="3" customFormat="1" ht="12.75"/>
    <row r="1202" s="3" customFormat="1" ht="12.75"/>
    <row r="1203" s="3" customFormat="1" ht="12.75"/>
    <row r="1204" s="3" customFormat="1" ht="12.75"/>
    <row r="1205" s="3" customFormat="1" ht="12.75"/>
    <row r="1206" s="3" customFormat="1" ht="12.75"/>
    <row r="1207" s="3" customFormat="1" ht="12.75"/>
    <row r="1208" s="3" customFormat="1" ht="12.75"/>
    <row r="1209" s="3" customFormat="1" ht="12.75"/>
    <row r="1210" s="3" customFormat="1" ht="12.75"/>
    <row r="1211" s="3" customFormat="1" ht="12.75"/>
    <row r="1212" s="3" customFormat="1" ht="12.75"/>
    <row r="1213" s="3" customFormat="1" ht="12.75"/>
    <row r="1214" s="3" customFormat="1" ht="12.75"/>
    <row r="1215" s="3" customFormat="1" ht="12.75"/>
    <row r="1216" s="3" customFormat="1" ht="12.75"/>
    <row r="1217" s="3" customFormat="1" ht="12.75"/>
    <row r="1218" s="3" customFormat="1" ht="12.75"/>
    <row r="1219" s="3" customFormat="1" ht="12.75"/>
    <row r="1220" s="3" customFormat="1" ht="12.75"/>
    <row r="1221" s="3" customFormat="1" ht="12.75"/>
    <row r="1222" s="3" customFormat="1" ht="12.75"/>
    <row r="1223" s="3" customFormat="1" ht="12.75"/>
    <row r="1224" s="3" customFormat="1" ht="12.75"/>
    <row r="1225" s="3" customFormat="1" ht="12.75"/>
    <row r="1226" s="3" customFormat="1" ht="12.75"/>
    <row r="1227" s="3" customFormat="1" ht="12.75"/>
    <row r="1228" s="3" customFormat="1" ht="12.75"/>
    <row r="1229" s="3" customFormat="1" ht="12.75"/>
    <row r="1230" s="3" customFormat="1" ht="12.75"/>
    <row r="1231" s="3" customFormat="1" ht="12.75"/>
    <row r="1232" s="3" customFormat="1" ht="12.75"/>
    <row r="1233" s="3" customFormat="1" ht="12.75"/>
    <row r="1234" s="3" customFormat="1" ht="12.75"/>
    <row r="1235" s="3" customFormat="1" ht="12.75"/>
    <row r="1236" s="3" customFormat="1" ht="12.75"/>
    <row r="1237" s="3" customFormat="1" ht="12.75"/>
    <row r="1238" s="3" customFormat="1" ht="12.75"/>
    <row r="1239" s="3" customFormat="1" ht="12.75"/>
    <row r="1240" s="3" customFormat="1" ht="12.75"/>
    <row r="1241" s="3" customFormat="1" ht="12.75"/>
    <row r="1242" s="3" customFormat="1" ht="12.75"/>
    <row r="1243" s="3" customFormat="1" ht="12.75"/>
    <row r="1244" s="3" customFormat="1" ht="12.75"/>
    <row r="1245" s="3" customFormat="1" ht="12.75"/>
    <row r="1246" s="3" customFormat="1" ht="12.75"/>
    <row r="1247" s="3" customFormat="1" ht="12.75"/>
    <row r="1248" s="3" customFormat="1" ht="12.75"/>
    <row r="1249" s="3" customFormat="1" ht="12.75"/>
    <row r="1250" s="3" customFormat="1" ht="12.75"/>
    <row r="1251" s="3" customFormat="1" ht="12.75"/>
    <row r="1252" s="3" customFormat="1" ht="12.75"/>
    <row r="1253" s="3" customFormat="1" ht="12.75"/>
    <row r="1254" s="3" customFormat="1" ht="12.75"/>
    <row r="1255" s="3" customFormat="1" ht="12.75"/>
    <row r="1256" s="3" customFormat="1" ht="12.75"/>
    <row r="1257" s="3" customFormat="1" ht="12.75"/>
    <row r="1258" s="3" customFormat="1" ht="12.75"/>
    <row r="1259" s="3" customFormat="1" ht="12.75"/>
    <row r="1260" s="3" customFormat="1" ht="12.75"/>
    <row r="1261" s="3" customFormat="1" ht="12.75"/>
    <row r="1262" s="3" customFormat="1" ht="12.75"/>
    <row r="1263" s="3" customFormat="1" ht="12.75"/>
    <row r="1264" s="3" customFormat="1" ht="12.75"/>
    <row r="1265" s="3" customFormat="1" ht="12.75"/>
    <row r="1266" s="3" customFormat="1" ht="12.75"/>
    <row r="1267" s="3" customFormat="1" ht="12.75"/>
    <row r="1268" s="3" customFormat="1" ht="12.75"/>
    <row r="1269" s="3" customFormat="1" ht="12.75"/>
    <row r="1270" s="3" customFormat="1" ht="12.75"/>
    <row r="1271" s="3" customFormat="1" ht="12.75"/>
    <row r="1272" s="3" customFormat="1" ht="12.75"/>
    <row r="1273" s="3" customFormat="1" ht="12.75"/>
    <row r="1274" s="3" customFormat="1" ht="12.75"/>
    <row r="1275" s="3" customFormat="1" ht="12.75"/>
    <row r="1276" s="3" customFormat="1" ht="12.75"/>
    <row r="1277" s="3" customFormat="1" ht="12.75"/>
    <row r="1278" s="3" customFormat="1" ht="12.75"/>
    <row r="1279" s="3" customFormat="1" ht="12.75"/>
    <row r="1280" s="3" customFormat="1" ht="12.75"/>
    <row r="1281" s="3" customFormat="1" ht="12.75"/>
    <row r="1282" s="3" customFormat="1" ht="12.75"/>
    <row r="1283" s="3" customFormat="1" ht="12.75"/>
    <row r="1284" s="3" customFormat="1" ht="12.75"/>
    <row r="1285" s="3" customFormat="1" ht="12.75"/>
    <row r="1286" s="3" customFormat="1" ht="12.75"/>
    <row r="1287" s="3" customFormat="1" ht="12.75"/>
    <row r="1288" s="3" customFormat="1" ht="12.75"/>
    <row r="1289" s="3" customFormat="1" ht="12.75"/>
    <row r="1290" s="3" customFormat="1" ht="12.75"/>
    <row r="1291" s="3" customFormat="1" ht="12.75"/>
    <row r="1292" s="3" customFormat="1" ht="12.75"/>
    <row r="1293" s="3" customFormat="1" ht="12.75"/>
    <row r="1294" s="3" customFormat="1" ht="12.75"/>
    <row r="1295" s="3" customFormat="1" ht="12.75"/>
    <row r="1296" s="3" customFormat="1" ht="12.75"/>
    <row r="1297" s="3" customFormat="1" ht="12.75"/>
    <row r="1298" s="3" customFormat="1" ht="12.75"/>
    <row r="1299" s="3" customFormat="1" ht="12.75"/>
    <row r="1300" s="3" customFormat="1" ht="12.75"/>
    <row r="1301" s="3" customFormat="1" ht="12.75"/>
    <row r="1302" s="3" customFormat="1" ht="12.75"/>
    <row r="1303" s="3" customFormat="1" ht="12.75"/>
    <row r="1304" s="3" customFormat="1" ht="12.75"/>
    <row r="1305" s="3" customFormat="1" ht="12.75"/>
    <row r="1306" s="3" customFormat="1" ht="12.75"/>
    <row r="1307" s="3" customFormat="1" ht="12.75"/>
    <row r="1308" s="3" customFormat="1" ht="12.75"/>
    <row r="1309" s="3" customFormat="1" ht="12.75"/>
    <row r="1310" s="3" customFormat="1" ht="12.75"/>
    <row r="1311" s="3" customFormat="1" ht="12.75"/>
    <row r="1312" s="3" customFormat="1" ht="12.75"/>
    <row r="1313" s="3" customFormat="1" ht="12.75"/>
    <row r="1314" s="3" customFormat="1" ht="12.75"/>
    <row r="1315" s="3" customFormat="1" ht="12.75"/>
    <row r="1316" s="3" customFormat="1" ht="12.75"/>
    <row r="1317" s="3" customFormat="1" ht="12.75"/>
    <row r="1318" s="3" customFormat="1" ht="12.75"/>
    <row r="1319" s="3" customFormat="1" ht="12.75"/>
    <row r="1320" s="3" customFormat="1" ht="12.75"/>
    <row r="1321" s="3" customFormat="1" ht="12.75"/>
    <row r="1322" s="3" customFormat="1" ht="12.75"/>
    <row r="1323" s="3" customFormat="1" ht="12.75"/>
    <row r="1324" s="3" customFormat="1" ht="12.75"/>
    <row r="1325" s="3" customFormat="1" ht="12.75"/>
    <row r="1326" s="3" customFormat="1" ht="12.75"/>
    <row r="1327" s="3" customFormat="1" ht="12.75"/>
    <row r="1328" s="3" customFormat="1" ht="12.75"/>
    <row r="1329" s="3" customFormat="1" ht="12.75"/>
    <row r="1330" s="3" customFormat="1" ht="12.75"/>
    <row r="1331" s="3" customFormat="1" ht="12.75"/>
    <row r="1332" s="3" customFormat="1" ht="12.75"/>
    <row r="1333" s="3" customFormat="1" ht="12.75"/>
    <row r="1334" s="3" customFormat="1" ht="12.75"/>
    <row r="1335" s="3" customFormat="1" ht="12.75"/>
    <row r="1336" s="3" customFormat="1" ht="12.75"/>
    <row r="1337" s="3" customFormat="1" ht="12.75"/>
    <row r="1338" s="3" customFormat="1" ht="12.75"/>
    <row r="1339" s="3" customFormat="1" ht="12.75"/>
    <row r="1340" s="3" customFormat="1" ht="12.75"/>
    <row r="1341" s="3" customFormat="1" ht="12.75"/>
    <row r="1342" s="3" customFormat="1" ht="12.75"/>
    <row r="1343" s="3" customFormat="1" ht="12.75"/>
    <row r="1344" s="3" customFormat="1" ht="12.75"/>
    <row r="1345" s="3" customFormat="1" ht="12.75"/>
    <row r="1346" s="3" customFormat="1" ht="12.75"/>
    <row r="1347" s="3" customFormat="1" ht="12.75"/>
    <row r="1348" s="3" customFormat="1" ht="12.75"/>
    <row r="1349" s="3" customFormat="1" ht="12.75"/>
    <row r="1350" s="3" customFormat="1" ht="12.75"/>
    <row r="1351" s="3" customFormat="1" ht="12.75"/>
    <row r="1352" s="3" customFormat="1" ht="12.75"/>
    <row r="1353" s="3" customFormat="1" ht="12.75"/>
    <row r="1354" s="3" customFormat="1" ht="12.75"/>
    <row r="1355" s="3" customFormat="1" ht="12.75"/>
    <row r="1356" s="3" customFormat="1" ht="12.75"/>
    <row r="1357" s="3" customFormat="1" ht="12.75"/>
    <row r="1358" s="3" customFormat="1" ht="12.75"/>
    <row r="1359" s="3" customFormat="1" ht="12.75"/>
    <row r="1360" s="3" customFormat="1" ht="12.75"/>
    <row r="1361" s="3" customFormat="1" ht="12.75"/>
    <row r="1362" s="3" customFormat="1" ht="12.75"/>
    <row r="1363" s="3" customFormat="1" ht="12.75"/>
    <row r="1364" s="3" customFormat="1" ht="12.75"/>
    <row r="1365" s="3" customFormat="1" ht="12.75"/>
    <row r="1366" s="3" customFormat="1" ht="12.75"/>
    <row r="1367" s="3" customFormat="1" ht="12.75"/>
    <row r="1368" s="3" customFormat="1" ht="12.75"/>
    <row r="1369" s="3" customFormat="1" ht="12.75"/>
    <row r="1370" s="3" customFormat="1" ht="12.75"/>
    <row r="1371" s="3" customFormat="1" ht="12.75"/>
    <row r="1372" s="3" customFormat="1" ht="12.75"/>
    <row r="1373" s="3" customFormat="1" ht="12.75"/>
    <row r="1374" s="3" customFormat="1" ht="12.75"/>
    <row r="1375" s="3" customFormat="1" ht="12.75"/>
    <row r="1376" s="3" customFormat="1" ht="12.75"/>
    <row r="1377" s="3" customFormat="1" ht="12.75"/>
    <row r="1378" s="3" customFormat="1" ht="12.75"/>
    <row r="1379" s="3" customFormat="1" ht="12.75"/>
    <row r="1380" s="3" customFormat="1" ht="12.75"/>
    <row r="1381" s="3" customFormat="1" ht="12.75"/>
    <row r="1382" s="3" customFormat="1" ht="12.75"/>
  </sheetData>
  <sheetProtection/>
  <mergeCells count="8">
    <mergeCell ref="T2:T3"/>
    <mergeCell ref="A2:A3"/>
    <mergeCell ref="B2:B3"/>
    <mergeCell ref="C2:C3"/>
    <mergeCell ref="Q2:Q3"/>
    <mergeCell ref="R2:R3"/>
    <mergeCell ref="S2:S3"/>
    <mergeCell ref="D2:P2"/>
  </mergeCells>
  <printOptions/>
  <pageMargins left="0.7" right="0.7" top="0.75" bottom="0.75" header="0.3" footer="0.3"/>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Айнур Досанова</dc:creator>
  <cp:keywords/>
  <dc:description/>
  <cp:lastModifiedBy>a.abraeva</cp:lastModifiedBy>
  <cp:lastPrinted>2020-05-22T03:17:10Z</cp:lastPrinted>
  <dcterms:created xsi:type="dcterms:W3CDTF">2018-05-14T10:11:55Z</dcterms:created>
  <dcterms:modified xsi:type="dcterms:W3CDTF">2023-09-29T05:06:56Z</dcterms:modified>
  <cp:category/>
  <cp:version/>
  <cp:contentType/>
  <cp:contentStatus/>
</cp:coreProperties>
</file>