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4560" windowWidth="20730" windowHeight="11760" tabRatio="798" activeTab="0"/>
  </bookViews>
  <sheets>
    <sheet name="9.2.2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<sst xmlns="http://schemas.openxmlformats.org/spreadsheetml/2006/main" count="39" uniqueCount="34">
  <si>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-</t>
  </si>
  <si>
    <t>жаһандық индикатордың атауы</t>
  </si>
  <si>
    <t>ұлттық индикатор</t>
  </si>
  <si>
    <t>өлшем бірлігі</t>
  </si>
  <si>
    <t>жылдар</t>
  </si>
  <si>
    <t>дереккөз</t>
  </si>
  <si>
    <t xml:space="preserve">Индикаторды қалыптастыруға  жауапты МО </t>
  </si>
  <si>
    <t>Саясатты іске асыруға жауапты МО</t>
  </si>
  <si>
    <t>Жаһандық өзгеріссіз - 1, жаһандық шағын өзгерістермен-2, альтернативті ұлттық-3, қосымша ұлттық-4</t>
  </si>
  <si>
    <t xml:space="preserve">9.2.2 Жалпы жұмыспен қамтудан пайызбен алғандағы өңдеуші өнеркәсіптегі жұмыспен қамтылу </t>
  </si>
  <si>
    <t>Өңдеу өнеркәсібінде жаңа жұмыс орындарын құру</t>
  </si>
  <si>
    <t>мың адам</t>
  </si>
  <si>
    <t>Өңірлер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</si>
  <si>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</si>
  <si>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</si>
  <si>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</si>
  <si>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</si>
  <si>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</si>
  <si>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</si>
  <si>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</si>
  <si>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</si>
  <si>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</si>
  <si>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</si>
  <si>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</si>
  <si>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</si>
  <si>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</si>
  <si>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Түркістан</t>
  </si>
  <si>
    <t>Шығыс Қазақстан</t>
  </si>
  <si>
    <t>Алматы қаласы</t>
  </si>
  <si>
    <t>Шымкент қаласы</t>
  </si>
  <si>
    <t>Жергілікті атқарушы органдар</t>
  </si>
  <si>
    <t>ҚР Индустрия және инфрақұрылымдық даму министірлігі, ҚР Ұлттық экономика министрлігі, ҚР Ауыл шаруашылығы министрлігі, ҚР Қаржы министрлігі, ҚР Энергетика министрлігі, ҚР Еңбек және халықты әлеуметтік қорғау министрлігі, Жергілікті атқарушы органдар</t>
  </si>
  <si>
    <t>ҚР Индустрия және инфрақұрылымдық даму министірлігі, Жергілікті атқарушы органдар, ҚР Қаржы министрлігі, ҚР Ұлттық экономика министрлігі, ҚР Еңбек және халықты әлеуметтік қорғау министрлігі, ҚР Ауыл шаруашылығы министрлігі, ҚР Энергетика министрлігі</t>
  </si>
  <si>
    <t>Астана қаласы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</si>
</sst>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##\ ###\ ###\ ###\ ##0.0"/>
    <numFmt numFmtId="177" formatCode="0.0000000"/>
    <numFmt numFmtId="178" formatCode="###\ ###\ ###\ ##0.0"/>
    <numFmt numFmtId="179" formatCode="0.00;[Red]0.00"/>
    <numFmt numFmtId="180" formatCode="#,##0.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0"/>
  </numFmts>
  <fonts count="47">
    <font>
      <sz val="10"/>
      <name val="Arial"/>
      <family val="2"/>
    </font>
    <font>
      <sz val="7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5" fontId="25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175" fontId="25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11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top" wrapText="1"/>
    </xf>
    <xf numFmtId="175" fontId="25" fillId="0" borderId="12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1" fontId="25" fillId="0" borderId="10" xfId="0" applyNumberFormat="1" applyFont="1" applyFill="1" applyBorder="1" applyAlignment="1">
      <alignment/>
    </xf>
    <xf numFmtId="175" fontId="25" fillId="34" borderId="10" xfId="0" applyNumberFormat="1" applyFont="1" applyFill="1" applyBorder="1" applyAlignment="1">
      <alignment/>
    </xf>
    <xf numFmtId="175" fontId="25" fillId="34" borderId="10" xfId="0" applyNumberFormat="1" applyFont="1" applyFill="1" applyBorder="1" applyAlignment="1">
      <alignment horizontal="right"/>
    </xf>
    <xf numFmtId="175" fontId="0" fillId="0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" fontId="25" fillId="0" borderId="10" xfId="0" applyNumberFormat="1" applyFont="1" applyFill="1" applyBorder="1" applyAlignment="1">
      <alignment horizontal="right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 wrapText="1"/>
    </xf>
    <xf numFmtId="49" fontId="26" fillId="33" borderId="15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9"/>
  <sheetViews>
    <sheetView tabSelected="1" zoomScale="99" zoomScaleNormal="99" zoomScalePageLayoutView="0" workbookViewId="0" topLeftCell="B1">
      <pane ySplit="3" topLeftCell="A4" activePane="bottomLeft" state="frozen"/>
      <selection pane="topLeft" activeCell="A1" sqref="A1"/>
      <selection pane="bottomLeft" activeCell="D29" sqref="D29"/>
    </sheetView>
  </sheetViews>
  <sheetFormatPr defaultColWidth="8.8515625" defaultRowHeight="12.75"/>
  <cols>
    <col min="1" max="1" width="29.421875" style="0" customWidth="1"/>
    <col min="2" max="2" width="27.00390625" style="0" customWidth="1"/>
    <col min="3" max="3" width="16.421875" style="0" customWidth="1"/>
    <col min="4" max="8" width="10.7109375" style="0" customWidth="1"/>
    <col min="9" max="9" width="10.7109375" style="3" customWidth="1"/>
    <col min="10" max="16" width="10.7109375" style="0" customWidth="1"/>
    <col min="17" max="17" width="19.28125" style="0" customWidth="1"/>
    <col min="18" max="18" width="28.140625" style="0" customWidth="1"/>
    <col min="19" max="20" width="28.8515625" style="0" customWidth="1"/>
    <col min="21" max="21" width="39.7109375" style="0" customWidth="1"/>
    <col min="22" max="22" width="26.421875" style="0" customWidth="1"/>
    <col min="23" max="23" width="35.7109375" style="0" customWidth="1"/>
    <col min="24" max="24" width="30.7109375" style="0" customWidth="1"/>
  </cols>
  <sheetData>
    <row r="1" ht="18" customHeight="1">
      <c r="A1" s="1"/>
    </row>
    <row r="2" spans="1:20" s="16" customFormat="1" ht="29.25" customHeight="1">
      <c r="A2" s="30" t="s">
        <v>1</v>
      </c>
      <c r="B2" s="30" t="s">
        <v>2</v>
      </c>
      <c r="C2" s="30" t="s">
        <v>3</v>
      </c>
      <c r="D2" s="33" t="s">
        <v>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1" t="s">
        <v>5</v>
      </c>
      <c r="R2" s="30" t="s">
        <v>6</v>
      </c>
      <c r="S2" s="30" t="s">
        <v>7</v>
      </c>
      <c r="T2" s="28" t="s">
        <v>8</v>
      </c>
    </row>
    <row r="3" spans="1:20" s="16" customFormat="1" ht="30.75" customHeight="1">
      <c r="A3" s="30"/>
      <c r="B3" s="30"/>
      <c r="C3" s="30"/>
      <c r="D3" s="17">
        <v>2010</v>
      </c>
      <c r="E3" s="17">
        <v>2011</v>
      </c>
      <c r="F3" s="17">
        <v>2012</v>
      </c>
      <c r="G3" s="17">
        <v>2013</v>
      </c>
      <c r="H3" s="17">
        <v>2014</v>
      </c>
      <c r="I3" s="17">
        <v>2015</v>
      </c>
      <c r="J3" s="17">
        <v>2016</v>
      </c>
      <c r="K3" s="17">
        <v>2017</v>
      </c>
      <c r="L3" s="17">
        <v>2018</v>
      </c>
      <c r="M3" s="17">
        <v>2019</v>
      </c>
      <c r="N3" s="18">
        <v>2020</v>
      </c>
      <c r="O3" s="26">
        <v>2021</v>
      </c>
      <c r="P3" s="27">
        <v>2022</v>
      </c>
      <c r="Q3" s="32"/>
      <c r="R3" s="30"/>
      <c r="S3" s="31"/>
      <c r="T3" s="29"/>
    </row>
    <row r="4" spans="1:20" s="3" customFormat="1" ht="90">
      <c r="A4" s="10" t="s">
        <v>9</v>
      </c>
      <c r="B4" s="14" t="s">
        <v>10</v>
      </c>
      <c r="C4" s="15" t="s">
        <v>11</v>
      </c>
      <c r="D4" s="20">
        <f>SUM(D6:D23)</f>
        <v>27.532</v>
      </c>
      <c r="E4" s="6">
        <f aca="true" t="shared" si="0" ref="E4:M4">SUM(E6:E23)</f>
        <v>26.298000000000002</v>
      </c>
      <c r="F4" s="6">
        <f t="shared" si="0"/>
        <v>20.615</v>
      </c>
      <c r="G4" s="6">
        <f t="shared" si="0"/>
        <v>20.909</v>
      </c>
      <c r="H4" s="6">
        <f t="shared" si="0"/>
        <v>21.695</v>
      </c>
      <c r="I4" s="6">
        <f t="shared" si="0"/>
        <v>21.497000000000003</v>
      </c>
      <c r="J4" s="6">
        <f>SUM(J6:J23)</f>
        <v>22.102</v>
      </c>
      <c r="K4" s="6">
        <f>SUM(K6:K23)</f>
        <v>17.901999999999997</v>
      </c>
      <c r="L4" s="6">
        <f t="shared" si="0"/>
        <v>16.793</v>
      </c>
      <c r="M4" s="6">
        <f t="shared" si="0"/>
        <v>6.152000000000001</v>
      </c>
      <c r="N4" s="21">
        <v>18.7</v>
      </c>
      <c r="O4" s="21">
        <v>8.5</v>
      </c>
      <c r="P4" s="21">
        <v>14.4</v>
      </c>
      <c r="Q4" s="19" t="s">
        <v>30</v>
      </c>
      <c r="R4" s="19" t="s">
        <v>31</v>
      </c>
      <c r="S4" s="19" t="s">
        <v>32</v>
      </c>
      <c r="T4" s="11">
        <v>1</v>
      </c>
    </row>
    <row r="5" spans="1:20" s="3" customFormat="1" ht="12.75">
      <c r="A5" s="10"/>
      <c r="B5" s="10" t="s">
        <v>12</v>
      </c>
      <c r="C5" s="2"/>
      <c r="D5" s="20"/>
      <c r="E5" s="6"/>
      <c r="F5" s="6"/>
      <c r="G5" s="6"/>
      <c r="H5" s="20"/>
      <c r="I5" s="6"/>
      <c r="J5" s="6"/>
      <c r="K5" s="6"/>
      <c r="L5" s="6"/>
      <c r="M5" s="6"/>
      <c r="N5" s="21"/>
      <c r="O5" s="21"/>
      <c r="P5" s="21"/>
      <c r="Q5" s="9"/>
      <c r="R5" s="9"/>
      <c r="S5" s="9"/>
      <c r="T5" s="9"/>
    </row>
    <row r="6" spans="1:20" s="3" customFormat="1" ht="12.75">
      <c r="A6" s="10"/>
      <c r="B6" s="5" t="s">
        <v>13</v>
      </c>
      <c r="C6" s="2"/>
      <c r="D6" s="6">
        <f>3780/1000</f>
        <v>3.78</v>
      </c>
      <c r="E6" s="6">
        <f>1870/1000</f>
        <v>1.87</v>
      </c>
      <c r="F6" s="6">
        <f>1090/1000</f>
        <v>1.09</v>
      </c>
      <c r="G6" s="6">
        <f>1033/1000</f>
        <v>1.033</v>
      </c>
      <c r="H6" s="6">
        <f>1446/1000</f>
        <v>1.446</v>
      </c>
      <c r="I6" s="6">
        <f>1971/1000</f>
        <v>1.971</v>
      </c>
      <c r="J6" s="6">
        <f>1902/1000</f>
        <v>1.902</v>
      </c>
      <c r="K6" s="6">
        <f>1819/1000</f>
        <v>1.819</v>
      </c>
      <c r="L6" s="6">
        <f>1546/1000</f>
        <v>1.546</v>
      </c>
      <c r="M6" s="6">
        <f>139/1000</f>
        <v>0.139</v>
      </c>
      <c r="N6" s="21">
        <v>1.2</v>
      </c>
      <c r="O6" s="21">
        <v>0.74</v>
      </c>
      <c r="P6" s="21">
        <v>2.4</v>
      </c>
      <c r="Q6" s="9"/>
      <c r="R6" s="9"/>
      <c r="S6" s="12"/>
      <c r="T6" s="9"/>
    </row>
    <row r="7" spans="1:20" s="3" customFormat="1" ht="12.75">
      <c r="A7" s="10"/>
      <c r="B7" s="5" t="s">
        <v>14</v>
      </c>
      <c r="C7" s="2"/>
      <c r="D7" s="6">
        <f>3033/1000</f>
        <v>3.033</v>
      </c>
      <c r="E7" s="6">
        <f>2809/1000</f>
        <v>2.809</v>
      </c>
      <c r="F7" s="6">
        <f>987/1000</f>
        <v>0.987</v>
      </c>
      <c r="G7" s="6">
        <f>1455/1000</f>
        <v>1.455</v>
      </c>
      <c r="H7" s="6">
        <f>1197/1000</f>
        <v>1.197</v>
      </c>
      <c r="I7" s="6">
        <f>2092/1000</f>
        <v>2.092</v>
      </c>
      <c r="J7" s="6">
        <f>1154/1000</f>
        <v>1.154</v>
      </c>
      <c r="K7" s="6">
        <f>746/1000</f>
        <v>0.746</v>
      </c>
      <c r="L7" s="6">
        <f>538/1000</f>
        <v>0.538</v>
      </c>
      <c r="M7" s="6">
        <f>80/1000</f>
        <v>0.08</v>
      </c>
      <c r="N7" s="21">
        <v>1.2</v>
      </c>
      <c r="O7" s="21">
        <v>0.42</v>
      </c>
      <c r="P7" s="21">
        <v>0.9</v>
      </c>
      <c r="Q7" s="9"/>
      <c r="R7" s="9"/>
      <c r="S7" s="9"/>
      <c r="T7" s="9"/>
    </row>
    <row r="8" spans="1:20" s="3" customFormat="1" ht="12.75">
      <c r="A8" s="10"/>
      <c r="B8" s="5" t="s">
        <v>15</v>
      </c>
      <c r="C8" s="2"/>
      <c r="D8" s="6">
        <f>1516/1000</f>
        <v>1.516</v>
      </c>
      <c r="E8" s="6">
        <f>2746/1000</f>
        <v>2.746</v>
      </c>
      <c r="F8" s="6">
        <f>2261/1000</f>
        <v>2.261</v>
      </c>
      <c r="G8" s="6">
        <f>2539/1000</f>
        <v>2.539</v>
      </c>
      <c r="H8" s="6">
        <f>2020/1000</f>
        <v>2.02</v>
      </c>
      <c r="I8" s="6">
        <f>1709/1000</f>
        <v>1.709</v>
      </c>
      <c r="J8" s="6">
        <f>1650/1000</f>
        <v>1.65</v>
      </c>
      <c r="K8" s="6">
        <f>1270/1000</f>
        <v>1.27</v>
      </c>
      <c r="L8" s="6">
        <f>866/1000</f>
        <v>0.866</v>
      </c>
      <c r="M8" s="6">
        <f>973/1000</f>
        <v>0.973</v>
      </c>
      <c r="N8" s="21">
        <v>2.8</v>
      </c>
      <c r="O8" s="21">
        <v>0.32</v>
      </c>
      <c r="P8" s="21">
        <v>1</v>
      </c>
      <c r="Q8" s="9"/>
      <c r="R8" s="9"/>
      <c r="S8" s="9"/>
      <c r="T8" s="9"/>
    </row>
    <row r="9" spans="1:20" s="3" customFormat="1" ht="12.75">
      <c r="A9" s="10"/>
      <c r="B9" s="5" t="s">
        <v>16</v>
      </c>
      <c r="C9" s="2"/>
      <c r="D9" s="6">
        <f>1536/1000</f>
        <v>1.536</v>
      </c>
      <c r="E9" s="6">
        <f>1198/1000</f>
        <v>1.198</v>
      </c>
      <c r="F9" s="6">
        <f>695/1000</f>
        <v>0.695</v>
      </c>
      <c r="G9" s="6">
        <f>580/1000</f>
        <v>0.58</v>
      </c>
      <c r="H9" s="6">
        <f>967/1000</f>
        <v>0.967</v>
      </c>
      <c r="I9" s="6">
        <f>980/1000</f>
        <v>0.98</v>
      </c>
      <c r="J9" s="6">
        <f>1435/1000</f>
        <v>1.435</v>
      </c>
      <c r="K9" s="6">
        <f>744/1000</f>
        <v>0.744</v>
      </c>
      <c r="L9" s="6">
        <f>362/1000</f>
        <v>0.362</v>
      </c>
      <c r="M9" s="6">
        <f>113/1000</f>
        <v>0.113</v>
      </c>
      <c r="N9" s="21">
        <v>0.6</v>
      </c>
      <c r="O9" s="21">
        <v>0.14</v>
      </c>
      <c r="P9" s="21">
        <v>0.6</v>
      </c>
      <c r="Q9" s="9"/>
      <c r="R9" s="9"/>
      <c r="S9" s="9"/>
      <c r="T9" s="9"/>
    </row>
    <row r="10" spans="1:20" s="3" customFormat="1" ht="12.75">
      <c r="A10" s="10"/>
      <c r="B10" s="5" t="s">
        <v>17</v>
      </c>
      <c r="C10" s="2"/>
      <c r="D10" s="6">
        <f>1034/1000</f>
        <v>1.034</v>
      </c>
      <c r="E10" s="6">
        <f>784/1000</f>
        <v>0.784</v>
      </c>
      <c r="F10" s="6">
        <f>756/1000</f>
        <v>0.756</v>
      </c>
      <c r="G10" s="6">
        <f>601/1000</f>
        <v>0.601</v>
      </c>
      <c r="H10" s="6">
        <f>913/1000</f>
        <v>0.913</v>
      </c>
      <c r="I10" s="6">
        <f>873/1000</f>
        <v>0.873</v>
      </c>
      <c r="J10" s="6">
        <f>1028/1000</f>
        <v>1.028</v>
      </c>
      <c r="K10" s="6">
        <f>1036/1000</f>
        <v>1.036</v>
      </c>
      <c r="L10" s="6">
        <f>497/1000</f>
        <v>0.497</v>
      </c>
      <c r="M10" s="4" t="s">
        <v>0</v>
      </c>
      <c r="N10" s="22">
        <v>0.3</v>
      </c>
      <c r="O10" s="21">
        <v>0.22</v>
      </c>
      <c r="P10" s="21">
        <v>0.6</v>
      </c>
      <c r="Q10" s="9"/>
      <c r="R10" s="9"/>
      <c r="S10" s="9"/>
      <c r="T10" s="9"/>
    </row>
    <row r="11" spans="1:20" s="3" customFormat="1" ht="12.75">
      <c r="A11" s="10"/>
      <c r="B11" s="5" t="s">
        <v>18</v>
      </c>
      <c r="C11" s="2"/>
      <c r="D11" s="13">
        <f>2805/1000</f>
        <v>2.805</v>
      </c>
      <c r="E11" s="13">
        <f>2125/1000</f>
        <v>2.125</v>
      </c>
      <c r="F11" s="6">
        <f>430/1000</f>
        <v>0.43</v>
      </c>
      <c r="G11" s="6">
        <f>838/1000</f>
        <v>0.838</v>
      </c>
      <c r="H11" s="6">
        <f>1593/1000</f>
        <v>1.593</v>
      </c>
      <c r="I11" s="6">
        <f>1215/1000</f>
        <v>1.215</v>
      </c>
      <c r="J11" s="6">
        <f>1146/1000</f>
        <v>1.146</v>
      </c>
      <c r="K11" s="6">
        <f>1416/1000</f>
        <v>1.416</v>
      </c>
      <c r="L11" s="6">
        <f>1091/1000</f>
        <v>1.091</v>
      </c>
      <c r="M11" s="6">
        <f>127/1000</f>
        <v>0.127</v>
      </c>
      <c r="N11" s="21">
        <v>1.4</v>
      </c>
      <c r="O11" s="21">
        <v>0.6</v>
      </c>
      <c r="P11" s="21">
        <v>0.6</v>
      </c>
      <c r="Q11" s="9"/>
      <c r="R11" s="9"/>
      <c r="S11" s="9"/>
      <c r="T11" s="9"/>
    </row>
    <row r="12" spans="1:20" s="3" customFormat="1" ht="12.75">
      <c r="A12" s="10"/>
      <c r="B12" s="5" t="s">
        <v>19</v>
      </c>
      <c r="C12" s="2"/>
      <c r="D12" s="6">
        <f>2163/1000</f>
        <v>2.163</v>
      </c>
      <c r="E12" s="6">
        <f>1933/1000</f>
        <v>1.933</v>
      </c>
      <c r="F12" s="6">
        <f>1610/1000</f>
        <v>1.61</v>
      </c>
      <c r="G12" s="6">
        <f>1561/1000</f>
        <v>1.561</v>
      </c>
      <c r="H12" s="6">
        <f>1637/1000</f>
        <v>1.637</v>
      </c>
      <c r="I12" s="6">
        <f>1549/1000</f>
        <v>1.549</v>
      </c>
      <c r="J12" s="6">
        <f>2098/1000</f>
        <v>2.098</v>
      </c>
      <c r="K12" s="6">
        <f>601/1000</f>
        <v>0.601</v>
      </c>
      <c r="L12" s="6">
        <f>989/1000</f>
        <v>0.989</v>
      </c>
      <c r="M12" s="6">
        <f>881/1000</f>
        <v>0.881</v>
      </c>
      <c r="N12" s="21">
        <v>2.5</v>
      </c>
      <c r="O12" s="21">
        <v>0.8</v>
      </c>
      <c r="P12" s="21">
        <v>1.7</v>
      </c>
      <c r="Q12" s="9"/>
      <c r="R12" s="9"/>
      <c r="S12" s="9"/>
      <c r="T12" s="9"/>
    </row>
    <row r="13" spans="1:20" s="3" customFormat="1" ht="12.75">
      <c r="A13" s="10"/>
      <c r="B13" s="5" t="s">
        <v>20</v>
      </c>
      <c r="C13" s="2"/>
      <c r="D13" s="6">
        <f>1300/1000</f>
        <v>1.3</v>
      </c>
      <c r="E13" s="6">
        <f>1881/1000</f>
        <v>1.881</v>
      </c>
      <c r="F13" s="6">
        <f>1528/1000</f>
        <v>1.528</v>
      </c>
      <c r="G13" s="6">
        <f>1544/1000</f>
        <v>1.544</v>
      </c>
      <c r="H13" s="6">
        <f>955/1000</f>
        <v>0.955</v>
      </c>
      <c r="I13" s="6">
        <f>626/1000</f>
        <v>0.626</v>
      </c>
      <c r="J13" s="6">
        <f>497/1000</f>
        <v>0.497</v>
      </c>
      <c r="K13" s="6">
        <f>394/1000</f>
        <v>0.394</v>
      </c>
      <c r="L13" s="6">
        <f>378/1000</f>
        <v>0.378</v>
      </c>
      <c r="M13" s="6">
        <f>550/1000</f>
        <v>0.55</v>
      </c>
      <c r="N13" s="21">
        <v>0.4</v>
      </c>
      <c r="O13" s="21">
        <v>0.2</v>
      </c>
      <c r="P13" s="21">
        <v>0.6</v>
      </c>
      <c r="Q13" s="9"/>
      <c r="R13" s="9"/>
      <c r="S13" s="9"/>
      <c r="T13" s="9"/>
    </row>
    <row r="14" spans="1:20" s="3" customFormat="1" ht="12.75">
      <c r="A14" s="10"/>
      <c r="B14" s="5" t="s">
        <v>21</v>
      </c>
      <c r="C14" s="2"/>
      <c r="D14" s="6">
        <f>347/1000</f>
        <v>0.347</v>
      </c>
      <c r="E14" s="6">
        <f>767/1000</f>
        <v>0.767</v>
      </c>
      <c r="F14" s="6">
        <f>315/1000</f>
        <v>0.315</v>
      </c>
      <c r="G14" s="13">
        <f>95/1000</f>
        <v>0.095</v>
      </c>
      <c r="H14" s="6">
        <f>1023/1000</f>
        <v>1.023</v>
      </c>
      <c r="I14" s="6">
        <f>953/1000</f>
        <v>0.953</v>
      </c>
      <c r="J14" s="6">
        <f>679/1000</f>
        <v>0.679</v>
      </c>
      <c r="K14" s="6">
        <f>145/1000</f>
        <v>0.145</v>
      </c>
      <c r="L14" s="6">
        <f>486/1000</f>
        <v>0.486</v>
      </c>
      <c r="M14" s="6">
        <f>105/1000</f>
        <v>0.105</v>
      </c>
      <c r="N14" s="21">
        <v>0.3</v>
      </c>
      <c r="O14" s="21">
        <v>0.1</v>
      </c>
      <c r="P14" s="21">
        <v>0.2</v>
      </c>
      <c r="Q14" s="9"/>
      <c r="R14" s="9"/>
      <c r="S14" s="9"/>
      <c r="T14" s="9"/>
    </row>
    <row r="15" spans="1:20" s="3" customFormat="1" ht="12.75">
      <c r="A15" s="10"/>
      <c r="B15" s="5" t="s">
        <v>22</v>
      </c>
      <c r="C15" s="2"/>
      <c r="D15" s="6">
        <f>1633/1000</f>
        <v>1.633</v>
      </c>
      <c r="E15" s="6">
        <f>2260/1000</f>
        <v>2.26</v>
      </c>
      <c r="F15" s="6">
        <f>1962/1000</f>
        <v>1.962</v>
      </c>
      <c r="G15" s="6">
        <f>819/1000</f>
        <v>0.819</v>
      </c>
      <c r="H15" s="6">
        <f>1115/1000</f>
        <v>1.115</v>
      </c>
      <c r="I15" s="6">
        <f>983/1000</f>
        <v>0.983</v>
      </c>
      <c r="J15" s="6">
        <f>883/1000</f>
        <v>0.883</v>
      </c>
      <c r="K15" s="6">
        <f>853/1000</f>
        <v>0.853</v>
      </c>
      <c r="L15" s="6">
        <f>120/1000</f>
        <v>0.12</v>
      </c>
      <c r="M15" s="6">
        <f>40/1000</f>
        <v>0.04</v>
      </c>
      <c r="N15" s="21">
        <v>0.3</v>
      </c>
      <c r="O15" s="21">
        <v>0.61</v>
      </c>
      <c r="P15" s="21">
        <v>0.4</v>
      </c>
      <c r="Q15" s="9"/>
      <c r="R15" s="9"/>
      <c r="S15" s="9"/>
      <c r="T15" s="9"/>
    </row>
    <row r="16" spans="1:20" s="3" customFormat="1" ht="12.75">
      <c r="A16" s="10"/>
      <c r="B16" s="5" t="s">
        <v>23</v>
      </c>
      <c r="C16" s="2"/>
      <c r="D16" s="6">
        <f>2105/1000</f>
        <v>2.105</v>
      </c>
      <c r="E16" s="6">
        <f>1628/1000</f>
        <v>1.628</v>
      </c>
      <c r="F16" s="6">
        <f>2158/1000</f>
        <v>2.158</v>
      </c>
      <c r="G16" s="6">
        <f>3652/1000</f>
        <v>3.652</v>
      </c>
      <c r="H16" s="6">
        <f>3689/1000</f>
        <v>3.689</v>
      </c>
      <c r="I16" s="6">
        <f>2931/1000</f>
        <v>2.931</v>
      </c>
      <c r="J16" s="6">
        <f>1908/1000</f>
        <v>1.908</v>
      </c>
      <c r="K16" s="6">
        <f>2860/1000</f>
        <v>2.86</v>
      </c>
      <c r="L16" s="23" t="s">
        <v>0</v>
      </c>
      <c r="M16" s="23" t="s">
        <v>0</v>
      </c>
      <c r="N16" s="24" t="s">
        <v>0</v>
      </c>
      <c r="O16" s="24" t="s">
        <v>0</v>
      </c>
      <c r="P16" s="22" t="s">
        <v>0</v>
      </c>
      <c r="Q16" s="9"/>
      <c r="R16" s="9"/>
      <c r="S16" s="9"/>
      <c r="T16" s="9"/>
    </row>
    <row r="17" spans="1:20" s="3" customFormat="1" ht="12.75">
      <c r="A17" s="10"/>
      <c r="B17" s="5" t="s">
        <v>24</v>
      </c>
      <c r="C17" s="2"/>
      <c r="D17" s="6">
        <f>2513/1000</f>
        <v>2.513</v>
      </c>
      <c r="E17" s="6">
        <f>1278/1000</f>
        <v>1.278</v>
      </c>
      <c r="F17" s="6">
        <f>1432/1000</f>
        <v>1.432</v>
      </c>
      <c r="G17" s="6">
        <f>1257/1000</f>
        <v>1.257</v>
      </c>
      <c r="H17" s="6">
        <f>1589/1000</f>
        <v>1.589</v>
      </c>
      <c r="I17" s="6">
        <f>2192/1000</f>
        <v>2.192</v>
      </c>
      <c r="J17" s="6">
        <f>1324/1000</f>
        <v>1.324</v>
      </c>
      <c r="K17" s="6">
        <f>1055/1000</f>
        <v>1.055</v>
      </c>
      <c r="L17" s="6">
        <f>1436/1000</f>
        <v>1.436</v>
      </c>
      <c r="M17" s="6">
        <f>95/1000</f>
        <v>0.095</v>
      </c>
      <c r="N17" s="21">
        <v>0.2</v>
      </c>
      <c r="O17" s="21">
        <v>0.22</v>
      </c>
      <c r="P17" s="21">
        <v>0.1</v>
      </c>
      <c r="Q17" s="9"/>
      <c r="R17" s="9"/>
      <c r="S17" s="9"/>
      <c r="T17" s="9"/>
    </row>
    <row r="18" spans="1:20" s="3" customFormat="1" ht="12.75">
      <c r="A18" s="10"/>
      <c r="B18" s="5" t="s">
        <v>25</v>
      </c>
      <c r="C18" s="2"/>
      <c r="D18" s="6">
        <f>935/1000</f>
        <v>0.935</v>
      </c>
      <c r="E18" s="6">
        <f>561/1000</f>
        <v>0.561</v>
      </c>
      <c r="F18" s="6">
        <f>417/1000</f>
        <v>0.417</v>
      </c>
      <c r="G18" s="6">
        <f>358/1000</f>
        <v>0.358</v>
      </c>
      <c r="H18" s="6">
        <f>635/1000</f>
        <v>0.635</v>
      </c>
      <c r="I18" s="6">
        <f>937/1000</f>
        <v>0.937</v>
      </c>
      <c r="J18" s="6">
        <f>869/1000</f>
        <v>0.869</v>
      </c>
      <c r="K18" s="6">
        <f>380/1000</f>
        <v>0.38</v>
      </c>
      <c r="L18" s="6">
        <f>162/1000</f>
        <v>0.162</v>
      </c>
      <c r="M18" s="6">
        <f>158/1000</f>
        <v>0.158</v>
      </c>
      <c r="N18" s="21">
        <v>1.2</v>
      </c>
      <c r="O18" s="21">
        <v>0.7</v>
      </c>
      <c r="P18" s="21">
        <v>0.1</v>
      </c>
      <c r="Q18" s="9"/>
      <c r="R18" s="9"/>
      <c r="S18" s="9"/>
      <c r="T18" s="9"/>
    </row>
    <row r="19" spans="1:20" s="3" customFormat="1" ht="12.75">
      <c r="A19" s="10"/>
      <c r="B19" s="5" t="s">
        <v>26</v>
      </c>
      <c r="C19" s="2"/>
      <c r="D19" s="4"/>
      <c r="E19" s="4"/>
      <c r="F19" s="4"/>
      <c r="G19" s="4"/>
      <c r="H19" s="4"/>
      <c r="I19" s="4"/>
      <c r="J19" s="4"/>
      <c r="K19" s="4"/>
      <c r="L19" s="6">
        <f>1135/1000</f>
        <v>1.135</v>
      </c>
      <c r="M19" s="6">
        <f>541/1000</f>
        <v>0.541</v>
      </c>
      <c r="N19" s="21">
        <v>1.5</v>
      </c>
      <c r="O19" s="21">
        <v>0.4</v>
      </c>
      <c r="P19" s="21">
        <v>0.3</v>
      </c>
      <c r="Q19" s="9"/>
      <c r="R19" s="9"/>
      <c r="S19" s="9"/>
      <c r="T19" s="9"/>
    </row>
    <row r="20" spans="1:20" s="3" customFormat="1" ht="12.75">
      <c r="A20" s="10"/>
      <c r="B20" s="5" t="s">
        <v>27</v>
      </c>
      <c r="C20" s="2"/>
      <c r="D20" s="6">
        <f>1839/1000</f>
        <v>1.839</v>
      </c>
      <c r="E20" s="6">
        <f>1293/1000</f>
        <v>1.293</v>
      </c>
      <c r="F20" s="6">
        <f>2042/1000</f>
        <v>2.042</v>
      </c>
      <c r="G20" s="6">
        <f>1878/1000</f>
        <v>1.878</v>
      </c>
      <c r="H20" s="6">
        <f>2044/1000</f>
        <v>2.044</v>
      </c>
      <c r="I20" s="6">
        <f>1452/1000</f>
        <v>1.452</v>
      </c>
      <c r="J20" s="6">
        <f>1049/1000</f>
        <v>1.049</v>
      </c>
      <c r="K20" s="6">
        <f>3278/1000</f>
        <v>3.278</v>
      </c>
      <c r="L20" s="6">
        <f>1676/1000</f>
        <v>1.676</v>
      </c>
      <c r="M20" s="6">
        <f>480/1000</f>
        <v>0.48</v>
      </c>
      <c r="N20" s="21">
        <v>0.4</v>
      </c>
      <c r="O20" s="21">
        <v>2.2</v>
      </c>
      <c r="P20" s="21">
        <v>0.67</v>
      </c>
      <c r="Q20" s="9"/>
      <c r="R20" s="9"/>
      <c r="S20" s="9"/>
      <c r="T20" s="9"/>
    </row>
    <row r="21" spans="1:20" s="3" customFormat="1" ht="12.75">
      <c r="A21" s="10"/>
      <c r="B21" s="8" t="s">
        <v>33</v>
      </c>
      <c r="C21" s="2"/>
      <c r="D21" s="6">
        <f>466/1000</f>
        <v>0.466</v>
      </c>
      <c r="E21" s="6">
        <f>1059/1000</f>
        <v>1.059</v>
      </c>
      <c r="F21" s="6">
        <f>1328/1000</f>
        <v>1.328</v>
      </c>
      <c r="G21" s="6">
        <f>1165/1000</f>
        <v>1.165</v>
      </c>
      <c r="H21" s="6">
        <f>552/1000</f>
        <v>0.552</v>
      </c>
      <c r="I21" s="6">
        <f>565/1000</f>
        <v>0.565</v>
      </c>
      <c r="J21" s="6">
        <f>494/1000</f>
        <v>0.494</v>
      </c>
      <c r="K21" s="6">
        <f>230/1000</f>
        <v>0.23</v>
      </c>
      <c r="L21" s="6">
        <f>91/1000</f>
        <v>0.091</v>
      </c>
      <c r="M21" s="6">
        <f>75/1000</f>
        <v>0.075</v>
      </c>
      <c r="N21" s="21">
        <v>0.9</v>
      </c>
      <c r="O21" s="21">
        <v>0.22</v>
      </c>
      <c r="P21" s="21">
        <v>0.97</v>
      </c>
      <c r="Q21" s="9"/>
      <c r="R21" s="9"/>
      <c r="S21" s="9"/>
      <c r="T21" s="9"/>
    </row>
    <row r="22" spans="1:20" s="3" customFormat="1" ht="12.75">
      <c r="A22" s="10"/>
      <c r="B22" s="5" t="s">
        <v>28</v>
      </c>
      <c r="C22" s="2"/>
      <c r="D22" s="6">
        <f>527/1000</f>
        <v>0.527</v>
      </c>
      <c r="E22" s="6">
        <f>2106/1000</f>
        <v>2.106</v>
      </c>
      <c r="F22" s="6">
        <f>1604/1000</f>
        <v>1.604</v>
      </c>
      <c r="G22" s="6">
        <f>1534/1000</f>
        <v>1.534</v>
      </c>
      <c r="H22" s="6">
        <f>320/1000</f>
        <v>0.32</v>
      </c>
      <c r="I22" s="6">
        <f>469/1000</f>
        <v>0.469</v>
      </c>
      <c r="J22" s="6">
        <f>3986/1000</f>
        <v>3.986</v>
      </c>
      <c r="K22" s="6">
        <f>1075/1000</f>
        <v>1.075</v>
      </c>
      <c r="L22" s="6">
        <f>4100/1000</f>
        <v>4.1</v>
      </c>
      <c r="M22" s="6">
        <f>1225/1000</f>
        <v>1.225</v>
      </c>
      <c r="N22" s="21">
        <v>2.3</v>
      </c>
      <c r="O22" s="21">
        <v>0.5</v>
      </c>
      <c r="P22" s="21">
        <v>0.12</v>
      </c>
      <c r="Q22" s="9"/>
      <c r="R22" s="9"/>
      <c r="S22" s="9"/>
      <c r="T22" s="9"/>
    </row>
    <row r="23" spans="1:20" s="3" customFormat="1" ht="12.75">
      <c r="A23" s="10"/>
      <c r="B23" s="5" t="s">
        <v>29</v>
      </c>
      <c r="C23" s="2"/>
      <c r="D23" s="25"/>
      <c r="E23" s="25"/>
      <c r="F23" s="25"/>
      <c r="G23" s="25"/>
      <c r="H23" s="25"/>
      <c r="I23" s="25"/>
      <c r="J23" s="4"/>
      <c r="K23" s="25"/>
      <c r="L23" s="6">
        <f>1320/1000</f>
        <v>1.32</v>
      </c>
      <c r="M23" s="6">
        <f>570/1000</f>
        <v>0.57</v>
      </c>
      <c r="N23" s="21">
        <v>1.2</v>
      </c>
      <c r="O23" s="21">
        <v>0.6</v>
      </c>
      <c r="P23" s="21">
        <v>1.2</v>
      </c>
      <c r="Q23" s="9"/>
      <c r="R23" s="9"/>
      <c r="S23" s="9"/>
      <c r="T23" s="9"/>
    </row>
    <row r="24" s="3" customFormat="1" ht="12.75">
      <c r="T24" s="7"/>
    </row>
    <row r="25" s="3" customFormat="1" ht="12.75">
      <c r="T25" s="7"/>
    </row>
    <row r="26" s="3" customFormat="1" ht="12.75">
      <c r="T26" s="7"/>
    </row>
    <row r="27" s="3" customFormat="1" ht="12.75">
      <c r="T27" s="7"/>
    </row>
    <row r="28" s="3" customFormat="1" ht="12.75">
      <c r="T28" s="7"/>
    </row>
    <row r="29" s="3" customFormat="1" ht="12.75">
      <c r="T29" s="7"/>
    </row>
    <row r="30" s="3" customFormat="1" ht="12.75">
      <c r="T30" s="7"/>
    </row>
    <row r="31" s="3" customFormat="1" ht="12.75">
      <c r="T31" s="7"/>
    </row>
    <row r="32" s="3" customFormat="1" ht="12.75">
      <c r="T32" s="7"/>
    </row>
    <row r="33" s="3" customFormat="1" ht="12.75">
      <c r="T33" s="7"/>
    </row>
    <row r="34" s="3" customFormat="1" ht="12.75">
      <c r="T34" s="7"/>
    </row>
    <row r="35" s="3" customFormat="1" ht="12.75">
      <c r="T35" s="7"/>
    </row>
    <row r="36" s="3" customFormat="1" ht="12.75">
      <c r="T36" s="7"/>
    </row>
    <row r="37" s="3" customFormat="1" ht="12.75">
      <c r="T37" s="7"/>
    </row>
    <row r="38" s="3" customFormat="1" ht="12.75">
      <c r="T38" s="7"/>
    </row>
    <row r="39" s="3" customFormat="1" ht="12.75">
      <c r="T39" s="7"/>
    </row>
    <row r="40" s="3" customFormat="1" ht="12.75">
      <c r="T40" s="7"/>
    </row>
    <row r="41" s="3" customFormat="1" ht="12.75">
      <c r="T41" s="7"/>
    </row>
    <row r="42" s="3" customFormat="1" ht="12.75">
      <c r="T42" s="7"/>
    </row>
    <row r="43" s="3" customFormat="1" ht="12.75">
      <c r="T43" s="7"/>
    </row>
    <row r="44" s="3" customFormat="1" ht="12.75">
      <c r="T44" s="7"/>
    </row>
    <row r="45" s="3" customFormat="1" ht="12.75">
      <c r="T45" s="7"/>
    </row>
    <row r="46" s="3" customFormat="1" ht="12.75">
      <c r="T46" s="7"/>
    </row>
    <row r="47" s="3" customFormat="1" ht="12.75">
      <c r="T47" s="7"/>
    </row>
    <row r="48" s="3" customFormat="1" ht="12.75">
      <c r="T48" s="7"/>
    </row>
    <row r="49" s="3" customFormat="1" ht="12.75">
      <c r="T49" s="7"/>
    </row>
    <row r="50" s="3" customFormat="1" ht="12.75">
      <c r="T50" s="7"/>
    </row>
    <row r="51" s="3" customFormat="1" ht="12.75">
      <c r="T51" s="7"/>
    </row>
    <row r="52" s="3" customFormat="1" ht="12.75">
      <c r="T52" s="7"/>
    </row>
    <row r="53" s="3" customFormat="1" ht="12.75">
      <c r="T53" s="7"/>
    </row>
    <row r="54" s="3" customFormat="1" ht="12.75">
      <c r="T54" s="7"/>
    </row>
    <row r="55" s="3" customFormat="1" ht="12.75">
      <c r="T55" s="7"/>
    </row>
    <row r="56" s="3" customFormat="1" ht="12.75">
      <c r="T56" s="7"/>
    </row>
    <row r="57" s="3" customFormat="1" ht="12.75">
      <c r="T57" s="7"/>
    </row>
    <row r="58" s="3" customFormat="1" ht="12.75">
      <c r="T58" s="7"/>
    </row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>
      <c r="T389" s="3">
        <v>2</v>
      </c>
    </row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</sheetData>
  <sheetProtection/>
  <mergeCells count="8">
    <mergeCell ref="T2:T3"/>
    <mergeCell ref="A2:A3"/>
    <mergeCell ref="B2:B3"/>
    <mergeCell ref="C2:C3"/>
    <mergeCell ref="Q2:Q3"/>
    <mergeCell ref="R2:R3"/>
    <mergeCell ref="S2:S3"/>
    <mergeCell ref="D2:P2"/>
  </mergeCells>
  <printOptions/>
  <pageMargins left="0.7" right="0.7" top="0.75" bottom="0.75" header="0.3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a.abraeva</cp:lastModifiedBy>
  <cp:lastPrinted>2020-05-22T03:17:10Z</cp:lastPrinted>
  <dcterms:created xsi:type="dcterms:W3CDTF">2018-05-14T10:11:55Z</dcterms:created>
  <dcterms:modified xsi:type="dcterms:W3CDTF">2023-09-28T10:43:44Z</dcterms:modified>
  <cp:category/>
  <cp:version/>
  <cp:contentType/>
  <cp:contentStatus/>
</cp:coreProperties>
</file>