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ДЕМ\!!!!!Бюллетени на сайт\Динамические таблицы\2026\июнь\растениеводство с 1990 года\"/>
    </mc:Choice>
  </mc:AlternateContent>
  <xr:revisionPtr revIDLastSave="0" documentId="13_ncr:1_{E7C049A4-B664-4577-9244-2CED198735D1}" xr6:coauthVersionLast="47" xr6:coauthVersionMax="47" xr10:uidLastSave="{00000000-0000-0000-0000-000000000000}"/>
  <bookViews>
    <workbookView xWindow="-120" yWindow="-120" windowWidth="29040" windowHeight="15720" tabRatio="812" firstSheet="2" activeTab="8" xr2:uid="{00000000-000D-0000-FFFF-FFFF00000000}"/>
  </bookViews>
  <sheets>
    <sheet name="Посевная площадь ВКО" sheetId="5" r:id="rId1"/>
    <sheet name="Посевная площадь (1990-2021)" sheetId="2" r:id="rId2"/>
    <sheet name="Посевная площадь (2022-2025)" sheetId="8" r:id="rId3"/>
    <sheet name="Валовой сбор ВКО" sheetId="7" r:id="rId4"/>
    <sheet name="Валовой сбор (регионы)" sheetId="3" r:id="rId5"/>
    <sheet name="Валовый сбор (2022-2025)" sheetId="9" r:id="rId6"/>
    <sheet name="Урожайность ВКО" sheetId="6" r:id="rId7"/>
    <sheet name="Урожайность (регионы)" sheetId="4" r:id="rId8"/>
    <sheet name="Урожайность (2022-2025)" sheetId="10" r:id="rId9"/>
  </sheets>
  <definedNames>
    <definedName name="_xlnm._FilterDatabase" localSheetId="4" hidden="1">'Валовой сбор (регионы)'!#REF!</definedName>
    <definedName name="_xlnm._FilterDatabase" localSheetId="1" hidden="1">'Посевная площадь (1990-2021)'!$A$2:$N$2</definedName>
    <definedName name="_xlnm._FilterDatabase" localSheetId="2" hidden="1">'Посевная площадь (2022-2025)'!$A$2:$A$2</definedName>
    <definedName name="_xlnm._FilterDatabase" localSheetId="7" hidden="1">'Урожайность (регионы)'!#REF!</definedName>
    <definedName name="_xlnm.Print_Area" localSheetId="4">'Валовой сбор (регионы)'!$A$1:$AG$137</definedName>
    <definedName name="_xlnm.Print_Area" localSheetId="1">'Посевная площадь (1990-2021)'!$A$1:$AG$133</definedName>
    <definedName name="_xlnm.Print_Area" localSheetId="2">'Посевная площадь (2022-2025)'!$A$1:$D$99</definedName>
    <definedName name="_xlnm.Print_Area" localSheetId="7">'Урожайность (регионы)'!$A$2:$AG$136</definedName>
  </definedNames>
  <calcPr calcId="191029"/>
</workbook>
</file>

<file path=xl/calcChain.xml><?xml version="1.0" encoding="utf-8"?>
<calcChain xmlns="http://schemas.openxmlformats.org/spreadsheetml/2006/main">
  <c r="W126" i="4" l="1"/>
  <c r="W101" i="4"/>
  <c r="W19" i="4"/>
  <c r="AG112" i="2"/>
  <c r="AG111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G104" i="2"/>
  <c r="AG103" i="2"/>
  <c r="AG102" i="2"/>
  <c r="AG100" i="2"/>
  <c r="AG99" i="2"/>
  <c r="AG98" i="2"/>
  <c r="AG97" i="2"/>
  <c r="AG96" i="2"/>
  <c r="AG95" i="2"/>
  <c r="AG94" i="2"/>
  <c r="AG93" i="2"/>
  <c r="AG92" i="2"/>
  <c r="AG91" i="2"/>
  <c r="AG87" i="2"/>
  <c r="AG86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87" i="2"/>
  <c r="AF86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87" i="2"/>
  <c r="AE86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87" i="2"/>
  <c r="AD86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87" i="2"/>
  <c r="AC86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87" i="2"/>
  <c r="AB86" i="2"/>
</calcChain>
</file>

<file path=xl/sharedStrings.xml><?xml version="1.0" encoding="utf-8"?>
<sst xmlns="http://schemas.openxmlformats.org/spreadsheetml/2006/main" count="4350" uniqueCount="91">
  <si>
    <t>Пшеница</t>
  </si>
  <si>
    <t>Ячмень</t>
  </si>
  <si>
    <t xml:space="preserve"> Кукуруза</t>
  </si>
  <si>
    <t>Подсолнечник</t>
  </si>
  <si>
    <t>Картофель</t>
  </si>
  <si>
    <t xml:space="preserve">Ячмень </t>
  </si>
  <si>
    <t>Кукуруза</t>
  </si>
  <si>
    <t>тыс. гектар</t>
  </si>
  <si>
    <t>тыс.тонн</t>
  </si>
  <si>
    <t>центнеров с 1 га</t>
  </si>
  <si>
    <t>-</t>
  </si>
  <si>
    <t>Подсолнечник (в всесе после доработки)</t>
  </si>
  <si>
    <t>Сахарная свекла (в весе после доработки)</t>
  </si>
  <si>
    <t xml:space="preserve"> Пшеница (в весе после доработки)</t>
  </si>
  <si>
    <t>Валовой сбор основных сельскохозяйственных культур по Республике Казахстан</t>
  </si>
  <si>
    <t xml:space="preserve"> </t>
  </si>
  <si>
    <t>".." - на основе административно-территориальных преобразований.</t>
  </si>
  <si>
    <t>Уточненная посевная площадь основных сельскохозяйственных культур</t>
  </si>
  <si>
    <t>тысяч гектаров</t>
  </si>
  <si>
    <t>Общая уточненная посевная площадь*</t>
  </si>
  <si>
    <t>Зерновые (включая рис) и бобовые культуры</t>
  </si>
  <si>
    <t xml:space="preserve">Культуры масличные </t>
  </si>
  <si>
    <t>из них: семена
подсолнечника</t>
  </si>
  <si>
    <t>Картофель*</t>
  </si>
  <si>
    <t>Овощи открытого грунта*</t>
  </si>
  <si>
    <t xml:space="preserve">Культуры бахчевые </t>
  </si>
  <si>
    <t>Кормовые культуры</t>
  </si>
  <si>
    <t>2023*</t>
  </si>
  <si>
    <t>Урожайность основных сельскохозяйственных культур</t>
  </si>
  <si>
    <t>центнеров с одного гектара</t>
  </si>
  <si>
    <t>Зерновые (включая рис) и бобовые культуры (в весе после доработки)</t>
  </si>
  <si>
    <t>Семена масличных культур</t>
  </si>
  <si>
    <t>из них: семена
подсолнечника 
(в весе после доработки)</t>
  </si>
  <si>
    <t>Бахчевые культуры</t>
  </si>
  <si>
    <t>…</t>
  </si>
  <si>
    <t>Валовой сбор основных сельскохозяйственных культур</t>
  </si>
  <si>
    <t>тысяч тонн</t>
  </si>
  <si>
    <t>из них:
семена подсолнечника (в весе после доработки)</t>
  </si>
  <si>
    <t>Овощи открытого и закрытого грунта грунта*</t>
  </si>
  <si>
    <t>*-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растениеводства за 2023 год в отношении крестьянских и фермерских хозяйств и хозяйств населения.</t>
  </si>
  <si>
    <t>г.Усть-Каменогорск</t>
  </si>
  <si>
    <t>г.Семей</t>
  </si>
  <si>
    <t xml:space="preserve">г.Риддер </t>
  </si>
  <si>
    <t>г.Курчатов</t>
  </si>
  <si>
    <t xml:space="preserve">Абайский </t>
  </si>
  <si>
    <t>Аягозский</t>
  </si>
  <si>
    <t xml:space="preserve">Бескарагайский </t>
  </si>
  <si>
    <t>Бородулихинский</t>
  </si>
  <si>
    <t>Глубоковский</t>
  </si>
  <si>
    <t>Жарминский</t>
  </si>
  <si>
    <t>Зайсанский</t>
  </si>
  <si>
    <t>Зыряновский</t>
  </si>
  <si>
    <t>Катон-Карагайский</t>
  </si>
  <si>
    <t>Кокпектинский</t>
  </si>
  <si>
    <t>Курчумский</t>
  </si>
  <si>
    <t>Тарбагатайский</t>
  </si>
  <si>
    <t>Уланский</t>
  </si>
  <si>
    <t>Урджарский</t>
  </si>
  <si>
    <t>Шемонаихинский</t>
  </si>
  <si>
    <t>"..." - данные не найдены</t>
  </si>
  <si>
    <t>Посевная площадь основных сельскохозяйственных культур в Восточно-Казахстанской области</t>
  </si>
  <si>
    <t>Район Алтай</t>
  </si>
  <si>
    <t>Район Маркакол</t>
  </si>
  <si>
    <t>Район Самар</t>
  </si>
  <si>
    <t>Район Улкен-Нарын</t>
  </si>
  <si>
    <t>Зайсанский район</t>
  </si>
  <si>
    <t>Курчумский район</t>
  </si>
  <si>
    <t>Катонкарагайский район</t>
  </si>
  <si>
    <t>район Марқакөл</t>
  </si>
  <si>
    <t>Марқакөл ауданы</t>
  </si>
  <si>
    <t>Үлкен Нарын ауданы</t>
  </si>
  <si>
    <t>г. Усть-Каменогорск</t>
  </si>
  <si>
    <t>г. Риддер</t>
  </si>
  <si>
    <t>Район Марқакөл</t>
  </si>
  <si>
    <t>Район Үлкен Нарын</t>
  </si>
  <si>
    <t>Катон-Қарағай ауданы</t>
  </si>
  <si>
    <t xml:space="preserve">г.Усть-Каменогорск </t>
  </si>
  <si>
    <t xml:space="preserve">г .Риддер </t>
  </si>
  <si>
    <t>Күрчумский</t>
  </si>
  <si>
    <t>Уланскийский</t>
  </si>
  <si>
    <t>Уланский район</t>
  </si>
  <si>
    <t>Тарбагатайский район</t>
  </si>
  <si>
    <t>Катон-Карагайский район</t>
  </si>
  <si>
    <t>Глубоковский район</t>
  </si>
  <si>
    <t>Г. Риддер</t>
  </si>
  <si>
    <t>Восточно-Казахстанская область</t>
  </si>
  <si>
    <t>город Риддер</t>
  </si>
  <si>
    <t>г.Риддер</t>
  </si>
  <si>
    <t>Восточно-Казахстанская область область</t>
  </si>
  <si>
    <t>Посевная площадь основных сельскохозяйственных культур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</si>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</sst>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##\ ###\ ###\ ###\ ##0.0"/>
    <numFmt numFmtId="168" formatCode="0.0_ ;\-0.0\ "/>
    <numFmt numFmtId="169" formatCode="#,##0.0_ ;\-#,##0.0\ "/>
    <numFmt numFmtId="170" formatCode="###\ ###\ ###\ ##0.0"/>
  </numFmts>
  <fonts count="43">
    <font>
      <sz val="10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Roboto"/>
      <charset val="204"/>
    </font>
    <font>
      <b/>
      <sz val="10"/>
      <name val="Roboto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</font>
    <font>
      <sz val="8"/>
      <name val="Roboto"/>
    </font>
    <font>
      <sz val="9"/>
      <name val="Calibri"/>
      <family val="2"/>
      <charset val="204"/>
    </font>
    <font>
      <b/>
      <sz val="10"/>
      <name val="Roboto"/>
    </font>
    <font>
      <b/>
      <sz val="8"/>
      <name val="Roboto"/>
    </font>
    <font>
      <b/>
      <sz val="8"/>
      <color indexed="8"/>
      <name val="Roboto"/>
    </font>
    <font>
      <i/>
      <sz val="8"/>
      <name val="Roboto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1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25" fillId="2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25" fillId="2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25" fillId="2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25" fillId="2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5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29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8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23" borderId="8" applyNumberFormat="0" applyFont="0" applyAlignment="0" applyProtection="0"/>
    <xf numFmtId="0" fontId="1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/>
  </cellStyleXfs>
  <cellXfs count="165">
    <xf numFmtId="0" fontId="0" fillId="0" borderId="0" xfId="0"/>
    <xf numFmtId="49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2" fillId="0" borderId="10" xfId="0" applyFont="1" applyBorder="1"/>
    <xf numFmtId="166" fontId="3" fillId="0" borderId="0" xfId="0" applyNumberFormat="1" applyFont="1" applyAlignment="1">
      <alignment horizontal="right"/>
    </xf>
    <xf numFmtId="1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1" fontId="2" fillId="0" borderId="10" xfId="0" applyNumberFormat="1" applyFont="1" applyBorder="1"/>
    <xf numFmtId="166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6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49" fontId="2" fillId="0" borderId="10" xfId="0" applyNumberFormat="1" applyFont="1" applyBorder="1"/>
    <xf numFmtId="166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0" fillId="0" borderId="0" xfId="0" applyFont="1"/>
    <xf numFmtId="166" fontId="2" fillId="0" borderId="11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66" fontId="2" fillId="0" borderId="11" xfId="0" applyNumberFormat="1" applyFont="1" applyBorder="1" applyAlignment="1">
      <alignment horizontal="right"/>
    </xf>
    <xf numFmtId="166" fontId="2" fillId="0" borderId="12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vertical="top" wrapText="1"/>
    </xf>
    <xf numFmtId="165" fontId="2" fillId="0" borderId="11" xfId="0" applyNumberFormat="1" applyFont="1" applyBorder="1" applyAlignment="1">
      <alignment horizontal="right" wrapText="1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right" vertical="top"/>
    </xf>
    <xf numFmtId="165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/>
    <xf numFmtId="165" fontId="2" fillId="0" borderId="11" xfId="0" applyNumberFormat="1" applyFont="1" applyBorder="1" applyAlignment="1">
      <alignment wrapText="1"/>
    </xf>
    <xf numFmtId="49" fontId="30" fillId="0" borderId="0" xfId="0" applyNumberFormat="1" applyFont="1"/>
    <xf numFmtId="2" fontId="30" fillId="0" borderId="0" xfId="0" applyNumberFormat="1" applyFont="1"/>
    <xf numFmtId="166" fontId="2" fillId="0" borderId="12" xfId="0" applyNumberFormat="1" applyFont="1" applyBorder="1"/>
    <xf numFmtId="0" fontId="2" fillId="0" borderId="11" xfId="0" applyFont="1" applyBorder="1" applyAlignment="1">
      <alignment horizontal="right"/>
    </xf>
    <xf numFmtId="166" fontId="2" fillId="0" borderId="11" xfId="0" applyNumberFormat="1" applyFont="1" applyBorder="1"/>
    <xf numFmtId="0" fontId="2" fillId="0" borderId="11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/>
    </xf>
    <xf numFmtId="166" fontId="2" fillId="0" borderId="12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169" fontId="2" fillId="0" borderId="0" xfId="0" applyNumberFormat="1" applyFont="1"/>
    <xf numFmtId="0" fontId="2" fillId="0" borderId="11" xfId="0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wrapText="1"/>
    </xf>
    <xf numFmtId="165" fontId="2" fillId="0" borderId="12" xfId="0" applyNumberFormat="1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/>
    <xf numFmtId="167" fontId="2" fillId="0" borderId="11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8" fontId="2" fillId="0" borderId="11" xfId="460" applyNumberFormat="1" applyFont="1" applyBorder="1" applyAlignment="1">
      <alignment horizontal="right"/>
    </xf>
    <xf numFmtId="168" fontId="2" fillId="0" borderId="11" xfId="296" applyNumberFormat="1" applyFont="1" applyBorder="1" applyAlignment="1">
      <alignment horizontal="right"/>
    </xf>
    <xf numFmtId="0" fontId="4" fillId="0" borderId="0" xfId="297" applyFont="1" applyAlignment="1">
      <alignment wrapText="1"/>
    </xf>
    <xf numFmtId="165" fontId="2" fillId="0" borderId="10" xfId="0" applyNumberFormat="1" applyFont="1" applyBorder="1"/>
    <xf numFmtId="166" fontId="2" fillId="0" borderId="10" xfId="0" applyNumberFormat="1" applyFont="1" applyBorder="1"/>
    <xf numFmtId="170" fontId="2" fillId="0" borderId="11" xfId="0" applyNumberFormat="1" applyFont="1" applyBorder="1" applyAlignment="1">
      <alignment horizontal="right" wrapText="1"/>
    </xf>
    <xf numFmtId="165" fontId="3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1" fillId="0" borderId="0" xfId="0" applyFont="1"/>
    <xf numFmtId="0" fontId="3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70" fontId="36" fillId="0" borderId="0" xfId="0" applyNumberFormat="1" applyFont="1" applyAlignment="1">
      <alignment horizontal="right" wrapText="1"/>
    </xf>
    <xf numFmtId="166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left" wrapText="1"/>
    </xf>
    <xf numFmtId="0" fontId="35" fillId="0" borderId="0" xfId="0" applyFont="1" applyAlignment="1">
      <alignment horizontal="right" wrapText="1"/>
    </xf>
    <xf numFmtId="170" fontId="36" fillId="0" borderId="10" xfId="0" applyNumberFormat="1" applyFont="1" applyBorder="1" applyAlignment="1">
      <alignment horizontal="right" wrapText="1"/>
    </xf>
    <xf numFmtId="166" fontId="36" fillId="0" borderId="10" xfId="0" applyNumberFormat="1" applyFont="1" applyBorder="1" applyAlignment="1">
      <alignment horizontal="right" wrapText="1"/>
    </xf>
    <xf numFmtId="166" fontId="33" fillId="0" borderId="0" xfId="0" applyNumberFormat="1" applyFont="1" applyAlignment="1">
      <alignment horizontal="right"/>
    </xf>
    <xf numFmtId="166" fontId="37" fillId="0" borderId="0" xfId="0" applyNumberFormat="1" applyFont="1" applyAlignment="1">
      <alignment horizontal="right" wrapText="1"/>
    </xf>
    <xf numFmtId="166" fontId="37" fillId="0" borderId="10" xfId="0" applyNumberFormat="1" applyFont="1" applyBorder="1" applyAlignment="1">
      <alignment horizontal="right" wrapText="1"/>
    </xf>
    <xf numFmtId="166" fontId="36" fillId="0" borderId="13" xfId="0" applyNumberFormat="1" applyFont="1" applyBorder="1" applyAlignment="1">
      <alignment horizontal="right" wrapText="1"/>
    </xf>
    <xf numFmtId="1" fontId="37" fillId="0" borderId="0" xfId="0" applyNumberFormat="1" applyFont="1"/>
    <xf numFmtId="0" fontId="36" fillId="0" borderId="0" xfId="0" applyFont="1" applyAlignment="1">
      <alignment horizontal="right" wrapText="1"/>
    </xf>
    <xf numFmtId="166" fontId="37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left" wrapText="1"/>
    </xf>
    <xf numFmtId="168" fontId="37" fillId="0" borderId="0" xfId="0" applyNumberFormat="1" applyFont="1" applyAlignment="1">
      <alignment horizontal="right" vertical="center"/>
    </xf>
    <xf numFmtId="168" fontId="37" fillId="0" borderId="10" xfId="0" applyNumberFormat="1" applyFont="1" applyBorder="1" applyAlignment="1">
      <alignment horizontal="right" vertical="center"/>
    </xf>
    <xf numFmtId="169" fontId="34" fillId="0" borderId="0" xfId="0" applyNumberFormat="1" applyFont="1" applyAlignment="1">
      <alignment horizontal="right"/>
    </xf>
    <xf numFmtId="169" fontId="34" fillId="0" borderId="0" xfId="0" applyNumberFormat="1" applyFont="1"/>
    <xf numFmtId="166" fontId="34" fillId="0" borderId="0" xfId="0" applyNumberFormat="1" applyFont="1"/>
    <xf numFmtId="166" fontId="34" fillId="0" borderId="0" xfId="0" applyNumberFormat="1" applyFont="1" applyAlignment="1">
      <alignment horizontal="right"/>
    </xf>
    <xf numFmtId="169" fontId="34" fillId="0" borderId="10" xfId="0" applyNumberFormat="1" applyFont="1" applyBorder="1" applyAlignment="1">
      <alignment horizontal="right"/>
    </xf>
    <xf numFmtId="169" fontId="34" fillId="0" borderId="10" xfId="0" applyNumberFormat="1" applyFont="1" applyBorder="1"/>
    <xf numFmtId="166" fontId="34" fillId="0" borderId="10" xfId="0" applyNumberFormat="1" applyFont="1" applyBorder="1"/>
    <xf numFmtId="170" fontId="36" fillId="0" borderId="13" xfId="0" applyNumberFormat="1" applyFont="1" applyBorder="1" applyAlignment="1">
      <alignment horizontal="right" wrapText="1"/>
    </xf>
    <xf numFmtId="1" fontId="37" fillId="0" borderId="11" xfId="0" applyNumberFormat="1" applyFont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0" fontId="37" fillId="0" borderId="0" xfId="0" applyFont="1"/>
    <xf numFmtId="169" fontId="37" fillId="0" borderId="0" xfId="0" applyNumberFormat="1" applyFont="1" applyAlignment="1">
      <alignment horizontal="right"/>
    </xf>
    <xf numFmtId="169" fontId="37" fillId="0" borderId="0" xfId="0" applyNumberFormat="1" applyFont="1"/>
    <xf numFmtId="166" fontId="37" fillId="0" borderId="0" xfId="0" applyNumberFormat="1" applyFont="1"/>
    <xf numFmtId="166" fontId="37" fillId="0" borderId="10" xfId="0" applyNumberFormat="1" applyFont="1" applyBorder="1" applyAlignment="1">
      <alignment horizontal="right"/>
    </xf>
    <xf numFmtId="165" fontId="37" fillId="0" borderId="0" xfId="0" applyNumberFormat="1" applyFont="1" applyAlignment="1">
      <alignment horizontal="right"/>
    </xf>
    <xf numFmtId="165" fontId="37" fillId="0" borderId="0" xfId="0" applyNumberFormat="1" applyFont="1" applyAlignment="1">
      <alignment horizontal="right" wrapText="1"/>
    </xf>
    <xf numFmtId="165" fontId="37" fillId="0" borderId="0" xfId="0" applyNumberFormat="1" applyFont="1" applyAlignment="1">
      <alignment wrapText="1"/>
    </xf>
    <xf numFmtId="168" fontId="37" fillId="0" borderId="0" xfId="0" applyNumberFormat="1" applyFont="1"/>
    <xf numFmtId="165" fontId="37" fillId="0" borderId="0" xfId="0" applyNumberFormat="1" applyFont="1"/>
    <xf numFmtId="49" fontId="37" fillId="0" borderId="0" xfId="0" applyNumberFormat="1" applyFont="1"/>
    <xf numFmtId="1" fontId="37" fillId="0" borderId="10" xfId="0" applyNumberFormat="1" applyFont="1" applyBorder="1"/>
    <xf numFmtId="0" fontId="37" fillId="0" borderId="0" xfId="0" applyFont="1" applyAlignment="1">
      <alignment horizontal="right"/>
    </xf>
    <xf numFmtId="166" fontId="34" fillId="0" borderId="0" xfId="0" applyNumberFormat="1" applyFont="1" applyAlignment="1">
      <alignment horizontal="right" vertical="center"/>
    </xf>
    <xf numFmtId="166" fontId="34" fillId="0" borderId="10" xfId="0" applyNumberFormat="1" applyFont="1" applyBorder="1" applyAlignment="1">
      <alignment horizontal="right" vertical="center"/>
    </xf>
    <xf numFmtId="165" fontId="37" fillId="0" borderId="10" xfId="0" applyNumberFormat="1" applyFont="1" applyBorder="1" applyAlignment="1">
      <alignment horizontal="right"/>
    </xf>
    <xf numFmtId="168" fontId="37" fillId="0" borderId="10" xfId="0" applyNumberFormat="1" applyFont="1" applyBorder="1"/>
    <xf numFmtId="165" fontId="37" fillId="0" borderId="10" xfId="0" applyNumberFormat="1" applyFont="1" applyBorder="1"/>
    <xf numFmtId="168" fontId="38" fillId="0" borderId="0" xfId="0" applyNumberFormat="1" applyFont="1"/>
    <xf numFmtId="168" fontId="38" fillId="0" borderId="10" xfId="0" applyNumberFormat="1" applyFont="1" applyBorder="1"/>
    <xf numFmtId="166" fontId="37" fillId="0" borderId="10" xfId="0" applyNumberFormat="1" applyFont="1" applyBorder="1"/>
    <xf numFmtId="168" fontId="37" fillId="0" borderId="0" xfId="0" applyNumberFormat="1" applyFont="1" applyAlignment="1">
      <alignment horizontal="right"/>
    </xf>
    <xf numFmtId="168" fontId="37" fillId="0" borderId="10" xfId="0" applyNumberFormat="1" applyFont="1" applyBorder="1" applyAlignment="1">
      <alignment horizontal="right"/>
    </xf>
    <xf numFmtId="0" fontId="37" fillId="0" borderId="10" xfId="0" applyFont="1" applyBorder="1"/>
    <xf numFmtId="0" fontId="37" fillId="0" borderId="10" xfId="0" applyFont="1" applyBorder="1" applyAlignment="1">
      <alignment horizontal="right"/>
    </xf>
    <xf numFmtId="0" fontId="40" fillId="0" borderId="0" xfId="0" applyFont="1"/>
    <xf numFmtId="0" fontId="40" fillId="0" borderId="10" xfId="0" applyFont="1" applyBorder="1"/>
    <xf numFmtId="2" fontId="37" fillId="0" borderId="0" xfId="0" applyNumberFormat="1" applyFont="1"/>
    <xf numFmtId="166" fontId="36" fillId="0" borderId="0" xfId="0" applyNumberFormat="1" applyFont="1" applyAlignment="1">
      <alignment horizontal="right"/>
    </xf>
    <xf numFmtId="49" fontId="37" fillId="0" borderId="10" xfId="0" applyNumberFormat="1" applyFont="1" applyBorder="1"/>
    <xf numFmtId="165" fontId="37" fillId="0" borderId="10" xfId="0" applyNumberFormat="1" applyFont="1" applyBorder="1" applyAlignment="1">
      <alignment wrapText="1"/>
    </xf>
    <xf numFmtId="169" fontId="37" fillId="0" borderId="10" xfId="0" applyNumberFormat="1" applyFont="1" applyBorder="1" applyAlignment="1">
      <alignment horizontal="right"/>
    </xf>
    <xf numFmtId="169" fontId="37" fillId="0" borderId="10" xfId="0" applyNumberFormat="1" applyFont="1" applyBorder="1"/>
    <xf numFmtId="0" fontId="41" fillId="0" borderId="0" xfId="0" applyFont="1" applyAlignment="1">
      <alignment horizontal="left" wrapText="1"/>
    </xf>
    <xf numFmtId="0" fontId="41" fillId="0" borderId="13" xfId="0" applyFont="1" applyBorder="1" applyAlignment="1">
      <alignment horizontal="left" wrapText="1"/>
    </xf>
    <xf numFmtId="0" fontId="40" fillId="0" borderId="0" xfId="0" applyFont="1" applyAlignment="1">
      <alignment horizontal="center"/>
    </xf>
    <xf numFmtId="0" fontId="40" fillId="0" borderId="10" xfId="0" applyFont="1" applyBorder="1" applyAlignment="1">
      <alignment horizontal="center"/>
    </xf>
    <xf numFmtId="1" fontId="37" fillId="0" borderId="12" xfId="0" applyNumberFormat="1" applyFont="1" applyBorder="1" applyAlignment="1">
      <alignment horizontal="center" vertical="center"/>
    </xf>
    <xf numFmtId="165" fontId="37" fillId="0" borderId="0" xfId="0" applyNumberFormat="1" applyFont="1" applyAlignment="1">
      <alignment horizontal="left"/>
    </xf>
    <xf numFmtId="165" fontId="37" fillId="0" borderId="10" xfId="0" applyNumberFormat="1" applyFont="1" applyBorder="1" applyAlignment="1">
      <alignment horizontal="left"/>
    </xf>
    <xf numFmtId="0" fontId="37" fillId="0" borderId="0" xfId="0" applyFont="1" applyAlignment="1">
      <alignment horizontal="right" wrapText="1"/>
    </xf>
    <xf numFmtId="1" fontId="40" fillId="0" borderId="0" xfId="0" applyNumberFormat="1" applyFont="1" applyAlignment="1">
      <alignment wrapText="1"/>
    </xf>
    <xf numFmtId="1" fontId="40" fillId="0" borderId="10" xfId="0" applyNumberFormat="1" applyFont="1" applyBorder="1" applyAlignment="1">
      <alignment wrapText="1"/>
    </xf>
    <xf numFmtId="165" fontId="40" fillId="0" borderId="0" xfId="0" applyNumberFormat="1" applyFont="1" applyAlignment="1">
      <alignment horizontal="right"/>
    </xf>
    <xf numFmtId="1" fontId="40" fillId="0" borderId="11" xfId="510" applyNumberFormat="1" applyFont="1" applyBorder="1"/>
    <xf numFmtId="49" fontId="40" fillId="0" borderId="0" xfId="0" applyNumberFormat="1" applyFont="1" applyAlignment="1">
      <alignment vertical="center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>
      <alignment vertical="center"/>
    </xf>
    <xf numFmtId="0" fontId="37" fillId="0" borderId="14" xfId="0" applyFont="1" applyBorder="1"/>
    <xf numFmtId="0" fontId="40" fillId="0" borderId="11" xfId="510" applyFont="1" applyBorder="1"/>
    <xf numFmtId="0" fontId="40" fillId="0" borderId="0" xfId="0" applyFont="1" applyAlignment="1">
      <alignment horizontal="left"/>
    </xf>
    <xf numFmtId="0" fontId="37" fillId="0" borderId="11" xfId="0" applyFont="1" applyBorder="1"/>
    <xf numFmtId="0" fontId="40" fillId="0" borderId="14" xfId="510" applyFont="1" applyBorder="1"/>
    <xf numFmtId="0" fontId="36" fillId="0" borderId="0" xfId="0" applyFont="1" applyAlignment="1">
      <alignment wrapText="1"/>
    </xf>
    <xf numFmtId="49" fontId="40" fillId="0" borderId="0" xfId="0" applyNumberFormat="1" applyFont="1"/>
    <xf numFmtId="0" fontId="3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1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1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" fillId="0" borderId="0" xfId="297" applyFont="1" applyAlignment="1">
      <alignment horizontal="left" wrapText="1"/>
    </xf>
    <xf numFmtId="49" fontId="39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37" fillId="0" borderId="10" xfId="0" applyFont="1" applyBorder="1" applyAlignment="1">
      <alignment horizontal="right"/>
    </xf>
  </cellXfs>
  <cellStyles count="511">
    <cellStyle name="20% - Акцент1 2" xfId="1" xr:uid="{00000000-0005-0000-0000-000000000000}"/>
    <cellStyle name="20% - Акцент1 2 2" xfId="2" xr:uid="{00000000-0005-0000-0000-000001000000}"/>
    <cellStyle name="20% - Акцент1 3" xfId="3" xr:uid="{00000000-0005-0000-0000-000002000000}"/>
    <cellStyle name="20% - Акцент1 3 2" xfId="4" xr:uid="{00000000-0005-0000-0000-000003000000}"/>
    <cellStyle name="20% - Акцент1 4" xfId="5" xr:uid="{00000000-0005-0000-0000-000004000000}"/>
    <cellStyle name="20% - Акцент1 4 2" xfId="6" xr:uid="{00000000-0005-0000-0000-000005000000}"/>
    <cellStyle name="20% - Акцент1 5" xfId="7" xr:uid="{00000000-0005-0000-0000-000006000000}"/>
    <cellStyle name="20% - Акцент1 5 2" xfId="8" xr:uid="{00000000-0005-0000-0000-000007000000}"/>
    <cellStyle name="20% - Акцент1 6" xfId="9" xr:uid="{00000000-0005-0000-0000-000008000000}"/>
    <cellStyle name="20% - Акцент1 6 2" xfId="10" xr:uid="{00000000-0005-0000-0000-000009000000}"/>
    <cellStyle name="20% - Акцент1 7" xfId="11" xr:uid="{00000000-0005-0000-0000-00000A000000}"/>
    <cellStyle name="20% - Акцент1 7 2" xfId="12" xr:uid="{00000000-0005-0000-0000-00000B000000}"/>
    <cellStyle name="20% - Акцент2 2" xfId="13" xr:uid="{00000000-0005-0000-0000-00000C000000}"/>
    <cellStyle name="20% - Акцент2 2 2" xfId="14" xr:uid="{00000000-0005-0000-0000-00000D000000}"/>
    <cellStyle name="20% - Акцент2 3" xfId="15" xr:uid="{00000000-0005-0000-0000-00000E000000}"/>
    <cellStyle name="20% - Акцент2 3 2" xfId="16" xr:uid="{00000000-0005-0000-0000-00000F000000}"/>
    <cellStyle name="20% - Акцент2 4" xfId="17" xr:uid="{00000000-0005-0000-0000-000010000000}"/>
    <cellStyle name="20% - Акцент2 4 2" xfId="18" xr:uid="{00000000-0005-0000-0000-000011000000}"/>
    <cellStyle name="20% - Акцент2 5" xfId="19" xr:uid="{00000000-0005-0000-0000-000012000000}"/>
    <cellStyle name="20% - Акцент2 5 2" xfId="20" xr:uid="{00000000-0005-0000-0000-000013000000}"/>
    <cellStyle name="20% - Акцент2 6" xfId="21" xr:uid="{00000000-0005-0000-0000-000014000000}"/>
    <cellStyle name="20% - Акцент2 6 2" xfId="22" xr:uid="{00000000-0005-0000-0000-000015000000}"/>
    <cellStyle name="20% - Акцент2 7" xfId="23" xr:uid="{00000000-0005-0000-0000-000016000000}"/>
    <cellStyle name="20% - Акцент2 7 2" xfId="24" xr:uid="{00000000-0005-0000-0000-000017000000}"/>
    <cellStyle name="20% - Акцент3 2" xfId="25" xr:uid="{00000000-0005-0000-0000-000018000000}"/>
    <cellStyle name="20% - Акцент3 2 2" xfId="26" xr:uid="{00000000-0005-0000-0000-000019000000}"/>
    <cellStyle name="20% - Акцент3 3" xfId="27" xr:uid="{00000000-0005-0000-0000-00001A000000}"/>
    <cellStyle name="20% - Акцент3 3 2" xfId="28" xr:uid="{00000000-0005-0000-0000-00001B000000}"/>
    <cellStyle name="20% - Акцент3 4" xfId="29" xr:uid="{00000000-0005-0000-0000-00001C000000}"/>
    <cellStyle name="20% - Акцент3 4 2" xfId="30" xr:uid="{00000000-0005-0000-0000-00001D000000}"/>
    <cellStyle name="20% - Акцент3 5" xfId="31" xr:uid="{00000000-0005-0000-0000-00001E000000}"/>
    <cellStyle name="20% - Акцент3 5 2" xfId="32" xr:uid="{00000000-0005-0000-0000-00001F000000}"/>
    <cellStyle name="20% - Акцент3 6" xfId="33" xr:uid="{00000000-0005-0000-0000-000020000000}"/>
    <cellStyle name="20% - Акцент3 6 2" xfId="34" xr:uid="{00000000-0005-0000-0000-000021000000}"/>
    <cellStyle name="20% - Акцент3 7" xfId="35" xr:uid="{00000000-0005-0000-0000-000022000000}"/>
    <cellStyle name="20% - Акцент3 7 2" xfId="36" xr:uid="{00000000-0005-0000-0000-000023000000}"/>
    <cellStyle name="20% - Акцент4 2" xfId="37" xr:uid="{00000000-0005-0000-0000-000024000000}"/>
    <cellStyle name="20% - Акцент4 2 2" xfId="38" xr:uid="{00000000-0005-0000-0000-000025000000}"/>
    <cellStyle name="20% - Акцент4 3" xfId="39" xr:uid="{00000000-0005-0000-0000-000026000000}"/>
    <cellStyle name="20% - Акцент4 3 2" xfId="40" xr:uid="{00000000-0005-0000-0000-000027000000}"/>
    <cellStyle name="20% - Акцент4 4" xfId="41" xr:uid="{00000000-0005-0000-0000-000028000000}"/>
    <cellStyle name="20% - Акцент4 4 2" xfId="42" xr:uid="{00000000-0005-0000-0000-000029000000}"/>
    <cellStyle name="20% - Акцент4 5" xfId="43" xr:uid="{00000000-0005-0000-0000-00002A000000}"/>
    <cellStyle name="20% - Акцент4 5 2" xfId="44" xr:uid="{00000000-0005-0000-0000-00002B000000}"/>
    <cellStyle name="20% - Акцент4 6" xfId="45" xr:uid="{00000000-0005-0000-0000-00002C000000}"/>
    <cellStyle name="20% - Акцент4 6 2" xfId="46" xr:uid="{00000000-0005-0000-0000-00002D000000}"/>
    <cellStyle name="20% - Акцент4 7" xfId="47" xr:uid="{00000000-0005-0000-0000-00002E000000}"/>
    <cellStyle name="20% - Акцент4 7 2" xfId="48" xr:uid="{00000000-0005-0000-0000-00002F000000}"/>
    <cellStyle name="20% - Акцент5 2" xfId="49" xr:uid="{00000000-0005-0000-0000-000030000000}"/>
    <cellStyle name="20% - Акцент5 2 2" xfId="50" xr:uid="{00000000-0005-0000-0000-000031000000}"/>
    <cellStyle name="20% - Акцент5 3" xfId="51" xr:uid="{00000000-0005-0000-0000-000032000000}"/>
    <cellStyle name="20% - Акцент5 3 2" xfId="52" xr:uid="{00000000-0005-0000-0000-000033000000}"/>
    <cellStyle name="20% - Акцент5 4" xfId="53" xr:uid="{00000000-0005-0000-0000-000034000000}"/>
    <cellStyle name="20% - Акцент5 4 2" xfId="54" xr:uid="{00000000-0005-0000-0000-000035000000}"/>
    <cellStyle name="20% - Акцент5 5" xfId="55" xr:uid="{00000000-0005-0000-0000-000036000000}"/>
    <cellStyle name="20% - Акцент5 5 2" xfId="56" xr:uid="{00000000-0005-0000-0000-000037000000}"/>
    <cellStyle name="20% - Акцент5 6" xfId="57" xr:uid="{00000000-0005-0000-0000-000038000000}"/>
    <cellStyle name="20% - Акцент5 6 2" xfId="58" xr:uid="{00000000-0005-0000-0000-000039000000}"/>
    <cellStyle name="20% - Акцент5 7" xfId="59" xr:uid="{00000000-0005-0000-0000-00003A000000}"/>
    <cellStyle name="20% - Акцент5 7 2" xfId="60" xr:uid="{00000000-0005-0000-0000-00003B000000}"/>
    <cellStyle name="20% - Акцент6 2" xfId="61" xr:uid="{00000000-0005-0000-0000-00003C000000}"/>
    <cellStyle name="20% - Акцент6 2 2" xfId="62" xr:uid="{00000000-0005-0000-0000-00003D000000}"/>
    <cellStyle name="20% - Акцент6 3" xfId="63" xr:uid="{00000000-0005-0000-0000-00003E000000}"/>
    <cellStyle name="20% - Акцент6 3 2" xfId="64" xr:uid="{00000000-0005-0000-0000-00003F000000}"/>
    <cellStyle name="20% - Акцент6 4" xfId="65" xr:uid="{00000000-0005-0000-0000-000040000000}"/>
    <cellStyle name="20% - Акцент6 4 2" xfId="66" xr:uid="{00000000-0005-0000-0000-000041000000}"/>
    <cellStyle name="20% - Акцент6 5" xfId="67" xr:uid="{00000000-0005-0000-0000-000042000000}"/>
    <cellStyle name="20% - Акцент6 5 2" xfId="68" xr:uid="{00000000-0005-0000-0000-000043000000}"/>
    <cellStyle name="20% - Акцент6 6" xfId="69" xr:uid="{00000000-0005-0000-0000-000044000000}"/>
    <cellStyle name="20% - Акцент6 6 2" xfId="70" xr:uid="{00000000-0005-0000-0000-000045000000}"/>
    <cellStyle name="20% - Акцент6 7" xfId="71" xr:uid="{00000000-0005-0000-0000-000046000000}"/>
    <cellStyle name="20% - Акцент6 7 2" xfId="72" xr:uid="{00000000-0005-0000-0000-000047000000}"/>
    <cellStyle name="40% - Акцент1 2" xfId="73" xr:uid="{00000000-0005-0000-0000-000048000000}"/>
    <cellStyle name="40% - Акцент1 2 2" xfId="74" xr:uid="{00000000-0005-0000-0000-000049000000}"/>
    <cellStyle name="40% - Акцент1 3" xfId="75" xr:uid="{00000000-0005-0000-0000-00004A000000}"/>
    <cellStyle name="40% - Акцент1 3 2" xfId="76" xr:uid="{00000000-0005-0000-0000-00004B000000}"/>
    <cellStyle name="40% - Акцент1 4" xfId="77" xr:uid="{00000000-0005-0000-0000-00004C000000}"/>
    <cellStyle name="40% - Акцент1 4 2" xfId="78" xr:uid="{00000000-0005-0000-0000-00004D000000}"/>
    <cellStyle name="40% - Акцент1 5" xfId="79" xr:uid="{00000000-0005-0000-0000-00004E000000}"/>
    <cellStyle name="40% - Акцент1 5 2" xfId="80" xr:uid="{00000000-0005-0000-0000-00004F000000}"/>
    <cellStyle name="40% - Акцент1 6" xfId="81" xr:uid="{00000000-0005-0000-0000-000050000000}"/>
    <cellStyle name="40% - Акцент1 6 2" xfId="82" xr:uid="{00000000-0005-0000-0000-000051000000}"/>
    <cellStyle name="40% - Акцент1 7" xfId="83" xr:uid="{00000000-0005-0000-0000-000052000000}"/>
    <cellStyle name="40% - Акцент1 7 2" xfId="84" xr:uid="{00000000-0005-0000-0000-000053000000}"/>
    <cellStyle name="40% - Акцент2 2" xfId="85" xr:uid="{00000000-0005-0000-0000-000054000000}"/>
    <cellStyle name="40% - Акцент2 2 2" xfId="86" xr:uid="{00000000-0005-0000-0000-000055000000}"/>
    <cellStyle name="40% - Акцент2 3" xfId="87" xr:uid="{00000000-0005-0000-0000-000056000000}"/>
    <cellStyle name="40% - Акцент2 3 2" xfId="88" xr:uid="{00000000-0005-0000-0000-000057000000}"/>
    <cellStyle name="40% - Акцент2 4" xfId="89" xr:uid="{00000000-0005-0000-0000-000058000000}"/>
    <cellStyle name="40% - Акцент2 4 2" xfId="90" xr:uid="{00000000-0005-0000-0000-000059000000}"/>
    <cellStyle name="40% - Акцент2 5" xfId="91" xr:uid="{00000000-0005-0000-0000-00005A000000}"/>
    <cellStyle name="40% - Акцент2 5 2" xfId="92" xr:uid="{00000000-0005-0000-0000-00005B000000}"/>
    <cellStyle name="40% - Акцент2 6" xfId="93" xr:uid="{00000000-0005-0000-0000-00005C000000}"/>
    <cellStyle name="40% - Акцент2 6 2" xfId="94" xr:uid="{00000000-0005-0000-0000-00005D000000}"/>
    <cellStyle name="40% - Акцент2 7" xfId="95" xr:uid="{00000000-0005-0000-0000-00005E000000}"/>
    <cellStyle name="40% - Акцент2 7 2" xfId="96" xr:uid="{00000000-0005-0000-0000-00005F000000}"/>
    <cellStyle name="40% - Акцент3 2" xfId="97" xr:uid="{00000000-0005-0000-0000-000060000000}"/>
    <cellStyle name="40% - Акцент3 2 2" xfId="98" xr:uid="{00000000-0005-0000-0000-000061000000}"/>
    <cellStyle name="40% - Акцент3 3" xfId="99" xr:uid="{00000000-0005-0000-0000-000062000000}"/>
    <cellStyle name="40% - Акцент3 3 2" xfId="100" xr:uid="{00000000-0005-0000-0000-000063000000}"/>
    <cellStyle name="40% - Акцент3 4" xfId="101" xr:uid="{00000000-0005-0000-0000-000064000000}"/>
    <cellStyle name="40% - Акцент3 4 2" xfId="102" xr:uid="{00000000-0005-0000-0000-000065000000}"/>
    <cellStyle name="40% - Акцент3 5" xfId="103" xr:uid="{00000000-0005-0000-0000-000066000000}"/>
    <cellStyle name="40% - Акцент3 5 2" xfId="104" xr:uid="{00000000-0005-0000-0000-000067000000}"/>
    <cellStyle name="40% - Акцент3 6" xfId="105" xr:uid="{00000000-0005-0000-0000-000068000000}"/>
    <cellStyle name="40% - Акцент3 6 2" xfId="106" xr:uid="{00000000-0005-0000-0000-000069000000}"/>
    <cellStyle name="40% - Акцент3 7" xfId="107" xr:uid="{00000000-0005-0000-0000-00006A000000}"/>
    <cellStyle name="40% - Акцент3 7 2" xfId="108" xr:uid="{00000000-0005-0000-0000-00006B000000}"/>
    <cellStyle name="40% - Акцент4 2" xfId="109" xr:uid="{00000000-0005-0000-0000-00006C000000}"/>
    <cellStyle name="40% - Акцент4 2 2" xfId="110" xr:uid="{00000000-0005-0000-0000-00006D000000}"/>
    <cellStyle name="40% - Акцент4 3" xfId="111" xr:uid="{00000000-0005-0000-0000-00006E000000}"/>
    <cellStyle name="40% - Акцент4 3 2" xfId="112" xr:uid="{00000000-0005-0000-0000-00006F000000}"/>
    <cellStyle name="40% - Акцент4 4" xfId="113" xr:uid="{00000000-0005-0000-0000-000070000000}"/>
    <cellStyle name="40% - Акцент4 4 2" xfId="114" xr:uid="{00000000-0005-0000-0000-000071000000}"/>
    <cellStyle name="40% - Акцент4 5" xfId="115" xr:uid="{00000000-0005-0000-0000-000072000000}"/>
    <cellStyle name="40% - Акцент4 5 2" xfId="116" xr:uid="{00000000-0005-0000-0000-000073000000}"/>
    <cellStyle name="40% - Акцент4 6" xfId="117" xr:uid="{00000000-0005-0000-0000-000074000000}"/>
    <cellStyle name="40% - Акцент4 6 2" xfId="118" xr:uid="{00000000-0005-0000-0000-000075000000}"/>
    <cellStyle name="40% - Акцент4 7" xfId="119" xr:uid="{00000000-0005-0000-0000-000076000000}"/>
    <cellStyle name="40% - Акцент4 7 2" xfId="120" xr:uid="{00000000-0005-0000-0000-000077000000}"/>
    <cellStyle name="40% - Акцент5 2" xfId="121" xr:uid="{00000000-0005-0000-0000-000078000000}"/>
    <cellStyle name="40% - Акцент5 2 2" xfId="122" xr:uid="{00000000-0005-0000-0000-000079000000}"/>
    <cellStyle name="40% - Акцент5 3" xfId="123" xr:uid="{00000000-0005-0000-0000-00007A000000}"/>
    <cellStyle name="40% - Акцент5 3 2" xfId="124" xr:uid="{00000000-0005-0000-0000-00007B000000}"/>
    <cellStyle name="40% - Акцент5 4" xfId="125" xr:uid="{00000000-0005-0000-0000-00007C000000}"/>
    <cellStyle name="40% - Акцент5 4 2" xfId="126" xr:uid="{00000000-0005-0000-0000-00007D000000}"/>
    <cellStyle name="40% - Акцент5 5" xfId="127" xr:uid="{00000000-0005-0000-0000-00007E000000}"/>
    <cellStyle name="40% - Акцент5 5 2" xfId="128" xr:uid="{00000000-0005-0000-0000-00007F000000}"/>
    <cellStyle name="40% - Акцент5 6" xfId="129" xr:uid="{00000000-0005-0000-0000-000080000000}"/>
    <cellStyle name="40% - Акцент5 6 2" xfId="130" xr:uid="{00000000-0005-0000-0000-000081000000}"/>
    <cellStyle name="40% - Акцент5 7" xfId="131" xr:uid="{00000000-0005-0000-0000-000082000000}"/>
    <cellStyle name="40% - Акцент5 7 2" xfId="132" xr:uid="{00000000-0005-0000-0000-000083000000}"/>
    <cellStyle name="40% - Акцент6 2" xfId="133" xr:uid="{00000000-0005-0000-0000-000084000000}"/>
    <cellStyle name="40% - Акцент6 2 2" xfId="134" xr:uid="{00000000-0005-0000-0000-000085000000}"/>
    <cellStyle name="40% - Акцент6 3" xfId="135" xr:uid="{00000000-0005-0000-0000-000086000000}"/>
    <cellStyle name="40% - Акцент6 3 2" xfId="136" xr:uid="{00000000-0005-0000-0000-000087000000}"/>
    <cellStyle name="40% - Акцент6 4" xfId="137" xr:uid="{00000000-0005-0000-0000-000088000000}"/>
    <cellStyle name="40% - Акцент6 4 2" xfId="138" xr:uid="{00000000-0005-0000-0000-000089000000}"/>
    <cellStyle name="40% - Акцент6 5" xfId="139" xr:uid="{00000000-0005-0000-0000-00008A000000}"/>
    <cellStyle name="40% - Акцент6 5 2" xfId="140" xr:uid="{00000000-0005-0000-0000-00008B000000}"/>
    <cellStyle name="40% - Акцент6 6" xfId="141" xr:uid="{00000000-0005-0000-0000-00008C000000}"/>
    <cellStyle name="40% - Акцент6 6 2" xfId="142" xr:uid="{00000000-0005-0000-0000-00008D000000}"/>
    <cellStyle name="40% - Акцент6 7" xfId="143" xr:uid="{00000000-0005-0000-0000-00008E000000}"/>
    <cellStyle name="40% - Акцент6 7 2" xfId="144" xr:uid="{00000000-0005-0000-0000-00008F000000}"/>
    <cellStyle name="60% - Акцент1 2" xfId="145" xr:uid="{00000000-0005-0000-0000-000090000000}"/>
    <cellStyle name="60% — акцент1 2" xfId="146" xr:uid="{00000000-0005-0000-0000-000091000000}"/>
    <cellStyle name="60% - Акцент1 3" xfId="147" xr:uid="{00000000-0005-0000-0000-000092000000}"/>
    <cellStyle name="60% - Акцент1 4" xfId="148" xr:uid="{00000000-0005-0000-0000-000093000000}"/>
    <cellStyle name="60% - Акцент1 5" xfId="149" xr:uid="{00000000-0005-0000-0000-000094000000}"/>
    <cellStyle name="60% - Акцент1 6" xfId="150" xr:uid="{00000000-0005-0000-0000-000095000000}"/>
    <cellStyle name="60% - Акцент1 7" xfId="151" xr:uid="{00000000-0005-0000-0000-000096000000}"/>
    <cellStyle name="60% - Акцент2 2" xfId="152" xr:uid="{00000000-0005-0000-0000-000097000000}"/>
    <cellStyle name="60% — акцент2 2" xfId="153" xr:uid="{00000000-0005-0000-0000-000098000000}"/>
    <cellStyle name="60% - Акцент2 3" xfId="154" xr:uid="{00000000-0005-0000-0000-000099000000}"/>
    <cellStyle name="60% - Акцент2 4" xfId="155" xr:uid="{00000000-0005-0000-0000-00009A000000}"/>
    <cellStyle name="60% - Акцент2 5" xfId="156" xr:uid="{00000000-0005-0000-0000-00009B000000}"/>
    <cellStyle name="60% - Акцент2 6" xfId="157" xr:uid="{00000000-0005-0000-0000-00009C000000}"/>
    <cellStyle name="60% - Акцент2 7" xfId="158" xr:uid="{00000000-0005-0000-0000-00009D000000}"/>
    <cellStyle name="60% - Акцент3 2" xfId="159" xr:uid="{00000000-0005-0000-0000-00009E000000}"/>
    <cellStyle name="60% — акцент3 2" xfId="160" xr:uid="{00000000-0005-0000-0000-00009F000000}"/>
    <cellStyle name="60% - Акцент3 3" xfId="161" xr:uid="{00000000-0005-0000-0000-0000A0000000}"/>
    <cellStyle name="60% - Акцент3 4" xfId="162" xr:uid="{00000000-0005-0000-0000-0000A1000000}"/>
    <cellStyle name="60% - Акцент3 5" xfId="163" xr:uid="{00000000-0005-0000-0000-0000A2000000}"/>
    <cellStyle name="60% - Акцент3 6" xfId="164" xr:uid="{00000000-0005-0000-0000-0000A3000000}"/>
    <cellStyle name="60% - Акцент3 7" xfId="165" xr:uid="{00000000-0005-0000-0000-0000A4000000}"/>
    <cellStyle name="60% - Акцент4 2" xfId="166" xr:uid="{00000000-0005-0000-0000-0000A5000000}"/>
    <cellStyle name="60% — акцент4 2" xfId="167" xr:uid="{00000000-0005-0000-0000-0000A6000000}"/>
    <cellStyle name="60% - Акцент4 3" xfId="168" xr:uid="{00000000-0005-0000-0000-0000A7000000}"/>
    <cellStyle name="60% - Акцент4 4" xfId="169" xr:uid="{00000000-0005-0000-0000-0000A8000000}"/>
    <cellStyle name="60% - Акцент4 5" xfId="170" xr:uid="{00000000-0005-0000-0000-0000A9000000}"/>
    <cellStyle name="60% - Акцент4 6" xfId="171" xr:uid="{00000000-0005-0000-0000-0000AA000000}"/>
    <cellStyle name="60% - Акцент4 7" xfId="172" xr:uid="{00000000-0005-0000-0000-0000AB000000}"/>
    <cellStyle name="60% - Акцент5 2" xfId="173" xr:uid="{00000000-0005-0000-0000-0000AC000000}"/>
    <cellStyle name="60% — акцент5 2" xfId="174" xr:uid="{00000000-0005-0000-0000-0000AD000000}"/>
    <cellStyle name="60% - Акцент5 3" xfId="175" xr:uid="{00000000-0005-0000-0000-0000AE000000}"/>
    <cellStyle name="60% - Акцент5 4" xfId="176" xr:uid="{00000000-0005-0000-0000-0000AF000000}"/>
    <cellStyle name="60% - Акцент5 5" xfId="177" xr:uid="{00000000-0005-0000-0000-0000B0000000}"/>
    <cellStyle name="60% - Акцент5 6" xfId="178" xr:uid="{00000000-0005-0000-0000-0000B1000000}"/>
    <cellStyle name="60% - Акцент5 7" xfId="179" xr:uid="{00000000-0005-0000-0000-0000B2000000}"/>
    <cellStyle name="60% - Акцент6 2" xfId="180" xr:uid="{00000000-0005-0000-0000-0000B3000000}"/>
    <cellStyle name="60% — акцент6 2" xfId="181" xr:uid="{00000000-0005-0000-0000-0000B4000000}"/>
    <cellStyle name="60% - Акцент6 3" xfId="182" xr:uid="{00000000-0005-0000-0000-0000B5000000}"/>
    <cellStyle name="60% - Акцент6 4" xfId="183" xr:uid="{00000000-0005-0000-0000-0000B6000000}"/>
    <cellStyle name="60% - Акцент6 5" xfId="184" xr:uid="{00000000-0005-0000-0000-0000B7000000}"/>
    <cellStyle name="60% - Акцент6 6" xfId="185" xr:uid="{00000000-0005-0000-0000-0000B8000000}"/>
    <cellStyle name="60% - Акцент6 7" xfId="186" xr:uid="{00000000-0005-0000-0000-0000B9000000}"/>
    <cellStyle name="Акцент1 2" xfId="187" xr:uid="{00000000-0005-0000-0000-0000BA000000}"/>
    <cellStyle name="Акцент1 3" xfId="188" xr:uid="{00000000-0005-0000-0000-0000BB000000}"/>
    <cellStyle name="Акцент1 4" xfId="189" xr:uid="{00000000-0005-0000-0000-0000BC000000}"/>
    <cellStyle name="Акцент1 5" xfId="190" xr:uid="{00000000-0005-0000-0000-0000BD000000}"/>
    <cellStyle name="Акцент1 6" xfId="191" xr:uid="{00000000-0005-0000-0000-0000BE000000}"/>
    <cellStyle name="Акцент1 7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2 4" xfId="195" xr:uid="{00000000-0005-0000-0000-0000C2000000}"/>
    <cellStyle name="Акцент2 5" xfId="196" xr:uid="{00000000-0005-0000-0000-0000C3000000}"/>
    <cellStyle name="Акцент2 6" xfId="197" xr:uid="{00000000-0005-0000-0000-0000C4000000}"/>
    <cellStyle name="Акцент2 7" xfId="198" xr:uid="{00000000-0005-0000-0000-0000C5000000}"/>
    <cellStyle name="Акцент3 2" xfId="199" xr:uid="{00000000-0005-0000-0000-0000C6000000}"/>
    <cellStyle name="Акцент3 3" xfId="200" xr:uid="{00000000-0005-0000-0000-0000C7000000}"/>
    <cellStyle name="Акцент3 4" xfId="201" xr:uid="{00000000-0005-0000-0000-0000C8000000}"/>
    <cellStyle name="Акцент3 5" xfId="202" xr:uid="{00000000-0005-0000-0000-0000C9000000}"/>
    <cellStyle name="Акцент3 6" xfId="203" xr:uid="{00000000-0005-0000-0000-0000CA000000}"/>
    <cellStyle name="Акцент3 7" xfId="204" xr:uid="{00000000-0005-0000-0000-0000CB000000}"/>
    <cellStyle name="Акцент4 2" xfId="205" xr:uid="{00000000-0005-0000-0000-0000CC000000}"/>
    <cellStyle name="Акцент4 3" xfId="206" xr:uid="{00000000-0005-0000-0000-0000CD000000}"/>
    <cellStyle name="Акцент4 4" xfId="207" xr:uid="{00000000-0005-0000-0000-0000CE000000}"/>
    <cellStyle name="Акцент4 5" xfId="208" xr:uid="{00000000-0005-0000-0000-0000CF000000}"/>
    <cellStyle name="Акцент4 6" xfId="209" xr:uid="{00000000-0005-0000-0000-0000D0000000}"/>
    <cellStyle name="Акцент4 7" xfId="210" xr:uid="{00000000-0005-0000-0000-0000D1000000}"/>
    <cellStyle name="Акцент5 2" xfId="211" xr:uid="{00000000-0005-0000-0000-0000D2000000}"/>
    <cellStyle name="Акцент5 3" xfId="212" xr:uid="{00000000-0005-0000-0000-0000D3000000}"/>
    <cellStyle name="Акцент5 4" xfId="213" xr:uid="{00000000-0005-0000-0000-0000D4000000}"/>
    <cellStyle name="Акцент5 5" xfId="214" xr:uid="{00000000-0005-0000-0000-0000D5000000}"/>
    <cellStyle name="Акцент5 6" xfId="215" xr:uid="{00000000-0005-0000-0000-0000D6000000}"/>
    <cellStyle name="Акцент5 7" xfId="216" xr:uid="{00000000-0005-0000-0000-0000D7000000}"/>
    <cellStyle name="Акцент6 2" xfId="217" xr:uid="{00000000-0005-0000-0000-0000D8000000}"/>
    <cellStyle name="Акцент6 3" xfId="218" xr:uid="{00000000-0005-0000-0000-0000D9000000}"/>
    <cellStyle name="Акцент6 4" xfId="219" xr:uid="{00000000-0005-0000-0000-0000DA000000}"/>
    <cellStyle name="Акцент6 5" xfId="220" xr:uid="{00000000-0005-0000-0000-0000DB000000}"/>
    <cellStyle name="Акцент6 6" xfId="221" xr:uid="{00000000-0005-0000-0000-0000DC000000}"/>
    <cellStyle name="Акцент6 7" xfId="222" xr:uid="{00000000-0005-0000-0000-0000DD000000}"/>
    <cellStyle name="Ввод  2" xfId="223" xr:uid="{00000000-0005-0000-0000-0000DE000000}"/>
    <cellStyle name="Ввод  3" xfId="224" xr:uid="{00000000-0005-0000-0000-0000DF000000}"/>
    <cellStyle name="Ввод  4" xfId="225" xr:uid="{00000000-0005-0000-0000-0000E0000000}"/>
    <cellStyle name="Ввод  5" xfId="226" xr:uid="{00000000-0005-0000-0000-0000E1000000}"/>
    <cellStyle name="Ввод  6" xfId="227" xr:uid="{00000000-0005-0000-0000-0000E2000000}"/>
    <cellStyle name="Ввод  7" xfId="228" xr:uid="{00000000-0005-0000-0000-0000E3000000}"/>
    <cellStyle name="Вывод 2" xfId="229" xr:uid="{00000000-0005-0000-0000-0000E4000000}"/>
    <cellStyle name="Вывод 3" xfId="230" xr:uid="{00000000-0005-0000-0000-0000E5000000}"/>
    <cellStyle name="Вывод 4" xfId="231" xr:uid="{00000000-0005-0000-0000-0000E6000000}"/>
    <cellStyle name="Вывод 5" xfId="232" xr:uid="{00000000-0005-0000-0000-0000E7000000}"/>
    <cellStyle name="Вывод 6" xfId="233" xr:uid="{00000000-0005-0000-0000-0000E8000000}"/>
    <cellStyle name="Вывод 7" xfId="234" xr:uid="{00000000-0005-0000-0000-0000E9000000}"/>
    <cellStyle name="Вычисление 2" xfId="235" xr:uid="{00000000-0005-0000-0000-0000EA000000}"/>
    <cellStyle name="Вычисление 3" xfId="236" xr:uid="{00000000-0005-0000-0000-0000EB000000}"/>
    <cellStyle name="Вычисление 4" xfId="237" xr:uid="{00000000-0005-0000-0000-0000EC000000}"/>
    <cellStyle name="Вычисление 5" xfId="238" xr:uid="{00000000-0005-0000-0000-0000ED000000}"/>
    <cellStyle name="Вычисление 6" xfId="239" xr:uid="{00000000-0005-0000-0000-0000EE000000}"/>
    <cellStyle name="Вычисление 7" xfId="240" xr:uid="{00000000-0005-0000-0000-0000EF000000}"/>
    <cellStyle name="Гиперссылка 2" xfId="241" xr:uid="{00000000-0005-0000-0000-0000F0000000}"/>
    <cellStyle name="Гиперссылка 3" xfId="242" xr:uid="{00000000-0005-0000-0000-0000F1000000}"/>
    <cellStyle name="Денежный 2" xfId="243" xr:uid="{00000000-0005-0000-0000-0000F2000000}"/>
    <cellStyle name="Заголовок 1 2" xfId="244" xr:uid="{00000000-0005-0000-0000-0000F3000000}"/>
    <cellStyle name="Заголовок 1 3" xfId="245" xr:uid="{00000000-0005-0000-0000-0000F4000000}"/>
    <cellStyle name="Заголовок 1 4" xfId="246" xr:uid="{00000000-0005-0000-0000-0000F5000000}"/>
    <cellStyle name="Заголовок 1 5" xfId="247" xr:uid="{00000000-0005-0000-0000-0000F6000000}"/>
    <cellStyle name="Заголовок 1 6" xfId="248" xr:uid="{00000000-0005-0000-0000-0000F7000000}"/>
    <cellStyle name="Заголовок 1 7" xfId="249" xr:uid="{00000000-0005-0000-0000-0000F8000000}"/>
    <cellStyle name="Заголовок 2 2" xfId="250" xr:uid="{00000000-0005-0000-0000-0000F9000000}"/>
    <cellStyle name="Заголовок 2 3" xfId="251" xr:uid="{00000000-0005-0000-0000-0000FA000000}"/>
    <cellStyle name="Заголовок 2 4" xfId="252" xr:uid="{00000000-0005-0000-0000-0000FB000000}"/>
    <cellStyle name="Заголовок 2 5" xfId="253" xr:uid="{00000000-0005-0000-0000-0000FC000000}"/>
    <cellStyle name="Заголовок 2 6" xfId="254" xr:uid="{00000000-0005-0000-0000-0000FD000000}"/>
    <cellStyle name="Заголовок 2 7" xfId="255" xr:uid="{00000000-0005-0000-0000-0000FE000000}"/>
    <cellStyle name="Заголовок 3 2" xfId="256" xr:uid="{00000000-0005-0000-0000-0000FF000000}"/>
    <cellStyle name="Заголовок 3 3" xfId="257" xr:uid="{00000000-0005-0000-0000-000000010000}"/>
    <cellStyle name="Заголовок 3 4" xfId="258" xr:uid="{00000000-0005-0000-0000-000001010000}"/>
    <cellStyle name="Заголовок 3 5" xfId="259" xr:uid="{00000000-0005-0000-0000-000002010000}"/>
    <cellStyle name="Заголовок 3 6" xfId="260" xr:uid="{00000000-0005-0000-0000-000003010000}"/>
    <cellStyle name="Заголовок 3 7" xfId="261" xr:uid="{00000000-0005-0000-0000-000004010000}"/>
    <cellStyle name="Заголовок 4 2" xfId="262" xr:uid="{00000000-0005-0000-0000-000005010000}"/>
    <cellStyle name="Заголовок 4 3" xfId="263" xr:uid="{00000000-0005-0000-0000-000006010000}"/>
    <cellStyle name="Заголовок 4 4" xfId="264" xr:uid="{00000000-0005-0000-0000-000007010000}"/>
    <cellStyle name="Заголовок 4 5" xfId="265" xr:uid="{00000000-0005-0000-0000-000008010000}"/>
    <cellStyle name="Заголовок 4 6" xfId="266" xr:uid="{00000000-0005-0000-0000-000009010000}"/>
    <cellStyle name="Заголовок 4 7" xfId="267" xr:uid="{00000000-0005-0000-0000-00000A010000}"/>
    <cellStyle name="Итог 2" xfId="268" xr:uid="{00000000-0005-0000-0000-00000B010000}"/>
    <cellStyle name="Итог 3" xfId="269" xr:uid="{00000000-0005-0000-0000-00000C010000}"/>
    <cellStyle name="Итог 4" xfId="270" xr:uid="{00000000-0005-0000-0000-00000D010000}"/>
    <cellStyle name="Итог 5" xfId="271" xr:uid="{00000000-0005-0000-0000-00000E010000}"/>
    <cellStyle name="Итог 6" xfId="272" xr:uid="{00000000-0005-0000-0000-00000F010000}"/>
    <cellStyle name="Итог 7" xfId="273" xr:uid="{00000000-0005-0000-0000-000010010000}"/>
    <cellStyle name="Контрольная ячейка 2" xfId="274" xr:uid="{00000000-0005-0000-0000-000011010000}"/>
    <cellStyle name="Контрольная ячейка 3" xfId="275" xr:uid="{00000000-0005-0000-0000-000012010000}"/>
    <cellStyle name="Контрольная ячейка 4" xfId="276" xr:uid="{00000000-0005-0000-0000-000013010000}"/>
    <cellStyle name="Контрольная ячейка 5" xfId="277" xr:uid="{00000000-0005-0000-0000-000014010000}"/>
    <cellStyle name="Контрольная ячейка 6" xfId="278" xr:uid="{00000000-0005-0000-0000-000015010000}"/>
    <cellStyle name="Контрольная ячейка 7" xfId="279" xr:uid="{00000000-0005-0000-0000-000016010000}"/>
    <cellStyle name="Название 2" xfId="280" xr:uid="{00000000-0005-0000-0000-000017010000}"/>
    <cellStyle name="Название 3" xfId="281" xr:uid="{00000000-0005-0000-0000-000018010000}"/>
    <cellStyle name="Название 4" xfId="282" xr:uid="{00000000-0005-0000-0000-000019010000}"/>
    <cellStyle name="Название 5" xfId="283" xr:uid="{00000000-0005-0000-0000-00001A010000}"/>
    <cellStyle name="Название 6" xfId="284" xr:uid="{00000000-0005-0000-0000-00001B010000}"/>
    <cellStyle name="Название 7" xfId="285" xr:uid="{00000000-0005-0000-0000-00001C010000}"/>
    <cellStyle name="Нейтральный 2" xfId="286" xr:uid="{00000000-0005-0000-0000-00001D010000}"/>
    <cellStyle name="Нейтральный 3" xfId="287" xr:uid="{00000000-0005-0000-0000-00001E010000}"/>
    <cellStyle name="Нейтральный 4" xfId="288" xr:uid="{00000000-0005-0000-0000-00001F010000}"/>
    <cellStyle name="Нейтральный 5" xfId="289" xr:uid="{00000000-0005-0000-0000-000020010000}"/>
    <cellStyle name="Нейтральный 6" xfId="290" xr:uid="{00000000-0005-0000-0000-000021010000}"/>
    <cellStyle name="Нейтральный 7" xfId="291" xr:uid="{00000000-0005-0000-0000-000022010000}"/>
    <cellStyle name="Обычный" xfId="0" builtinId="0"/>
    <cellStyle name="Обычный 10" xfId="292" xr:uid="{00000000-0005-0000-0000-000024010000}"/>
    <cellStyle name="Обычный 10 2" xfId="293" xr:uid="{00000000-0005-0000-0000-000025010000}"/>
    <cellStyle name="Обычный 11" xfId="294" xr:uid="{00000000-0005-0000-0000-000026010000}"/>
    <cellStyle name="Обычный 12" xfId="295" xr:uid="{00000000-0005-0000-0000-000027010000}"/>
    <cellStyle name="Обычный 2" xfId="296" xr:uid="{00000000-0005-0000-0000-000028010000}"/>
    <cellStyle name="Обычный 2 10" xfId="297" xr:uid="{00000000-0005-0000-0000-000029010000}"/>
    <cellStyle name="Обычный 2 11" xfId="298" xr:uid="{00000000-0005-0000-0000-00002A010000}"/>
    <cellStyle name="Обычный 2 12" xfId="299" xr:uid="{00000000-0005-0000-0000-00002B010000}"/>
    <cellStyle name="Обычный 2 13" xfId="300" xr:uid="{00000000-0005-0000-0000-00002C010000}"/>
    <cellStyle name="Обычный 2 14" xfId="301" xr:uid="{00000000-0005-0000-0000-00002D010000}"/>
    <cellStyle name="Обычный 2 15" xfId="302" xr:uid="{00000000-0005-0000-0000-00002E010000}"/>
    <cellStyle name="Обычный 2 16" xfId="303" xr:uid="{00000000-0005-0000-0000-00002F010000}"/>
    <cellStyle name="Обычный 2 17" xfId="304" xr:uid="{00000000-0005-0000-0000-000030010000}"/>
    <cellStyle name="Обычный 2 17 2" xfId="305" xr:uid="{00000000-0005-0000-0000-000031010000}"/>
    <cellStyle name="Обычный 2 17 2 2" xfId="306" xr:uid="{00000000-0005-0000-0000-000032010000}"/>
    <cellStyle name="Обычный 2 18" xfId="307" xr:uid="{00000000-0005-0000-0000-000033010000}"/>
    <cellStyle name="Обычный 2 19" xfId="308" xr:uid="{00000000-0005-0000-0000-000034010000}"/>
    <cellStyle name="Обычный 2 19 2" xfId="309" xr:uid="{00000000-0005-0000-0000-000035010000}"/>
    <cellStyle name="Обычный 2 19 2 2" xfId="310" xr:uid="{00000000-0005-0000-0000-000036010000}"/>
    <cellStyle name="Обычный 2 19 2 2 2" xfId="311" xr:uid="{00000000-0005-0000-0000-000037010000}"/>
    <cellStyle name="Обычный 2 19 2 2 2 2" xfId="312" xr:uid="{00000000-0005-0000-0000-000038010000}"/>
    <cellStyle name="Обычный 2 19 2 2 2 2 2" xfId="313" xr:uid="{00000000-0005-0000-0000-000039010000}"/>
    <cellStyle name="Обычный 2 19 2 2 2 2 3" xfId="314" xr:uid="{00000000-0005-0000-0000-00003A010000}"/>
    <cellStyle name="Обычный 2 19 2 2 3" xfId="315" xr:uid="{00000000-0005-0000-0000-00003B010000}"/>
    <cellStyle name="Обычный 2 19 2 2 4" xfId="316" xr:uid="{00000000-0005-0000-0000-00003C010000}"/>
    <cellStyle name="Обычный 2 19 2 3" xfId="317" xr:uid="{00000000-0005-0000-0000-00003D010000}"/>
    <cellStyle name="Обычный 2 19 2 3 2" xfId="318" xr:uid="{00000000-0005-0000-0000-00003E010000}"/>
    <cellStyle name="Обычный 2 19 2 3 3" xfId="319" xr:uid="{00000000-0005-0000-0000-00003F010000}"/>
    <cellStyle name="Обычный 2 19 3" xfId="320" xr:uid="{00000000-0005-0000-0000-000040010000}"/>
    <cellStyle name="Обычный 2 19 3 2" xfId="321" xr:uid="{00000000-0005-0000-0000-000041010000}"/>
    <cellStyle name="Обычный 2 19 3 2 2" xfId="322" xr:uid="{00000000-0005-0000-0000-000042010000}"/>
    <cellStyle name="Обычный 2 19 3 2 3" xfId="323" xr:uid="{00000000-0005-0000-0000-000043010000}"/>
    <cellStyle name="Обычный 2 19 4" xfId="324" xr:uid="{00000000-0005-0000-0000-000044010000}"/>
    <cellStyle name="Обычный 2 19 5" xfId="325" xr:uid="{00000000-0005-0000-0000-000045010000}"/>
    <cellStyle name="Обычный 2 2" xfId="326" xr:uid="{00000000-0005-0000-0000-000046010000}"/>
    <cellStyle name="Обычный 2 2 2" xfId="327" xr:uid="{00000000-0005-0000-0000-000047010000}"/>
    <cellStyle name="Обычный 2 2 2 2" xfId="328" xr:uid="{00000000-0005-0000-0000-000048010000}"/>
    <cellStyle name="Обычный 2 2 2 2 2" xfId="329" xr:uid="{00000000-0005-0000-0000-000049010000}"/>
    <cellStyle name="Обычный 2 2 2 2 2 2" xfId="330" xr:uid="{00000000-0005-0000-0000-00004A010000}"/>
    <cellStyle name="Обычный 2 2 2 2 2 2 2" xfId="331" xr:uid="{00000000-0005-0000-0000-00004B010000}"/>
    <cellStyle name="Обычный 2 2 2 2 2 2 2 2" xfId="332" xr:uid="{00000000-0005-0000-0000-00004C010000}"/>
    <cellStyle name="Обычный 2 2 2 2 2 2 2 2 2" xfId="333" xr:uid="{00000000-0005-0000-0000-00004D010000}"/>
    <cellStyle name="Обычный 2 2 2 2 2 2 2 2 2 2" xfId="334" xr:uid="{00000000-0005-0000-0000-00004E010000}"/>
    <cellStyle name="Обычный 2 2 2 2 2 2 2 2 2 2 2" xfId="335" xr:uid="{00000000-0005-0000-0000-00004F010000}"/>
    <cellStyle name="Обычный 2 2 2 2 2 2 2 2 2 2 2 2" xfId="336" xr:uid="{00000000-0005-0000-0000-000050010000}"/>
    <cellStyle name="Обычный 2 2 2 2 2 2 2 2 2 3" xfId="337" xr:uid="{00000000-0005-0000-0000-000051010000}"/>
    <cellStyle name="Обычный 2 2 2 2 2 2 2 2 3" xfId="338" xr:uid="{00000000-0005-0000-0000-000052010000}"/>
    <cellStyle name="Обычный 2 2 2 2 2 2 2 2 3 2" xfId="339" xr:uid="{00000000-0005-0000-0000-000053010000}"/>
    <cellStyle name="Обычный 2 2 2 2 2 2 2 3" xfId="340" xr:uid="{00000000-0005-0000-0000-000054010000}"/>
    <cellStyle name="Обычный 2 2 2 2 2 2 2 3 2" xfId="341" xr:uid="{00000000-0005-0000-0000-000055010000}"/>
    <cellStyle name="Обычный 2 2 2 2 2 2 2 3 2 2" xfId="342" xr:uid="{00000000-0005-0000-0000-000056010000}"/>
    <cellStyle name="Обычный 2 2 2 2 2 2 2 4" xfId="343" xr:uid="{00000000-0005-0000-0000-000057010000}"/>
    <cellStyle name="Обычный 2 2 2 2 2 2 3" xfId="344" xr:uid="{00000000-0005-0000-0000-000058010000}"/>
    <cellStyle name="Обычный 2 2 2 2 2 2 3 2" xfId="345" xr:uid="{00000000-0005-0000-0000-000059010000}"/>
    <cellStyle name="Обычный 2 2 2 2 2 2 3 2 2" xfId="346" xr:uid="{00000000-0005-0000-0000-00005A010000}"/>
    <cellStyle name="Обычный 2 2 2 2 2 2 3 2 2 2" xfId="347" xr:uid="{00000000-0005-0000-0000-00005B010000}"/>
    <cellStyle name="Обычный 2 2 2 2 2 2 3 3" xfId="348" xr:uid="{00000000-0005-0000-0000-00005C010000}"/>
    <cellStyle name="Обычный 2 2 2 2 2 2 4" xfId="349" xr:uid="{00000000-0005-0000-0000-00005D010000}"/>
    <cellStyle name="Обычный 2 2 2 2 2 2 4 2" xfId="350" xr:uid="{00000000-0005-0000-0000-00005E010000}"/>
    <cellStyle name="Обычный 2 2 2 2 2 3" xfId="351" xr:uid="{00000000-0005-0000-0000-00005F010000}"/>
    <cellStyle name="Обычный 2 2 2 2 2 3 2" xfId="352" xr:uid="{00000000-0005-0000-0000-000060010000}"/>
    <cellStyle name="Обычный 2 2 2 2 2 3 2 2" xfId="353" xr:uid="{00000000-0005-0000-0000-000061010000}"/>
    <cellStyle name="Обычный 2 2 2 2 2 3 2 2 2" xfId="354" xr:uid="{00000000-0005-0000-0000-000062010000}"/>
    <cellStyle name="Обычный 2 2 2 2 2 3 2 2 2 2" xfId="355" xr:uid="{00000000-0005-0000-0000-000063010000}"/>
    <cellStyle name="Обычный 2 2 2 2 2 3 2 3" xfId="356" xr:uid="{00000000-0005-0000-0000-000064010000}"/>
    <cellStyle name="Обычный 2 2 2 2 2 3 3" xfId="357" xr:uid="{00000000-0005-0000-0000-000065010000}"/>
    <cellStyle name="Обычный 2 2 2 2 2 3 3 2" xfId="358" xr:uid="{00000000-0005-0000-0000-000066010000}"/>
    <cellStyle name="Обычный 2 2 2 2 2 4" xfId="359" xr:uid="{00000000-0005-0000-0000-000067010000}"/>
    <cellStyle name="Обычный 2 2 2 2 2 4 2" xfId="360" xr:uid="{00000000-0005-0000-0000-000068010000}"/>
    <cellStyle name="Обычный 2 2 2 2 2 4 2 2" xfId="361" xr:uid="{00000000-0005-0000-0000-000069010000}"/>
    <cellStyle name="Обычный 2 2 2 2 2 5" xfId="362" xr:uid="{00000000-0005-0000-0000-00006A010000}"/>
    <cellStyle name="Обычный 2 2 2 2 3" xfId="363" xr:uid="{00000000-0005-0000-0000-00006B010000}"/>
    <cellStyle name="Обычный 2 2 2 2 3 2" xfId="364" xr:uid="{00000000-0005-0000-0000-00006C010000}"/>
    <cellStyle name="Обычный 2 2 2 2 3 2 2" xfId="365" xr:uid="{00000000-0005-0000-0000-00006D010000}"/>
    <cellStyle name="Обычный 2 2 2 2 3 2 2 2" xfId="366" xr:uid="{00000000-0005-0000-0000-00006E010000}"/>
    <cellStyle name="Обычный 2 2 2 2 3 2 2 2 2" xfId="367" xr:uid="{00000000-0005-0000-0000-00006F010000}"/>
    <cellStyle name="Обычный 2 2 2 2 3 2 3" xfId="368" xr:uid="{00000000-0005-0000-0000-000070010000}"/>
    <cellStyle name="Обычный 2 2 2 2 3 3" xfId="369" xr:uid="{00000000-0005-0000-0000-000071010000}"/>
    <cellStyle name="Обычный 2 2 2 2 3 3 2" xfId="370" xr:uid="{00000000-0005-0000-0000-000072010000}"/>
    <cellStyle name="Обычный 2 2 2 2 4" xfId="371" xr:uid="{00000000-0005-0000-0000-000073010000}"/>
    <cellStyle name="Обычный 2 2 2 2 4 2" xfId="372" xr:uid="{00000000-0005-0000-0000-000074010000}"/>
    <cellStyle name="Обычный 2 2 2 2 4 2 2" xfId="373" xr:uid="{00000000-0005-0000-0000-000075010000}"/>
    <cellStyle name="Обычный 2 2 2 2 5" xfId="374" xr:uid="{00000000-0005-0000-0000-000076010000}"/>
    <cellStyle name="Обычный 2 2 2 3" xfId="375" xr:uid="{00000000-0005-0000-0000-000077010000}"/>
    <cellStyle name="Обычный 2 2 2 4" xfId="376" xr:uid="{00000000-0005-0000-0000-000078010000}"/>
    <cellStyle name="Обычный 2 2 2 4 2" xfId="377" xr:uid="{00000000-0005-0000-0000-000079010000}"/>
    <cellStyle name="Обычный 2 2 2 4 2 2" xfId="378" xr:uid="{00000000-0005-0000-0000-00007A010000}"/>
    <cellStyle name="Обычный 2 2 2 4 2 2 2" xfId="379" xr:uid="{00000000-0005-0000-0000-00007B010000}"/>
    <cellStyle name="Обычный 2 2 2 4 2 2 2 2" xfId="380" xr:uid="{00000000-0005-0000-0000-00007C010000}"/>
    <cellStyle name="Обычный 2 2 2 4 2 3" xfId="381" xr:uid="{00000000-0005-0000-0000-00007D010000}"/>
    <cellStyle name="Обычный 2 2 2 4 3" xfId="382" xr:uid="{00000000-0005-0000-0000-00007E010000}"/>
    <cellStyle name="Обычный 2 2 2 4 3 2" xfId="383" xr:uid="{00000000-0005-0000-0000-00007F010000}"/>
    <cellStyle name="Обычный 2 2 2 5" xfId="384" xr:uid="{00000000-0005-0000-0000-000080010000}"/>
    <cellStyle name="Обычный 2 2 2 5 2" xfId="385" xr:uid="{00000000-0005-0000-0000-000081010000}"/>
    <cellStyle name="Обычный 2 2 2 5 2 2" xfId="386" xr:uid="{00000000-0005-0000-0000-000082010000}"/>
    <cellStyle name="Обычный 2 2 2 6" xfId="387" xr:uid="{00000000-0005-0000-0000-000083010000}"/>
    <cellStyle name="Обычный 2 2 3" xfId="388" xr:uid="{00000000-0005-0000-0000-000084010000}"/>
    <cellStyle name="Обычный 2 2 3 2" xfId="389" xr:uid="{00000000-0005-0000-0000-000085010000}"/>
    <cellStyle name="Обычный 2 2 4" xfId="390" xr:uid="{00000000-0005-0000-0000-000086010000}"/>
    <cellStyle name="Обычный 2 2 4 2" xfId="391" xr:uid="{00000000-0005-0000-0000-000087010000}"/>
    <cellStyle name="Обычный 2 2 4 2 2" xfId="392" xr:uid="{00000000-0005-0000-0000-000088010000}"/>
    <cellStyle name="Обычный 2 2 4 2 2 2" xfId="393" xr:uid="{00000000-0005-0000-0000-000089010000}"/>
    <cellStyle name="Обычный 2 2 4 2 2 2 2" xfId="394" xr:uid="{00000000-0005-0000-0000-00008A010000}"/>
    <cellStyle name="Обычный 2 2 4 2 3" xfId="395" xr:uid="{00000000-0005-0000-0000-00008B010000}"/>
    <cellStyle name="Обычный 2 2 4 3" xfId="396" xr:uid="{00000000-0005-0000-0000-00008C010000}"/>
    <cellStyle name="Обычный 2 2 4 3 2" xfId="397" xr:uid="{00000000-0005-0000-0000-00008D010000}"/>
    <cellStyle name="Обычный 2 2 5" xfId="398" xr:uid="{00000000-0005-0000-0000-00008E010000}"/>
    <cellStyle name="Обычный 2 2 5 2" xfId="399" xr:uid="{00000000-0005-0000-0000-00008F010000}"/>
    <cellStyle name="Обычный 2 2 5 2 2" xfId="400" xr:uid="{00000000-0005-0000-0000-000090010000}"/>
    <cellStyle name="Обычный 2 2 6" xfId="401" xr:uid="{00000000-0005-0000-0000-000091010000}"/>
    <cellStyle name="Обычный 2 2 7" xfId="402" xr:uid="{00000000-0005-0000-0000-000092010000}"/>
    <cellStyle name="Обычный 2 20" xfId="403" xr:uid="{00000000-0005-0000-0000-000093010000}"/>
    <cellStyle name="Обычный 2 20 2" xfId="404" xr:uid="{00000000-0005-0000-0000-000094010000}"/>
    <cellStyle name="Обычный 2 20 2 2" xfId="405" xr:uid="{00000000-0005-0000-0000-000095010000}"/>
    <cellStyle name="Обычный 2 20 2 2 2" xfId="406" xr:uid="{00000000-0005-0000-0000-000096010000}"/>
    <cellStyle name="Обычный 2 20 2 2 3" xfId="407" xr:uid="{00000000-0005-0000-0000-000097010000}"/>
    <cellStyle name="Обычный 2 20 3" xfId="408" xr:uid="{00000000-0005-0000-0000-000098010000}"/>
    <cellStyle name="Обычный 2 20 4" xfId="409" xr:uid="{00000000-0005-0000-0000-000099010000}"/>
    <cellStyle name="Обычный 2 21" xfId="410" xr:uid="{00000000-0005-0000-0000-00009A010000}"/>
    <cellStyle name="Обычный 2 21 2" xfId="411" xr:uid="{00000000-0005-0000-0000-00009B010000}"/>
    <cellStyle name="Обычный 2 21 3" xfId="412" xr:uid="{00000000-0005-0000-0000-00009C010000}"/>
    <cellStyle name="Обычный 2 22" xfId="413" xr:uid="{00000000-0005-0000-0000-00009D010000}"/>
    <cellStyle name="Обычный 2 23" xfId="414" xr:uid="{00000000-0005-0000-0000-00009E010000}"/>
    <cellStyle name="Обычный 2 24" xfId="415" xr:uid="{00000000-0005-0000-0000-00009F010000}"/>
    <cellStyle name="Обычный 2 25" xfId="416" xr:uid="{00000000-0005-0000-0000-0000A0010000}"/>
    <cellStyle name="Обычный 2 25 2" xfId="417" xr:uid="{00000000-0005-0000-0000-0000A1010000}"/>
    <cellStyle name="Обычный 2 3" xfId="418" xr:uid="{00000000-0005-0000-0000-0000A2010000}"/>
    <cellStyle name="Обычный 2 3 2" xfId="419" xr:uid="{00000000-0005-0000-0000-0000A3010000}"/>
    <cellStyle name="Обычный 2 4" xfId="420" xr:uid="{00000000-0005-0000-0000-0000A4010000}"/>
    <cellStyle name="Обычный 2 4 2" xfId="421" xr:uid="{00000000-0005-0000-0000-0000A5010000}"/>
    <cellStyle name="Обычный 2 5" xfId="422" xr:uid="{00000000-0005-0000-0000-0000A6010000}"/>
    <cellStyle name="Обычный 2 5 2" xfId="423" xr:uid="{00000000-0005-0000-0000-0000A7010000}"/>
    <cellStyle name="Обычный 2 6" xfId="424" xr:uid="{00000000-0005-0000-0000-0000A8010000}"/>
    <cellStyle name="Обычный 2 7" xfId="425" xr:uid="{00000000-0005-0000-0000-0000A9010000}"/>
    <cellStyle name="Обычный 2 8" xfId="426" xr:uid="{00000000-0005-0000-0000-0000AA010000}"/>
    <cellStyle name="Обычный 2 9" xfId="427" xr:uid="{00000000-0005-0000-0000-0000AB010000}"/>
    <cellStyle name="Обычный 3" xfId="428" xr:uid="{00000000-0005-0000-0000-0000AC010000}"/>
    <cellStyle name="Обычный 3 10" xfId="429" xr:uid="{00000000-0005-0000-0000-0000AD010000}"/>
    <cellStyle name="Обычный 3 11" xfId="430" xr:uid="{00000000-0005-0000-0000-0000AE010000}"/>
    <cellStyle name="Обычный 3 12" xfId="431" xr:uid="{00000000-0005-0000-0000-0000AF010000}"/>
    <cellStyle name="Обычный 3 13" xfId="432" xr:uid="{00000000-0005-0000-0000-0000B0010000}"/>
    <cellStyle name="Обычный 3 13 2" xfId="433" xr:uid="{00000000-0005-0000-0000-0000B1010000}"/>
    <cellStyle name="Обычный 3 13 3" xfId="434" xr:uid="{00000000-0005-0000-0000-0000B2010000}"/>
    <cellStyle name="Обычный 3 14" xfId="435" xr:uid="{00000000-0005-0000-0000-0000B3010000}"/>
    <cellStyle name="Обычный 3 14 2" xfId="436" xr:uid="{00000000-0005-0000-0000-0000B4010000}"/>
    <cellStyle name="Обычный 3 14 3" xfId="437" xr:uid="{00000000-0005-0000-0000-0000B5010000}"/>
    <cellStyle name="Обычный 3 15" xfId="438" xr:uid="{00000000-0005-0000-0000-0000B6010000}"/>
    <cellStyle name="Обычный 3 2" xfId="439" xr:uid="{00000000-0005-0000-0000-0000B7010000}"/>
    <cellStyle name="Обычный 3 3" xfId="440" xr:uid="{00000000-0005-0000-0000-0000B8010000}"/>
    <cellStyle name="Обычный 3 4" xfId="441" xr:uid="{00000000-0005-0000-0000-0000B9010000}"/>
    <cellStyle name="Обычный 3 5" xfId="442" xr:uid="{00000000-0005-0000-0000-0000BA010000}"/>
    <cellStyle name="Обычный 3 6" xfId="443" xr:uid="{00000000-0005-0000-0000-0000BB010000}"/>
    <cellStyle name="Обычный 3 7" xfId="444" xr:uid="{00000000-0005-0000-0000-0000BC010000}"/>
    <cellStyle name="Обычный 3 8" xfId="445" xr:uid="{00000000-0005-0000-0000-0000BD010000}"/>
    <cellStyle name="Обычный 3 9" xfId="446" xr:uid="{00000000-0005-0000-0000-0000BE010000}"/>
    <cellStyle name="Обычный 3_Val 2010 10" xfId="447" xr:uid="{00000000-0005-0000-0000-0000BF010000}"/>
    <cellStyle name="Обычный 4" xfId="448" xr:uid="{00000000-0005-0000-0000-0000C0010000}"/>
    <cellStyle name="Обычный 4 10" xfId="449" xr:uid="{00000000-0005-0000-0000-0000C1010000}"/>
    <cellStyle name="Обычный 4 2" xfId="450" xr:uid="{00000000-0005-0000-0000-0000C2010000}"/>
    <cellStyle name="Обычный 4 3" xfId="451" xr:uid="{00000000-0005-0000-0000-0000C3010000}"/>
    <cellStyle name="Обычный 4 4" xfId="452" xr:uid="{00000000-0005-0000-0000-0000C4010000}"/>
    <cellStyle name="Обычный 4 5" xfId="453" xr:uid="{00000000-0005-0000-0000-0000C5010000}"/>
    <cellStyle name="Обычный 4 6" xfId="454" xr:uid="{00000000-0005-0000-0000-0000C6010000}"/>
    <cellStyle name="Обычный 4 7" xfId="455" xr:uid="{00000000-0005-0000-0000-0000C7010000}"/>
    <cellStyle name="Обычный 4 8" xfId="456" xr:uid="{00000000-0005-0000-0000-0000C8010000}"/>
    <cellStyle name="Обычный 4 9" xfId="457" xr:uid="{00000000-0005-0000-0000-0000C9010000}"/>
    <cellStyle name="Обычный 4 9 2" xfId="458" xr:uid="{00000000-0005-0000-0000-0000CA010000}"/>
    <cellStyle name="Обычный 4 9 3" xfId="459" xr:uid="{00000000-0005-0000-0000-0000CB010000}"/>
    <cellStyle name="Обычный 5" xfId="460" xr:uid="{00000000-0005-0000-0000-0000CC010000}"/>
    <cellStyle name="Обычный 5 2" xfId="461" xr:uid="{00000000-0005-0000-0000-0000CD010000}"/>
    <cellStyle name="Обычный 5 3" xfId="462" xr:uid="{00000000-0005-0000-0000-0000CE010000}"/>
    <cellStyle name="Обычный 5 4" xfId="463" xr:uid="{00000000-0005-0000-0000-0000CF010000}"/>
    <cellStyle name="Обычный 5 5" xfId="464" xr:uid="{00000000-0005-0000-0000-0000D0010000}"/>
    <cellStyle name="Обычный 56" xfId="465" xr:uid="{00000000-0005-0000-0000-0000D1010000}"/>
    <cellStyle name="Обычный 6" xfId="466" xr:uid="{00000000-0005-0000-0000-0000D2010000}"/>
    <cellStyle name="Обычный 6 2" xfId="467" xr:uid="{00000000-0005-0000-0000-0000D3010000}"/>
    <cellStyle name="Обычный 6 3" xfId="468" xr:uid="{00000000-0005-0000-0000-0000D4010000}"/>
    <cellStyle name="Обычный 7" xfId="469" xr:uid="{00000000-0005-0000-0000-0000D5010000}"/>
    <cellStyle name="Обычный 7 2" xfId="470" xr:uid="{00000000-0005-0000-0000-0000D6010000}"/>
    <cellStyle name="Обычный 8" xfId="471" xr:uid="{00000000-0005-0000-0000-0000D7010000}"/>
    <cellStyle name="Обычный 9" xfId="472" xr:uid="{00000000-0005-0000-0000-0000D8010000}"/>
    <cellStyle name="Обычный_Лист1" xfId="510" xr:uid="{5BFC47D8-2EE3-4029-B214-D6AA4A5B39C0}"/>
    <cellStyle name="Открывавшаяся гиперссылка 2" xfId="473" xr:uid="{00000000-0005-0000-0000-0000D9010000}"/>
    <cellStyle name="Плохой 2" xfId="474" xr:uid="{00000000-0005-0000-0000-0000DA010000}"/>
    <cellStyle name="Плохой 3" xfId="475" xr:uid="{00000000-0005-0000-0000-0000DB010000}"/>
    <cellStyle name="Плохой 4" xfId="476" xr:uid="{00000000-0005-0000-0000-0000DC010000}"/>
    <cellStyle name="Плохой 5" xfId="477" xr:uid="{00000000-0005-0000-0000-0000DD010000}"/>
    <cellStyle name="Плохой 6" xfId="478" xr:uid="{00000000-0005-0000-0000-0000DE010000}"/>
    <cellStyle name="Плохой 7" xfId="479" xr:uid="{00000000-0005-0000-0000-0000DF010000}"/>
    <cellStyle name="Пояснение 2" xfId="480" xr:uid="{00000000-0005-0000-0000-0000E0010000}"/>
    <cellStyle name="Пояснение 3" xfId="481" xr:uid="{00000000-0005-0000-0000-0000E1010000}"/>
    <cellStyle name="Пояснение 4" xfId="482" xr:uid="{00000000-0005-0000-0000-0000E2010000}"/>
    <cellStyle name="Пояснение 5" xfId="483" xr:uid="{00000000-0005-0000-0000-0000E3010000}"/>
    <cellStyle name="Пояснение 6" xfId="484" xr:uid="{00000000-0005-0000-0000-0000E4010000}"/>
    <cellStyle name="Пояснение 7" xfId="485" xr:uid="{00000000-0005-0000-0000-0000E5010000}"/>
    <cellStyle name="Примечание 2" xfId="486" xr:uid="{00000000-0005-0000-0000-0000E6010000}"/>
    <cellStyle name="Примечание 3" xfId="487" xr:uid="{00000000-0005-0000-0000-0000E7010000}"/>
    <cellStyle name="Примечание 4" xfId="488" xr:uid="{00000000-0005-0000-0000-0000E8010000}"/>
    <cellStyle name="Примечание 5" xfId="489" xr:uid="{00000000-0005-0000-0000-0000E9010000}"/>
    <cellStyle name="Примечание 6" xfId="490" xr:uid="{00000000-0005-0000-0000-0000EA010000}"/>
    <cellStyle name="Примечание 7" xfId="491" xr:uid="{00000000-0005-0000-0000-0000EB010000}"/>
    <cellStyle name="Связанная ячейка 2" xfId="492" xr:uid="{00000000-0005-0000-0000-0000EC010000}"/>
    <cellStyle name="Связанная ячейка 3" xfId="493" xr:uid="{00000000-0005-0000-0000-0000ED010000}"/>
    <cellStyle name="Связанная ячейка 4" xfId="494" xr:uid="{00000000-0005-0000-0000-0000EE010000}"/>
    <cellStyle name="Связанная ячейка 5" xfId="495" xr:uid="{00000000-0005-0000-0000-0000EF010000}"/>
    <cellStyle name="Связанная ячейка 6" xfId="496" xr:uid="{00000000-0005-0000-0000-0000F0010000}"/>
    <cellStyle name="Связанная ячейка 7" xfId="497" xr:uid="{00000000-0005-0000-0000-0000F1010000}"/>
    <cellStyle name="Текст предупреждения 2" xfId="498" xr:uid="{00000000-0005-0000-0000-0000F2010000}"/>
    <cellStyle name="Текст предупреждения 3" xfId="499" xr:uid="{00000000-0005-0000-0000-0000F3010000}"/>
    <cellStyle name="Текст предупреждения 4" xfId="500" xr:uid="{00000000-0005-0000-0000-0000F4010000}"/>
    <cellStyle name="Текст предупреждения 5" xfId="501" xr:uid="{00000000-0005-0000-0000-0000F5010000}"/>
    <cellStyle name="Текст предупреждения 6" xfId="502" xr:uid="{00000000-0005-0000-0000-0000F6010000}"/>
    <cellStyle name="Текст предупреждения 7" xfId="503" xr:uid="{00000000-0005-0000-0000-0000F7010000}"/>
    <cellStyle name="Хороший 2" xfId="504" xr:uid="{00000000-0005-0000-0000-0000F8010000}"/>
    <cellStyle name="Хороший 3" xfId="505" xr:uid="{00000000-0005-0000-0000-0000F9010000}"/>
    <cellStyle name="Хороший 4" xfId="506" xr:uid="{00000000-0005-0000-0000-0000FA010000}"/>
    <cellStyle name="Хороший 5" xfId="507" xr:uid="{00000000-0005-0000-0000-0000FB010000}"/>
    <cellStyle name="Хороший 6" xfId="508" xr:uid="{00000000-0005-0000-0000-0000FC010000}"/>
    <cellStyle name="Хороший 7" xfId="509" xr:uid="{00000000-0005-0000-0000-0000F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35"/>
  <sheetViews>
    <sheetView workbookViewId="0">
      <selection activeCell="A35" sqref="A35:I35"/>
    </sheetView>
  </sheetViews>
  <sheetFormatPr defaultRowHeight="11.25"/>
  <cols>
    <col min="1" max="1" width="9.140625" style="13"/>
    <col min="2" max="2" width="14.5703125" style="13" customWidth="1"/>
    <col min="3" max="3" width="15.5703125" style="13" customWidth="1"/>
    <col min="4" max="4" width="13.140625" style="13" customWidth="1"/>
    <col min="5" max="5" width="14" style="13" customWidth="1"/>
    <col min="6" max="6" width="10.5703125" style="13" customWidth="1"/>
    <col min="7" max="7" width="12.28515625" style="13" customWidth="1"/>
    <col min="8" max="8" width="12" style="13" customWidth="1"/>
    <col min="9" max="9" width="11.7109375" style="13" customWidth="1"/>
    <col min="10" max="16384" width="9.140625" style="2"/>
  </cols>
  <sheetData>
    <row r="1" spans="1:9" s="20" customFormat="1" ht="12.75">
      <c r="A1" s="148" t="s">
        <v>17</v>
      </c>
      <c r="B1" s="148"/>
      <c r="C1" s="148"/>
      <c r="D1" s="148"/>
      <c r="E1" s="148"/>
      <c r="F1" s="148"/>
      <c r="G1" s="148"/>
      <c r="H1" s="148"/>
      <c r="I1" s="148"/>
    </row>
    <row r="2" spans="1:9">
      <c r="I2" s="13" t="s">
        <v>18</v>
      </c>
    </row>
    <row r="3" spans="1:9" s="22" customFormat="1" ht="45">
      <c r="A3" s="41"/>
      <c r="B3" s="41" t="s">
        <v>19</v>
      </c>
      <c r="C3" s="41" t="s">
        <v>20</v>
      </c>
      <c r="D3" s="41" t="s">
        <v>21</v>
      </c>
      <c r="E3" s="41" t="s">
        <v>22</v>
      </c>
      <c r="F3" s="41" t="s">
        <v>23</v>
      </c>
      <c r="G3" s="41" t="s">
        <v>24</v>
      </c>
      <c r="H3" s="41" t="s">
        <v>25</v>
      </c>
      <c r="I3" s="41" t="s">
        <v>26</v>
      </c>
    </row>
    <row r="4" spans="1:9">
      <c r="A4" s="26">
        <v>1997</v>
      </c>
      <c r="B4" s="25">
        <v>912.35400000000004</v>
      </c>
      <c r="C4" s="25">
        <v>524.34100000000001</v>
      </c>
      <c r="D4" s="25">
        <v>114.432</v>
      </c>
      <c r="E4" s="25">
        <v>113.827</v>
      </c>
      <c r="F4" s="25">
        <v>24.231999999999999</v>
      </c>
      <c r="G4" s="25">
        <v>9.9589999999999996</v>
      </c>
      <c r="H4" s="25" t="s">
        <v>90</v>
      </c>
      <c r="I4" s="25">
        <v>237.465</v>
      </c>
    </row>
    <row r="5" spans="1:9">
      <c r="A5" s="26">
        <v>1998</v>
      </c>
      <c r="B5" s="25">
        <v>730.73500000000001</v>
      </c>
      <c r="C5" s="25">
        <v>404.89100000000002</v>
      </c>
      <c r="D5" s="25">
        <v>133.066</v>
      </c>
      <c r="E5" s="25">
        <v>131.92599999999999</v>
      </c>
      <c r="F5" s="25">
        <v>26.43</v>
      </c>
      <c r="G5" s="25">
        <v>10.972</v>
      </c>
      <c r="H5" s="25" t="s">
        <v>90</v>
      </c>
      <c r="I5" s="25">
        <v>152.202</v>
      </c>
    </row>
    <row r="6" spans="1:9">
      <c r="A6" s="26">
        <v>1999</v>
      </c>
      <c r="B6" s="25">
        <v>697.30600000000004</v>
      </c>
      <c r="C6" s="25">
        <v>382.01499999999999</v>
      </c>
      <c r="D6" s="25">
        <v>162.68700000000001</v>
      </c>
      <c r="E6" s="25">
        <v>162.04599999999999</v>
      </c>
      <c r="F6" s="25">
        <v>25.920999999999999</v>
      </c>
      <c r="G6" s="25">
        <v>10.388999999999999</v>
      </c>
      <c r="H6" s="25" t="s">
        <v>90</v>
      </c>
      <c r="I6" s="25">
        <v>114.2589</v>
      </c>
    </row>
    <row r="7" spans="1:9">
      <c r="A7" s="26">
        <v>2000</v>
      </c>
      <c r="B7" s="25">
        <v>758.97</v>
      </c>
      <c r="C7" s="25">
        <v>425.96499999999997</v>
      </c>
      <c r="D7" s="25">
        <v>190.24199999999999</v>
      </c>
      <c r="E7" s="25">
        <v>190.24199999999999</v>
      </c>
      <c r="F7" s="25">
        <v>26.861000000000001</v>
      </c>
      <c r="G7" s="25">
        <v>10.692</v>
      </c>
      <c r="H7" s="25" t="s">
        <v>90</v>
      </c>
      <c r="I7" s="25">
        <v>101.96</v>
      </c>
    </row>
    <row r="8" spans="1:9">
      <c r="A8" s="26">
        <v>2001</v>
      </c>
      <c r="B8" s="25">
        <v>790.88099999999997</v>
      </c>
      <c r="C8" s="25">
        <v>500.80500000000001</v>
      </c>
      <c r="D8" s="25">
        <v>145.202</v>
      </c>
      <c r="E8" s="25">
        <v>144.036</v>
      </c>
      <c r="F8" s="25">
        <v>27.541</v>
      </c>
      <c r="G8" s="25">
        <v>11.247999999999999</v>
      </c>
      <c r="H8" s="25">
        <v>2.0470000000000002</v>
      </c>
      <c r="I8" s="25">
        <v>104.02800000000001</v>
      </c>
    </row>
    <row r="9" spans="1:9">
      <c r="A9" s="26">
        <v>2002</v>
      </c>
      <c r="B9" s="25">
        <v>941.51800000000003</v>
      </c>
      <c r="C9" s="25">
        <v>567.44200000000001</v>
      </c>
      <c r="D9" s="25">
        <v>210.62</v>
      </c>
      <c r="E9" s="25">
        <v>209.54</v>
      </c>
      <c r="F9" s="25">
        <v>27.567</v>
      </c>
      <c r="G9" s="25">
        <v>10.500999999999999</v>
      </c>
      <c r="H9" s="25">
        <v>1.7496</v>
      </c>
      <c r="I9" s="25">
        <v>123.623</v>
      </c>
    </row>
    <row r="10" spans="1:9">
      <c r="A10" s="26">
        <v>2003</v>
      </c>
      <c r="B10" s="25">
        <v>1011.276</v>
      </c>
      <c r="C10" s="25">
        <v>569.16899999999998</v>
      </c>
      <c r="D10" s="25">
        <v>275.47500000000002</v>
      </c>
      <c r="E10" s="25">
        <v>272.46600000000001</v>
      </c>
      <c r="F10" s="25">
        <v>27.091999999999999</v>
      </c>
      <c r="G10" s="25">
        <v>10.291</v>
      </c>
      <c r="H10" s="25">
        <v>1.7951999999999999</v>
      </c>
      <c r="I10" s="25">
        <v>127.45</v>
      </c>
    </row>
    <row r="11" spans="1:9">
      <c r="A11" s="26">
        <v>2004</v>
      </c>
      <c r="B11" s="25">
        <v>1051.299</v>
      </c>
      <c r="C11" s="25">
        <v>595.93299999999999</v>
      </c>
      <c r="D11" s="25">
        <v>284.84699999999998</v>
      </c>
      <c r="E11" s="25">
        <v>280.37</v>
      </c>
      <c r="F11" s="25">
        <v>26.882999999999999</v>
      </c>
      <c r="G11" s="25">
        <v>10.316000000000001</v>
      </c>
      <c r="H11" s="25">
        <v>1.756</v>
      </c>
      <c r="I11" s="25">
        <v>131.56200000000001</v>
      </c>
    </row>
    <row r="12" spans="1:9">
      <c r="A12" s="26">
        <v>2005</v>
      </c>
      <c r="B12" s="25">
        <v>1018.5</v>
      </c>
      <c r="C12" s="25">
        <v>586.4</v>
      </c>
      <c r="D12" s="25">
        <v>266.73480000000001</v>
      </c>
      <c r="E12" s="25">
        <v>264.62450000000001</v>
      </c>
      <c r="F12" s="25">
        <v>25.704000000000001</v>
      </c>
      <c r="G12" s="25">
        <v>9.6999999999999993</v>
      </c>
      <c r="H12" s="25">
        <v>1.6716</v>
      </c>
      <c r="I12" s="25">
        <v>128.34880000000001</v>
      </c>
    </row>
    <row r="13" spans="1:9">
      <c r="A13" s="26">
        <v>2006</v>
      </c>
      <c r="B13" s="25">
        <v>1012.6</v>
      </c>
      <c r="C13" s="25">
        <v>583.1</v>
      </c>
      <c r="D13" s="25">
        <v>267.02480000000003</v>
      </c>
      <c r="E13" s="25">
        <v>265.68029999999999</v>
      </c>
      <c r="F13" s="25">
        <v>20.190000000000001</v>
      </c>
      <c r="G13" s="25">
        <v>7.5389999999999997</v>
      </c>
      <c r="H13" s="25">
        <v>1.5698000000000001</v>
      </c>
      <c r="I13" s="25">
        <v>133.102</v>
      </c>
    </row>
    <row r="14" spans="1:9">
      <c r="A14" s="26">
        <v>2007</v>
      </c>
      <c r="B14" s="25">
        <v>979.4</v>
      </c>
      <c r="C14" s="25">
        <v>603.4</v>
      </c>
      <c r="D14" s="25">
        <v>184.57499999999999</v>
      </c>
      <c r="E14" s="25">
        <v>183.81200000000001</v>
      </c>
      <c r="F14" s="25">
        <v>21.794</v>
      </c>
      <c r="G14" s="25">
        <v>7.758</v>
      </c>
      <c r="H14" s="25">
        <v>1.5039</v>
      </c>
      <c r="I14" s="25">
        <v>160.36089999999999</v>
      </c>
    </row>
    <row r="15" spans="1:9">
      <c r="A15" s="26">
        <v>2008</v>
      </c>
      <c r="B15" s="27">
        <v>1065.5999999999999</v>
      </c>
      <c r="C15" s="27">
        <v>596.6</v>
      </c>
      <c r="D15" s="27">
        <v>267.5376</v>
      </c>
      <c r="E15" s="27">
        <v>266.52</v>
      </c>
      <c r="F15" s="27">
        <v>21.286999999999999</v>
      </c>
      <c r="G15" s="25">
        <v>7.5819999999999999</v>
      </c>
      <c r="H15" s="27">
        <v>2.2745000000000002</v>
      </c>
      <c r="I15" s="27">
        <v>170.3212</v>
      </c>
    </row>
    <row r="16" spans="1:9">
      <c r="A16" s="26">
        <v>2009</v>
      </c>
      <c r="B16" s="25">
        <v>1132.2</v>
      </c>
      <c r="C16" s="25">
        <v>566.95500000000004</v>
      </c>
      <c r="D16" s="25">
        <v>352.18279999999999</v>
      </c>
      <c r="E16" s="40">
        <v>348.52100000000002</v>
      </c>
      <c r="F16" s="25">
        <v>23.437999999999999</v>
      </c>
      <c r="G16" s="25">
        <v>8.4380000000000006</v>
      </c>
      <c r="H16" s="25">
        <v>2.3708</v>
      </c>
      <c r="I16" s="25">
        <v>178.76929999999999</v>
      </c>
    </row>
    <row r="17" spans="1:9">
      <c r="A17" s="39">
        <v>2010</v>
      </c>
      <c r="B17" s="27">
        <v>1095.2</v>
      </c>
      <c r="C17" s="27">
        <v>489.64699999999999</v>
      </c>
      <c r="D17" s="27">
        <v>370.23570000000001</v>
      </c>
      <c r="E17" s="40">
        <v>364.64499999999998</v>
      </c>
      <c r="F17" s="27">
        <v>24.175000000000001</v>
      </c>
      <c r="G17" s="27">
        <v>8.9489999999999998</v>
      </c>
      <c r="H17" s="27">
        <v>1.9420999999999999</v>
      </c>
      <c r="I17" s="27">
        <v>200.1996</v>
      </c>
    </row>
    <row r="18" spans="1:9">
      <c r="A18" s="39">
        <v>2011</v>
      </c>
      <c r="B18" s="27">
        <v>1177</v>
      </c>
      <c r="C18" s="27">
        <v>520.64099999999996</v>
      </c>
      <c r="D18" s="27">
        <v>411.13729999999998</v>
      </c>
      <c r="E18" s="44">
        <v>401.66899999999998</v>
      </c>
      <c r="F18" s="27">
        <v>24.17</v>
      </c>
      <c r="G18" s="27">
        <v>8.8640000000000008</v>
      </c>
      <c r="H18" s="27">
        <v>2.0840999999999998</v>
      </c>
      <c r="I18" s="27">
        <v>210.23400000000001</v>
      </c>
    </row>
    <row r="19" spans="1:9">
      <c r="A19" s="39">
        <v>2012</v>
      </c>
      <c r="B19" s="40">
        <v>1217.7</v>
      </c>
      <c r="C19" s="40">
        <v>543.43499999999995</v>
      </c>
      <c r="D19" s="40">
        <v>377.14420000000001</v>
      </c>
      <c r="E19" s="40">
        <v>360.28699999999998</v>
      </c>
      <c r="F19" s="40">
        <v>23.6</v>
      </c>
      <c r="G19" s="40">
        <v>8.7669999999999995</v>
      </c>
      <c r="H19" s="40">
        <v>2.1288</v>
      </c>
      <c r="I19" s="40">
        <v>262.6046</v>
      </c>
    </row>
    <row r="20" spans="1:9">
      <c r="A20" s="39">
        <v>2013</v>
      </c>
      <c r="B20" s="27">
        <v>1294.3</v>
      </c>
      <c r="C20" s="40">
        <v>559.23800000000006</v>
      </c>
      <c r="D20" s="40">
        <v>402.1397</v>
      </c>
      <c r="E20" s="40">
        <v>384.35500000000002</v>
      </c>
      <c r="F20" s="27">
        <v>24.021999999999998</v>
      </c>
      <c r="G20" s="27">
        <v>8.9860000000000007</v>
      </c>
      <c r="H20" s="40">
        <v>2.8614000000000002</v>
      </c>
      <c r="I20" s="40">
        <v>297.05</v>
      </c>
    </row>
    <row r="21" spans="1:9">
      <c r="A21" s="39">
        <v>2014</v>
      </c>
      <c r="B21" s="28">
        <v>1321.7</v>
      </c>
      <c r="C21" s="40">
        <v>571.44600000000003</v>
      </c>
      <c r="D21" s="27">
        <v>403.73540000000003</v>
      </c>
      <c r="E21" s="27">
        <v>379.5</v>
      </c>
      <c r="F21" s="43">
        <v>24.050999999999998</v>
      </c>
      <c r="G21" s="27">
        <v>9.2637999999999998</v>
      </c>
      <c r="H21" s="27">
        <v>2.8334000000000001</v>
      </c>
      <c r="I21" s="27">
        <v>310.38119999999998</v>
      </c>
    </row>
    <row r="22" spans="1:9">
      <c r="A22" s="39">
        <v>2015</v>
      </c>
      <c r="B22" s="28">
        <v>1277.9545000000001</v>
      </c>
      <c r="C22" s="40">
        <v>579.53700000000003</v>
      </c>
      <c r="D22" s="27">
        <v>377.84589999999997</v>
      </c>
      <c r="E22" s="27">
        <v>347.03899999999999</v>
      </c>
      <c r="F22" s="43">
        <v>24.145</v>
      </c>
      <c r="G22" s="27">
        <v>8.9937000000000005</v>
      </c>
      <c r="H22" s="27">
        <v>3.2002999999999999</v>
      </c>
      <c r="I22" s="27">
        <v>284.2319</v>
      </c>
    </row>
    <row r="23" spans="1:9">
      <c r="A23" s="39">
        <v>2016</v>
      </c>
      <c r="B23" s="28">
        <v>1301.6030000000001</v>
      </c>
      <c r="C23" s="40">
        <v>572.476</v>
      </c>
      <c r="D23" s="27">
        <v>414.30500000000001</v>
      </c>
      <c r="E23" s="27">
        <v>394.17599999999999</v>
      </c>
      <c r="F23" s="43">
        <v>21.152000000000001</v>
      </c>
      <c r="G23" s="27">
        <v>8.5020000000000007</v>
      </c>
      <c r="H23" s="27">
        <v>4.7880000000000003</v>
      </c>
      <c r="I23" s="27">
        <v>280.37799999999999</v>
      </c>
    </row>
    <row r="24" spans="1:9">
      <c r="A24" s="39">
        <v>2017</v>
      </c>
      <c r="B24" s="28">
        <v>1316.434</v>
      </c>
      <c r="C24" s="40">
        <v>565.44100000000003</v>
      </c>
      <c r="D24" s="27">
        <v>431.16</v>
      </c>
      <c r="E24" s="27">
        <v>399.37599999999998</v>
      </c>
      <c r="F24" s="43">
        <v>20.341999999999999</v>
      </c>
      <c r="G24" s="27">
        <v>8.5020000000000007</v>
      </c>
      <c r="H24" s="27">
        <v>5.5579999999999998</v>
      </c>
      <c r="I24" s="27">
        <v>285.42989999999998</v>
      </c>
    </row>
    <row r="25" spans="1:9">
      <c r="A25" s="39">
        <v>2018</v>
      </c>
      <c r="B25" s="28">
        <v>1318.2329999999999</v>
      </c>
      <c r="C25" s="40">
        <v>543.24199999999996</v>
      </c>
      <c r="D25" s="27">
        <v>450.11799999999999</v>
      </c>
      <c r="E25" s="27">
        <v>413.76400000000001</v>
      </c>
      <c r="F25" s="43">
        <v>19.957000000000001</v>
      </c>
      <c r="G25" s="27">
        <v>9.0609999999999999</v>
      </c>
      <c r="H25" s="27">
        <v>4.117</v>
      </c>
      <c r="I25" s="27">
        <v>291.738</v>
      </c>
    </row>
    <row r="26" spans="1:9">
      <c r="A26" s="39">
        <v>2019</v>
      </c>
      <c r="B26" s="28">
        <v>1360.4659999999999</v>
      </c>
      <c r="C26" s="28">
        <v>549.84400000000005</v>
      </c>
      <c r="D26" s="27">
        <v>485.512</v>
      </c>
      <c r="E26" s="27">
        <v>445.35300000000001</v>
      </c>
      <c r="F26" s="43">
        <v>19.5487</v>
      </c>
      <c r="G26" s="27">
        <v>8.3297000000000008</v>
      </c>
      <c r="H26" s="27">
        <v>5.6909000000000001</v>
      </c>
      <c r="I26" s="27">
        <v>291.54000000000002</v>
      </c>
    </row>
    <row r="27" spans="1:9">
      <c r="A27" s="39">
        <v>2020</v>
      </c>
      <c r="B27" s="28">
        <v>1367.4480000000001</v>
      </c>
      <c r="C27" s="28">
        <v>604.57799999999997</v>
      </c>
      <c r="D27" s="27">
        <v>449.44499999999999</v>
      </c>
      <c r="E27" s="27">
        <v>423.93400000000003</v>
      </c>
      <c r="F27" s="43">
        <v>19.333600000000001</v>
      </c>
      <c r="G27" s="27">
        <v>8.7004999999999999</v>
      </c>
      <c r="H27" s="27">
        <v>4.8780000000000001</v>
      </c>
      <c r="I27" s="27">
        <v>280.512</v>
      </c>
    </row>
    <row r="28" spans="1:9">
      <c r="A28" s="39">
        <v>2021</v>
      </c>
      <c r="B28" s="28">
        <v>1378.7139999999999</v>
      </c>
      <c r="C28" s="28">
        <v>599.61300000000006</v>
      </c>
      <c r="D28" s="27">
        <v>487.654</v>
      </c>
      <c r="E28" s="27">
        <v>462.30900000000003</v>
      </c>
      <c r="F28" s="43">
        <v>19.748200000000001</v>
      </c>
      <c r="G28" s="27">
        <v>9.1161999999999992</v>
      </c>
      <c r="H28" s="27">
        <v>4.6787000000000001</v>
      </c>
      <c r="I28" s="27">
        <v>257.90300000000002</v>
      </c>
    </row>
    <row r="29" spans="1:9">
      <c r="A29" s="39">
        <v>2022</v>
      </c>
      <c r="B29" s="28">
        <v>642.41700000000003</v>
      </c>
      <c r="C29" s="28">
        <v>285.60000000000002</v>
      </c>
      <c r="D29" s="27">
        <v>209.845</v>
      </c>
      <c r="E29" s="27">
        <v>189.68600000000001</v>
      </c>
      <c r="F29" s="43">
        <v>11.811</v>
      </c>
      <c r="G29" s="27">
        <v>4.5960000000000001</v>
      </c>
      <c r="H29" s="27">
        <v>1.1519999999999999</v>
      </c>
      <c r="I29" s="27">
        <v>129.3458</v>
      </c>
    </row>
    <row r="30" spans="1:9">
      <c r="A30" s="39" t="s">
        <v>27</v>
      </c>
      <c r="B30" s="28">
        <v>638.35</v>
      </c>
      <c r="C30" s="28">
        <v>287.60000000000002</v>
      </c>
      <c r="D30" s="27">
        <v>212.21199999999999</v>
      </c>
      <c r="E30" s="27">
        <v>197.434</v>
      </c>
      <c r="F30" s="43">
        <v>10.808999999999999</v>
      </c>
      <c r="G30" s="27">
        <v>4.6204999999999998</v>
      </c>
      <c r="H30" s="27">
        <v>1.405</v>
      </c>
      <c r="I30" s="27">
        <v>121.4366</v>
      </c>
    </row>
    <row r="31" spans="1:9">
      <c r="A31" s="39">
        <v>2024</v>
      </c>
      <c r="B31" s="28">
        <v>607.56799999999998</v>
      </c>
      <c r="C31" s="28">
        <v>254</v>
      </c>
      <c r="D31" s="27">
        <v>221.1</v>
      </c>
      <c r="E31" s="27">
        <v>204.17</v>
      </c>
      <c r="F31" s="43">
        <v>8.0618999999999996</v>
      </c>
      <c r="G31" s="27">
        <v>3.2942999999999998</v>
      </c>
      <c r="H31" s="27">
        <v>0.75</v>
      </c>
      <c r="I31" s="27"/>
    </row>
    <row r="32" spans="1:9">
      <c r="A32" s="39">
        <v>2025</v>
      </c>
      <c r="B32" s="28">
        <v>616.4</v>
      </c>
      <c r="C32" s="28">
        <v>240.8</v>
      </c>
      <c r="D32" s="27">
        <v>260.30599999999998</v>
      </c>
      <c r="E32" s="27">
        <v>235.84800000000001</v>
      </c>
      <c r="F32" s="43">
        <v>7.5</v>
      </c>
      <c r="G32" s="27">
        <v>3.3256000000000001</v>
      </c>
      <c r="H32" s="27">
        <v>0.81379999999999997</v>
      </c>
      <c r="I32" s="27">
        <v>103.6613</v>
      </c>
    </row>
    <row r="34" spans="1:9" ht="41.25" customHeight="1">
      <c r="A34" s="149" t="s">
        <v>39</v>
      </c>
      <c r="B34" s="149"/>
      <c r="C34" s="149"/>
      <c r="D34" s="149"/>
      <c r="E34" s="149"/>
      <c r="F34" s="149"/>
      <c r="G34" s="149"/>
      <c r="H34" s="149"/>
      <c r="I34" s="149"/>
    </row>
    <row r="35" spans="1:9">
      <c r="A35" s="150"/>
      <c r="B35" s="150"/>
      <c r="C35" s="150"/>
      <c r="D35" s="150"/>
      <c r="E35" s="150"/>
      <c r="F35" s="150"/>
      <c r="G35" s="150"/>
      <c r="H35" s="150"/>
      <c r="I35" s="150"/>
    </row>
  </sheetData>
  <mergeCells count="3">
    <mergeCell ref="A1:I1"/>
    <mergeCell ref="A34:I34"/>
    <mergeCell ref="A35:I3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98"/>
  <sheetViews>
    <sheetView workbookViewId="0">
      <pane xSplit="1" topLeftCell="F1" activePane="topRight" state="frozen"/>
      <selection pane="topRight" activeCell="A2" sqref="A2:AG2"/>
    </sheetView>
  </sheetViews>
  <sheetFormatPr defaultRowHeight="11.25"/>
  <cols>
    <col min="1" max="1" width="21.140625" style="103" customWidth="1"/>
    <col min="2" max="8" width="8" style="93" bestFit="1" customWidth="1"/>
    <col min="9" max="9" width="10.42578125" style="93" customWidth="1"/>
    <col min="10" max="10" width="8" style="93" bestFit="1" customWidth="1"/>
    <col min="11" max="11" width="8" style="93" customWidth="1"/>
    <col min="12" max="13" width="8" style="93" bestFit="1" customWidth="1"/>
    <col min="14" max="14" width="8" style="120" bestFit="1" customWidth="1"/>
    <col min="15" max="33" width="8" style="93" bestFit="1" customWidth="1"/>
    <col min="34" max="16384" width="9.140625" style="93"/>
  </cols>
  <sheetData>
    <row r="1" spans="1:33"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</row>
    <row r="2" spans="1:33" ht="12.75">
      <c r="A2" s="151" t="s">
        <v>89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</row>
    <row r="3" spans="1:33" ht="9.7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33" ht="12.75">
      <c r="A4" s="151" t="s">
        <v>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</row>
    <row r="5" spans="1:33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</row>
    <row r="6" spans="1:33" s="91" customFormat="1">
      <c r="A6" s="130"/>
      <c r="B6" s="130">
        <v>1990</v>
      </c>
      <c r="C6" s="130">
        <v>1991</v>
      </c>
      <c r="D6" s="130">
        <v>1992</v>
      </c>
      <c r="E6" s="130">
        <v>1993</v>
      </c>
      <c r="F6" s="130">
        <v>1994</v>
      </c>
      <c r="G6" s="130">
        <v>1995</v>
      </c>
      <c r="H6" s="130">
        <v>1996</v>
      </c>
      <c r="I6" s="130">
        <v>1997</v>
      </c>
      <c r="J6" s="130">
        <v>1998</v>
      </c>
      <c r="K6" s="130">
        <v>1999</v>
      </c>
      <c r="L6" s="130">
        <v>2000</v>
      </c>
      <c r="M6" s="130">
        <v>2001</v>
      </c>
      <c r="N6" s="130">
        <v>2002</v>
      </c>
      <c r="O6" s="130">
        <v>2003</v>
      </c>
      <c r="P6" s="130">
        <v>2004</v>
      </c>
      <c r="Q6" s="130">
        <v>2005</v>
      </c>
      <c r="R6" s="130">
        <v>2006</v>
      </c>
      <c r="S6" s="130">
        <v>2007</v>
      </c>
      <c r="T6" s="130">
        <v>2008</v>
      </c>
      <c r="U6" s="130">
        <v>2009</v>
      </c>
      <c r="V6" s="130">
        <v>2010</v>
      </c>
      <c r="W6" s="130">
        <v>2011</v>
      </c>
      <c r="X6" s="130">
        <v>2012</v>
      </c>
      <c r="Y6" s="130">
        <v>2013</v>
      </c>
      <c r="Z6" s="130">
        <v>2014</v>
      </c>
      <c r="AA6" s="130">
        <v>2015</v>
      </c>
      <c r="AB6" s="130">
        <v>2016</v>
      </c>
      <c r="AC6" s="130">
        <v>2017</v>
      </c>
      <c r="AD6" s="130">
        <v>2018</v>
      </c>
      <c r="AE6" s="130">
        <v>2019</v>
      </c>
      <c r="AF6" s="130">
        <v>2020</v>
      </c>
      <c r="AG6" s="130">
        <v>2021</v>
      </c>
    </row>
    <row r="7" spans="1:33" ht="22.5">
      <c r="A7" s="134" t="s">
        <v>85</v>
      </c>
      <c r="B7" s="96">
        <v>607.4</v>
      </c>
      <c r="C7" s="96">
        <v>616</v>
      </c>
      <c r="D7" s="96">
        <v>850.2</v>
      </c>
      <c r="E7" s="96">
        <v>670.7</v>
      </c>
      <c r="F7" s="96">
        <v>578.70000000000005</v>
      </c>
      <c r="G7" s="96">
        <v>493.8</v>
      </c>
      <c r="H7" s="96">
        <v>457.64299999999997</v>
      </c>
      <c r="I7" s="96">
        <v>367.1</v>
      </c>
      <c r="J7" s="96">
        <v>291.7</v>
      </c>
      <c r="K7" s="96">
        <v>260.8</v>
      </c>
      <c r="L7" s="96">
        <v>278.5</v>
      </c>
      <c r="M7" s="96">
        <v>333.1</v>
      </c>
      <c r="N7" s="96">
        <v>404.3</v>
      </c>
      <c r="O7" s="96">
        <v>406.1</v>
      </c>
      <c r="P7" s="96">
        <v>433.2</v>
      </c>
      <c r="Q7" s="78">
        <v>421</v>
      </c>
      <c r="R7" s="96">
        <v>397.7</v>
      </c>
      <c r="S7" s="78">
        <v>383.2</v>
      </c>
      <c r="T7" s="78">
        <v>416.9</v>
      </c>
      <c r="U7" s="78">
        <v>397.9</v>
      </c>
      <c r="V7" s="78">
        <v>336.5</v>
      </c>
      <c r="W7" s="78">
        <v>358.2</v>
      </c>
      <c r="X7" s="78">
        <v>355.07979999999998</v>
      </c>
      <c r="Y7" s="78">
        <v>359.1</v>
      </c>
      <c r="Z7" s="78">
        <v>374.3</v>
      </c>
      <c r="AA7" s="78">
        <v>379.3</v>
      </c>
      <c r="AB7" s="78">
        <v>383.6</v>
      </c>
      <c r="AC7" s="78">
        <v>355</v>
      </c>
      <c r="AD7" s="78">
        <v>345.45499999999998</v>
      </c>
      <c r="AE7" s="78">
        <v>365.53896999999995</v>
      </c>
      <c r="AF7" s="78">
        <v>420.07990000000001</v>
      </c>
      <c r="AG7" s="78">
        <v>425.09440000000001</v>
      </c>
    </row>
    <row r="8" spans="1:33">
      <c r="A8" s="93" t="s">
        <v>40</v>
      </c>
      <c r="B8" s="98" t="s">
        <v>34</v>
      </c>
      <c r="C8" s="98" t="s">
        <v>34</v>
      </c>
      <c r="D8" s="98" t="s">
        <v>34</v>
      </c>
      <c r="E8" s="98" t="s">
        <v>34</v>
      </c>
      <c r="F8" s="98" t="s">
        <v>34</v>
      </c>
      <c r="G8" s="98" t="s">
        <v>34</v>
      </c>
      <c r="H8" s="98">
        <v>3.3980000000000001</v>
      </c>
      <c r="I8" s="98">
        <v>3.5009999999999999</v>
      </c>
      <c r="J8" s="96">
        <v>0.64</v>
      </c>
      <c r="K8" s="96">
        <v>0.70699999999999996</v>
      </c>
      <c r="L8" s="96">
        <v>1.845</v>
      </c>
      <c r="M8" s="96">
        <v>1.1180000000000001</v>
      </c>
      <c r="N8" s="96">
        <v>1.351</v>
      </c>
      <c r="O8" s="96">
        <v>1.3149999999999999</v>
      </c>
      <c r="P8" s="96">
        <v>1.8169999999999999</v>
      </c>
      <c r="Q8" s="78">
        <v>1.7695000000000001</v>
      </c>
      <c r="R8" s="78">
        <v>1.0347999999999999</v>
      </c>
      <c r="S8" s="78">
        <v>1.8250999999999999</v>
      </c>
      <c r="T8" s="78">
        <v>2.0944000000000003</v>
      </c>
      <c r="U8" s="78">
        <v>1.6132</v>
      </c>
      <c r="V8" s="78">
        <v>1.488</v>
      </c>
      <c r="W8" s="78">
        <v>1.423</v>
      </c>
      <c r="X8" s="78">
        <v>1.4427000000000001</v>
      </c>
      <c r="Y8" s="78">
        <v>1.0931</v>
      </c>
      <c r="Z8" s="78">
        <v>1.488</v>
      </c>
      <c r="AA8" s="78">
        <v>0.81529999999999991</v>
      </c>
      <c r="AB8" s="78">
        <v>0.76570000000000005</v>
      </c>
      <c r="AC8" s="78">
        <v>0.60399999999999998</v>
      </c>
      <c r="AD8" s="78">
        <v>0.70599999999999996</v>
      </c>
      <c r="AE8" s="78">
        <v>0.74099999999999999</v>
      </c>
      <c r="AF8" s="78">
        <v>1.0289999999999999</v>
      </c>
      <c r="AG8" s="78">
        <v>0.9466</v>
      </c>
    </row>
    <row r="9" spans="1:33">
      <c r="A9" s="93" t="s">
        <v>41</v>
      </c>
      <c r="B9" s="98" t="s">
        <v>34</v>
      </c>
      <c r="C9" s="98" t="s">
        <v>34</v>
      </c>
      <c r="D9" s="98" t="s">
        <v>34</v>
      </c>
      <c r="E9" s="98" t="s">
        <v>34</v>
      </c>
      <c r="F9" s="98" t="s">
        <v>34</v>
      </c>
      <c r="G9" s="98" t="s">
        <v>34</v>
      </c>
      <c r="H9" s="98">
        <v>11.837</v>
      </c>
      <c r="I9" s="98">
        <v>9.07</v>
      </c>
      <c r="J9" s="96">
        <v>6.26</v>
      </c>
      <c r="K9" s="96">
        <v>4.4619999999999997</v>
      </c>
      <c r="L9" s="96">
        <v>2.698</v>
      </c>
      <c r="M9" s="96">
        <v>3.78</v>
      </c>
      <c r="N9" s="96">
        <v>3.6480000000000001</v>
      </c>
      <c r="O9" s="96">
        <v>3.9</v>
      </c>
      <c r="P9" s="96">
        <v>3.89</v>
      </c>
      <c r="Q9" s="78">
        <v>2.95</v>
      </c>
      <c r="R9" s="78">
        <v>0.61</v>
      </c>
      <c r="S9" s="78">
        <v>0.1</v>
      </c>
      <c r="T9" s="78">
        <v>0.1</v>
      </c>
      <c r="U9" s="78">
        <v>0</v>
      </c>
      <c r="V9" s="78">
        <v>0</v>
      </c>
      <c r="W9" s="78">
        <v>0</v>
      </c>
      <c r="X9" s="78">
        <v>0.05</v>
      </c>
      <c r="Y9" s="78">
        <v>0</v>
      </c>
      <c r="Z9" s="78">
        <v>0</v>
      </c>
      <c r="AA9" s="78">
        <v>0</v>
      </c>
      <c r="AB9" s="78">
        <v>0.17199999999999999</v>
      </c>
      <c r="AC9" s="78">
        <v>0.08</v>
      </c>
      <c r="AD9" s="78">
        <v>0.13500000000000001</v>
      </c>
      <c r="AE9" s="78">
        <v>0.12</v>
      </c>
      <c r="AF9" s="78">
        <v>0.11</v>
      </c>
      <c r="AG9" s="78">
        <v>0.2</v>
      </c>
    </row>
    <row r="10" spans="1:33">
      <c r="A10" s="93" t="s">
        <v>42</v>
      </c>
      <c r="B10" s="98" t="s">
        <v>34</v>
      </c>
      <c r="C10" s="98" t="s">
        <v>34</v>
      </c>
      <c r="D10" s="98" t="s">
        <v>34</v>
      </c>
      <c r="E10" s="98" t="s">
        <v>34</v>
      </c>
      <c r="F10" s="98" t="s">
        <v>34</v>
      </c>
      <c r="G10" s="98" t="s">
        <v>34</v>
      </c>
      <c r="H10" s="98">
        <v>0.23300000000000001</v>
      </c>
      <c r="I10" s="98">
        <v>0.32300000000000001</v>
      </c>
      <c r="J10" s="96">
        <v>0.7</v>
      </c>
      <c r="K10" s="96">
        <v>0.14799999999999999</v>
      </c>
      <c r="L10" s="96">
        <v>0.4</v>
      </c>
      <c r="M10" s="96">
        <v>0.43</v>
      </c>
      <c r="N10" s="96">
        <v>0.43</v>
      </c>
      <c r="O10" s="96">
        <v>0.52100000000000002</v>
      </c>
      <c r="P10" s="96">
        <v>0.47899999999999998</v>
      </c>
      <c r="Q10" s="78">
        <v>0.34100000000000003</v>
      </c>
      <c r="R10" s="78">
        <v>0.29099999999999998</v>
      </c>
      <c r="S10" s="78">
        <v>0.39700000000000002</v>
      </c>
      <c r="T10" s="78">
        <v>0.52870000000000006</v>
      </c>
      <c r="U10" s="78">
        <v>0.55100000000000005</v>
      </c>
      <c r="V10" s="78">
        <v>0.379</v>
      </c>
      <c r="W10" s="78">
        <v>0.441</v>
      </c>
      <c r="X10" s="78">
        <v>0.53589999999999993</v>
      </c>
      <c r="Y10" s="78">
        <v>0.54159999999999997</v>
      </c>
      <c r="Z10" s="78">
        <v>0.48399999999999999</v>
      </c>
      <c r="AA10" s="78">
        <v>0.34549999999999997</v>
      </c>
      <c r="AB10" s="78">
        <v>0.36</v>
      </c>
      <c r="AC10" s="78">
        <v>0.1255</v>
      </c>
      <c r="AD10" s="78">
        <v>0.30889999999999995</v>
      </c>
      <c r="AE10" s="78">
        <v>0.26850000000000002</v>
      </c>
      <c r="AF10" s="78">
        <v>0.26100000000000001</v>
      </c>
      <c r="AG10" s="78">
        <v>0.54259999999999997</v>
      </c>
    </row>
    <row r="11" spans="1:33">
      <c r="A11" s="93" t="s">
        <v>43</v>
      </c>
      <c r="B11" s="98" t="s">
        <v>34</v>
      </c>
      <c r="C11" s="98" t="s">
        <v>34</v>
      </c>
      <c r="D11" s="98" t="s">
        <v>34</v>
      </c>
      <c r="E11" s="98" t="s">
        <v>34</v>
      </c>
      <c r="F11" s="98" t="s">
        <v>34</v>
      </c>
      <c r="G11" s="98" t="s">
        <v>34</v>
      </c>
      <c r="H11" s="98" t="s">
        <v>10</v>
      </c>
      <c r="I11" s="98" t="s">
        <v>10</v>
      </c>
      <c r="J11" s="96" t="s">
        <v>10</v>
      </c>
      <c r="K11" s="96" t="s">
        <v>10</v>
      </c>
      <c r="L11" s="96" t="s">
        <v>10</v>
      </c>
      <c r="M11" s="96" t="s">
        <v>10</v>
      </c>
      <c r="N11" s="78" t="s">
        <v>10</v>
      </c>
      <c r="O11" s="78" t="s">
        <v>10</v>
      </c>
      <c r="P11" s="78" t="s">
        <v>10</v>
      </c>
      <c r="Q11" s="78" t="s">
        <v>10</v>
      </c>
      <c r="R11" s="78" t="s">
        <v>10</v>
      </c>
      <c r="S11" s="78" t="s">
        <v>10</v>
      </c>
      <c r="T11" s="78" t="s">
        <v>10</v>
      </c>
      <c r="U11" s="78" t="s">
        <v>10</v>
      </c>
      <c r="V11" s="78" t="s">
        <v>10</v>
      </c>
      <c r="W11" s="78" t="s">
        <v>10</v>
      </c>
      <c r="X11" s="78" t="s">
        <v>10</v>
      </c>
      <c r="Y11" s="78" t="s">
        <v>10</v>
      </c>
      <c r="Z11" s="78" t="s">
        <v>10</v>
      </c>
      <c r="AA11" s="78" t="s">
        <v>10</v>
      </c>
      <c r="AB11" s="78" t="s">
        <v>10</v>
      </c>
      <c r="AC11" s="78" t="s">
        <v>10</v>
      </c>
      <c r="AD11" s="78" t="s">
        <v>10</v>
      </c>
      <c r="AE11" s="78" t="s">
        <v>10</v>
      </c>
      <c r="AF11" s="78" t="s">
        <v>10</v>
      </c>
      <c r="AG11" s="78" t="s">
        <v>10</v>
      </c>
    </row>
    <row r="12" spans="1:33">
      <c r="A12" s="93" t="s">
        <v>44</v>
      </c>
      <c r="B12" s="98" t="s">
        <v>34</v>
      </c>
      <c r="C12" s="98" t="s">
        <v>34</v>
      </c>
      <c r="D12" s="98" t="s">
        <v>34</v>
      </c>
      <c r="E12" s="98" t="s">
        <v>34</v>
      </c>
      <c r="F12" s="98" t="s">
        <v>34</v>
      </c>
      <c r="G12" s="98" t="s">
        <v>34</v>
      </c>
      <c r="H12" s="98">
        <v>4.45</v>
      </c>
      <c r="I12" s="98">
        <v>3.83</v>
      </c>
      <c r="J12" s="98">
        <v>0.8</v>
      </c>
      <c r="K12" s="98">
        <v>0.65</v>
      </c>
      <c r="L12" s="98">
        <v>0.6</v>
      </c>
      <c r="M12" s="98">
        <v>0.8</v>
      </c>
      <c r="N12" s="98">
        <v>0.1</v>
      </c>
      <c r="O12" s="98" t="s">
        <v>10</v>
      </c>
      <c r="P12" s="98" t="s">
        <v>10</v>
      </c>
      <c r="Q12" s="98" t="s">
        <v>10</v>
      </c>
      <c r="R12" s="98" t="s">
        <v>10</v>
      </c>
      <c r="S12" s="98" t="s">
        <v>10</v>
      </c>
      <c r="T12" s="98" t="s">
        <v>10</v>
      </c>
      <c r="U12" s="98" t="s">
        <v>10</v>
      </c>
      <c r="V12" s="98" t="s">
        <v>10</v>
      </c>
      <c r="W12" s="98" t="s">
        <v>10</v>
      </c>
      <c r="X12" s="98" t="s">
        <v>10</v>
      </c>
      <c r="Y12" s="98" t="s">
        <v>10</v>
      </c>
      <c r="Z12" s="98" t="s">
        <v>10</v>
      </c>
      <c r="AA12" s="98" t="s">
        <v>10</v>
      </c>
      <c r="AB12" s="98" t="s">
        <v>10</v>
      </c>
      <c r="AC12" s="98" t="s">
        <v>10</v>
      </c>
      <c r="AD12" s="98" t="s">
        <v>10</v>
      </c>
      <c r="AE12" s="98" t="s">
        <v>10</v>
      </c>
      <c r="AF12" s="98" t="s">
        <v>10</v>
      </c>
      <c r="AG12" s="98" t="s">
        <v>10</v>
      </c>
    </row>
    <row r="13" spans="1:33">
      <c r="A13" s="93" t="s">
        <v>45</v>
      </c>
      <c r="B13" s="98" t="s">
        <v>34</v>
      </c>
      <c r="C13" s="98" t="s">
        <v>34</v>
      </c>
      <c r="D13" s="98" t="s">
        <v>34</v>
      </c>
      <c r="E13" s="98" t="s">
        <v>34</v>
      </c>
      <c r="F13" s="98" t="s">
        <v>34</v>
      </c>
      <c r="G13" s="98" t="s">
        <v>34</v>
      </c>
      <c r="H13" s="98">
        <v>23.73</v>
      </c>
      <c r="I13" s="98">
        <v>21.1</v>
      </c>
      <c r="J13" s="96">
        <v>14.35</v>
      </c>
      <c r="K13" s="96">
        <v>10.494999999999999</v>
      </c>
      <c r="L13" s="96">
        <v>8.3849999999999998</v>
      </c>
      <c r="M13" s="96">
        <v>9.93</v>
      </c>
      <c r="N13" s="78">
        <v>10.25</v>
      </c>
      <c r="O13" s="98">
        <v>13.334</v>
      </c>
      <c r="P13" s="98">
        <v>18.12</v>
      </c>
      <c r="Q13" s="78">
        <v>19.593</v>
      </c>
      <c r="R13" s="78">
        <v>12.430999999999999</v>
      </c>
      <c r="S13" s="78">
        <v>11.428000000000001</v>
      </c>
      <c r="T13" s="78">
        <v>7.52</v>
      </c>
      <c r="U13" s="78">
        <v>8.3550000000000004</v>
      </c>
      <c r="V13" s="78">
        <v>6.665</v>
      </c>
      <c r="W13" s="78">
        <v>7.2809999999999997</v>
      </c>
      <c r="X13" s="78">
        <v>7.9889999999999999</v>
      </c>
      <c r="Y13" s="78">
        <v>6.5</v>
      </c>
      <c r="Z13" s="78">
        <v>5.66</v>
      </c>
      <c r="AA13" s="78">
        <v>4.13</v>
      </c>
      <c r="AB13" s="78">
        <v>3.49</v>
      </c>
      <c r="AC13" s="78">
        <v>4.3140000000000001</v>
      </c>
      <c r="AD13" s="78">
        <v>4.4000000000000004</v>
      </c>
      <c r="AE13" s="78">
        <v>4.8</v>
      </c>
      <c r="AF13" s="78">
        <v>6.0449999999999999</v>
      </c>
      <c r="AG13" s="78">
        <v>4.3949999999999996</v>
      </c>
    </row>
    <row r="14" spans="1:33">
      <c r="A14" s="93" t="s">
        <v>46</v>
      </c>
      <c r="B14" s="98" t="s">
        <v>34</v>
      </c>
      <c r="C14" s="98" t="s">
        <v>34</v>
      </c>
      <c r="D14" s="98" t="s">
        <v>34</v>
      </c>
      <c r="E14" s="98" t="s">
        <v>34</v>
      </c>
      <c r="F14" s="98" t="s">
        <v>34</v>
      </c>
      <c r="G14" s="98" t="s">
        <v>34</v>
      </c>
      <c r="H14" s="98">
        <v>26.486999999999998</v>
      </c>
      <c r="I14" s="98">
        <v>22.102</v>
      </c>
      <c r="J14" s="96">
        <v>14.26</v>
      </c>
      <c r="K14" s="96">
        <v>12.141</v>
      </c>
      <c r="L14" s="96">
        <v>12.208</v>
      </c>
      <c r="M14" s="96">
        <v>18.1997</v>
      </c>
      <c r="N14" s="78">
        <v>30.388400000000001</v>
      </c>
      <c r="O14" s="78">
        <v>42.3947</v>
      </c>
      <c r="P14" s="78">
        <v>40.859699999999997</v>
      </c>
      <c r="Q14" s="78">
        <v>40.740099999999998</v>
      </c>
      <c r="R14" s="78">
        <v>28.361000000000001</v>
      </c>
      <c r="S14" s="78">
        <v>28.271099999999997</v>
      </c>
      <c r="T14" s="78">
        <v>28.0352</v>
      </c>
      <c r="U14" s="78">
        <v>26.504000000000001</v>
      </c>
      <c r="V14" s="78">
        <v>21.463699999999999</v>
      </c>
      <c r="W14" s="78">
        <v>12.209299999999999</v>
      </c>
      <c r="X14" s="78">
        <v>11.771100000000001</v>
      </c>
      <c r="Y14" s="78">
        <v>10.927299999999999</v>
      </c>
      <c r="Z14" s="78">
        <v>10.007299999999999</v>
      </c>
      <c r="AA14" s="78">
        <v>7.8888999999999996</v>
      </c>
      <c r="AB14" s="78">
        <v>8.0053000000000001</v>
      </c>
      <c r="AC14" s="78">
        <v>8.9360999999999997</v>
      </c>
      <c r="AD14" s="78">
        <v>6.4329999999999998</v>
      </c>
      <c r="AE14" s="78">
        <v>10.2515</v>
      </c>
      <c r="AF14" s="78">
        <v>14.2475</v>
      </c>
      <c r="AG14" s="78">
        <v>18.383200000000002</v>
      </c>
    </row>
    <row r="15" spans="1:33">
      <c r="A15" s="93" t="s">
        <v>47</v>
      </c>
      <c r="B15" s="98" t="s">
        <v>34</v>
      </c>
      <c r="C15" s="98" t="s">
        <v>34</v>
      </c>
      <c r="D15" s="98" t="s">
        <v>34</v>
      </c>
      <c r="E15" s="98" t="s">
        <v>34</v>
      </c>
      <c r="F15" s="98" t="s">
        <v>34</v>
      </c>
      <c r="G15" s="98" t="s">
        <v>34</v>
      </c>
      <c r="H15" s="98">
        <v>50.401000000000003</v>
      </c>
      <c r="I15" s="98">
        <v>54.585999999999999</v>
      </c>
      <c r="J15" s="96">
        <v>36.6</v>
      </c>
      <c r="K15" s="96">
        <v>39.1</v>
      </c>
      <c r="L15" s="96">
        <v>34.548999999999999</v>
      </c>
      <c r="M15" s="96">
        <v>40.343000000000004</v>
      </c>
      <c r="N15" s="78">
        <v>63.2624</v>
      </c>
      <c r="O15" s="78">
        <v>68.932400000000001</v>
      </c>
      <c r="P15" s="78">
        <v>67.9392</v>
      </c>
      <c r="Q15" s="78">
        <v>64.656099999999995</v>
      </c>
      <c r="R15" s="78">
        <v>64.331599999999995</v>
      </c>
      <c r="S15" s="78">
        <v>71.2453</v>
      </c>
      <c r="T15" s="78">
        <v>84.260199999999998</v>
      </c>
      <c r="U15" s="78">
        <v>81.059899999999999</v>
      </c>
      <c r="V15" s="78">
        <v>74.487300000000005</v>
      </c>
      <c r="W15" s="78">
        <v>79.528499999999994</v>
      </c>
      <c r="X15" s="78">
        <v>80.602800000000002</v>
      </c>
      <c r="Y15" s="78">
        <v>90.018500000000003</v>
      </c>
      <c r="Z15" s="78">
        <v>107.89089999999999</v>
      </c>
      <c r="AA15" s="78">
        <v>115.6652</v>
      </c>
      <c r="AB15" s="78">
        <v>112.63160000000001</v>
      </c>
      <c r="AC15" s="78">
        <v>103.74039999999999</v>
      </c>
      <c r="AD15" s="78">
        <v>98.433199999999999</v>
      </c>
      <c r="AE15" s="78">
        <v>114.77525999999999</v>
      </c>
      <c r="AF15" s="78">
        <v>125.82613000000001</v>
      </c>
      <c r="AG15" s="78">
        <v>122.14783</v>
      </c>
    </row>
    <row r="16" spans="1:33">
      <c r="A16" s="93" t="s">
        <v>48</v>
      </c>
      <c r="B16" s="98" t="s">
        <v>34</v>
      </c>
      <c r="C16" s="98" t="s">
        <v>34</v>
      </c>
      <c r="D16" s="98" t="s">
        <v>34</v>
      </c>
      <c r="E16" s="98" t="s">
        <v>34</v>
      </c>
      <c r="F16" s="98" t="s">
        <v>34</v>
      </c>
      <c r="G16" s="98" t="s">
        <v>34</v>
      </c>
      <c r="H16" s="98">
        <v>31.966000000000001</v>
      </c>
      <c r="I16" s="98">
        <v>27.643999999999998</v>
      </c>
      <c r="J16" s="96">
        <v>21.545999999999999</v>
      </c>
      <c r="K16" s="96">
        <v>18.867000000000001</v>
      </c>
      <c r="L16" s="96">
        <v>21.218</v>
      </c>
      <c r="M16" s="96">
        <v>31.106999999999999</v>
      </c>
      <c r="N16" s="78">
        <v>37.361499999999999</v>
      </c>
      <c r="O16" s="78">
        <v>32.838000000000001</v>
      </c>
      <c r="P16" s="78">
        <v>34.933</v>
      </c>
      <c r="Q16" s="78">
        <v>36.421199999999999</v>
      </c>
      <c r="R16" s="78">
        <v>33.931100000000001</v>
      </c>
      <c r="S16" s="78">
        <v>29.296799999999998</v>
      </c>
      <c r="T16" s="78">
        <v>36.130600000000001</v>
      </c>
      <c r="U16" s="78">
        <v>40.410199999999996</v>
      </c>
      <c r="V16" s="78">
        <v>34.540999999999997</v>
      </c>
      <c r="W16" s="78">
        <v>37.962900000000005</v>
      </c>
      <c r="X16" s="78">
        <v>36.4358</v>
      </c>
      <c r="Y16" s="78">
        <v>35.677999999999997</v>
      </c>
      <c r="Z16" s="78">
        <v>33.352989999999998</v>
      </c>
      <c r="AA16" s="78">
        <v>35.943400000000004</v>
      </c>
      <c r="AB16" s="78">
        <v>35.428100000000001</v>
      </c>
      <c r="AC16" s="78">
        <v>33.463900000000002</v>
      </c>
      <c r="AD16" s="78">
        <v>32.508000000000003</v>
      </c>
      <c r="AE16" s="78">
        <v>33.0396</v>
      </c>
      <c r="AF16" s="78">
        <v>36.513169999999995</v>
      </c>
      <c r="AG16" s="78">
        <v>37.256019999999999</v>
      </c>
    </row>
    <row r="17" spans="1:33">
      <c r="A17" s="93" t="s">
        <v>49</v>
      </c>
      <c r="B17" s="98" t="s">
        <v>34</v>
      </c>
      <c r="C17" s="98" t="s">
        <v>34</v>
      </c>
      <c r="D17" s="98" t="s">
        <v>34</v>
      </c>
      <c r="E17" s="98" t="s">
        <v>34</v>
      </c>
      <c r="F17" s="98" t="s">
        <v>34</v>
      </c>
      <c r="G17" s="98" t="s">
        <v>34</v>
      </c>
      <c r="H17" s="98">
        <v>22.776</v>
      </c>
      <c r="I17" s="98">
        <v>12.974</v>
      </c>
      <c r="J17" s="96">
        <v>11.156000000000001</v>
      </c>
      <c r="K17" s="96">
        <v>7.9279999999999999</v>
      </c>
      <c r="L17" s="96">
        <v>6.21</v>
      </c>
      <c r="M17" s="96">
        <v>7.5590000000000002</v>
      </c>
      <c r="N17" s="78">
        <v>9.3640000000000008</v>
      </c>
      <c r="O17" s="78">
        <v>10.161</v>
      </c>
      <c r="P17" s="78">
        <v>8.9930000000000003</v>
      </c>
      <c r="Q17" s="78">
        <v>9.4749999999999996</v>
      </c>
      <c r="R17" s="78">
        <v>9.9979999999999993</v>
      </c>
      <c r="S17" s="78">
        <v>11.582000000000001</v>
      </c>
      <c r="T17" s="78">
        <v>12.038</v>
      </c>
      <c r="U17" s="78">
        <v>14.26</v>
      </c>
      <c r="V17" s="78">
        <v>9.6809999999999992</v>
      </c>
      <c r="W17" s="78">
        <v>9.4290000000000003</v>
      </c>
      <c r="X17" s="78">
        <v>7.6520000000000001</v>
      </c>
      <c r="Y17" s="78">
        <v>8.1609999999999996</v>
      </c>
      <c r="Z17" s="78">
        <v>6.3650000000000002</v>
      </c>
      <c r="AA17" s="78">
        <v>6.6539999999999999</v>
      </c>
      <c r="AB17" s="78">
        <v>6.1509999999999998</v>
      </c>
      <c r="AC17" s="78">
        <v>5.6130000000000004</v>
      </c>
      <c r="AD17" s="78">
        <v>4.6150000000000002</v>
      </c>
      <c r="AE17" s="78">
        <v>4.0010000000000003</v>
      </c>
      <c r="AF17" s="78">
        <v>4.6100000000000003</v>
      </c>
      <c r="AG17" s="78">
        <v>5.3129999999999997</v>
      </c>
    </row>
    <row r="18" spans="1:33">
      <c r="A18" s="93" t="s">
        <v>50</v>
      </c>
      <c r="B18" s="98" t="s">
        <v>34</v>
      </c>
      <c r="C18" s="98" t="s">
        <v>34</v>
      </c>
      <c r="D18" s="98" t="s">
        <v>34</v>
      </c>
      <c r="E18" s="98" t="s">
        <v>34</v>
      </c>
      <c r="F18" s="98" t="s">
        <v>34</v>
      </c>
      <c r="G18" s="98" t="s">
        <v>34</v>
      </c>
      <c r="H18" s="98" t="s">
        <v>10</v>
      </c>
      <c r="I18" s="98">
        <v>2.758</v>
      </c>
      <c r="J18" s="96">
        <v>3.7</v>
      </c>
      <c r="K18" s="96">
        <v>4.5999999999999996</v>
      </c>
      <c r="L18" s="96">
        <v>4.95</v>
      </c>
      <c r="M18" s="96">
        <v>5.4397000000000002</v>
      </c>
      <c r="N18" s="78">
        <v>5.6980000000000004</v>
      </c>
      <c r="O18" s="78">
        <v>4.1050000000000004</v>
      </c>
      <c r="P18" s="78">
        <v>5.1870000000000003</v>
      </c>
      <c r="Q18" s="78">
        <v>5.1529999999999996</v>
      </c>
      <c r="R18" s="78">
        <v>3.2513000000000001</v>
      </c>
      <c r="S18" s="78">
        <v>3.145</v>
      </c>
      <c r="T18" s="78">
        <v>2.1964999999999999</v>
      </c>
      <c r="U18" s="78">
        <v>2.8874</v>
      </c>
      <c r="V18" s="78">
        <v>3.6586999999999996</v>
      </c>
      <c r="W18" s="78">
        <v>4.09</v>
      </c>
      <c r="X18" s="78">
        <v>3.9279999999999999</v>
      </c>
      <c r="Y18" s="78">
        <v>4.1870000000000003</v>
      </c>
      <c r="Z18" s="78">
        <v>3.996</v>
      </c>
      <c r="AA18" s="78">
        <v>3.4405000000000001</v>
      </c>
      <c r="AB18" s="78">
        <v>3.5150000000000001</v>
      </c>
      <c r="AC18" s="78">
        <v>3.1949999999999998</v>
      </c>
      <c r="AD18" s="78">
        <v>2.6920000000000002</v>
      </c>
      <c r="AE18" s="78">
        <v>2.7669999999999999</v>
      </c>
      <c r="AF18" s="78">
        <v>3.9060000000000001</v>
      </c>
      <c r="AG18" s="78">
        <v>4.1269999999999998</v>
      </c>
    </row>
    <row r="19" spans="1:33">
      <c r="A19" s="93" t="s">
        <v>51</v>
      </c>
      <c r="B19" s="98" t="s">
        <v>34</v>
      </c>
      <c r="C19" s="98" t="s">
        <v>34</v>
      </c>
      <c r="D19" s="98" t="s">
        <v>34</v>
      </c>
      <c r="E19" s="98" t="s">
        <v>34</v>
      </c>
      <c r="F19" s="98" t="s">
        <v>34</v>
      </c>
      <c r="G19" s="98" t="s">
        <v>34</v>
      </c>
      <c r="H19" s="98">
        <v>24.492000000000001</v>
      </c>
      <c r="I19" s="98">
        <v>28.187999999999999</v>
      </c>
      <c r="J19" s="96">
        <v>24.417000000000002</v>
      </c>
      <c r="K19" s="96">
        <v>21.634</v>
      </c>
      <c r="L19" s="96">
        <v>24.167999999999999</v>
      </c>
      <c r="M19" s="96">
        <v>29.591000000000001</v>
      </c>
      <c r="N19" s="96">
        <v>33.862000000000002</v>
      </c>
      <c r="O19" s="96">
        <v>30.93</v>
      </c>
      <c r="P19" s="96">
        <v>32.420999999999999</v>
      </c>
      <c r="Q19" s="78">
        <v>31.265999999999998</v>
      </c>
      <c r="R19" s="78">
        <v>30.79</v>
      </c>
      <c r="S19" s="78">
        <v>31.292999999999999</v>
      </c>
      <c r="T19" s="78">
        <v>33.908900000000003</v>
      </c>
      <c r="U19" s="78">
        <v>31.625</v>
      </c>
      <c r="V19" s="78">
        <v>25.2468</v>
      </c>
      <c r="W19" s="78">
        <v>29.974599999999999</v>
      </c>
      <c r="X19" s="78">
        <v>29.953200000000002</v>
      </c>
      <c r="Y19" s="78">
        <v>28.263000000000002</v>
      </c>
      <c r="Z19" s="78">
        <v>24.850570000000001</v>
      </c>
      <c r="AA19" s="78">
        <v>26.011599999999998</v>
      </c>
      <c r="AB19" s="78">
        <v>25.667900000000003</v>
      </c>
      <c r="AC19" s="78">
        <v>24.2592</v>
      </c>
      <c r="AD19" s="78">
        <v>24.479900000000001</v>
      </c>
      <c r="AE19" s="78">
        <v>22.8858</v>
      </c>
      <c r="AF19" s="78">
        <v>29.953509999999998</v>
      </c>
      <c r="AG19" s="78">
        <v>27.881830000000001</v>
      </c>
    </row>
    <row r="20" spans="1:33">
      <c r="A20" s="93" t="s">
        <v>52</v>
      </c>
      <c r="B20" s="98" t="s">
        <v>34</v>
      </c>
      <c r="C20" s="98" t="s">
        <v>34</v>
      </c>
      <c r="D20" s="98" t="s">
        <v>34</v>
      </c>
      <c r="E20" s="98" t="s">
        <v>34</v>
      </c>
      <c r="F20" s="98" t="s">
        <v>34</v>
      </c>
      <c r="G20" s="98" t="s">
        <v>34</v>
      </c>
      <c r="H20" s="98">
        <v>25.686</v>
      </c>
      <c r="I20" s="98">
        <v>16.783999999999999</v>
      </c>
      <c r="J20" s="96">
        <v>15.202999999999999</v>
      </c>
      <c r="K20" s="96">
        <v>13.484</v>
      </c>
      <c r="L20" s="96">
        <v>16.007999999999999</v>
      </c>
      <c r="M20" s="96">
        <v>18.242000000000001</v>
      </c>
      <c r="N20" s="96">
        <v>21.405000000000001</v>
      </c>
      <c r="O20" s="96">
        <v>15.945</v>
      </c>
      <c r="P20" s="96">
        <v>17.852</v>
      </c>
      <c r="Q20" s="78">
        <v>18.38</v>
      </c>
      <c r="R20" s="78">
        <v>18.701599999999999</v>
      </c>
      <c r="S20" s="78">
        <v>14.2</v>
      </c>
      <c r="T20" s="78">
        <v>16.2287</v>
      </c>
      <c r="U20" s="78">
        <v>15.763500000000001</v>
      </c>
      <c r="V20" s="78">
        <v>10.613100000000001</v>
      </c>
      <c r="W20" s="78">
        <v>11.845600000000001</v>
      </c>
      <c r="X20" s="78">
        <v>10.2393</v>
      </c>
      <c r="Y20" s="78">
        <v>8.3424999999999994</v>
      </c>
      <c r="Z20" s="78">
        <v>9.6994500000000006</v>
      </c>
      <c r="AA20" s="78">
        <v>8.7644000000000002</v>
      </c>
      <c r="AB20" s="78">
        <v>11.1151</v>
      </c>
      <c r="AC20" s="78">
        <v>11.114700000000001</v>
      </c>
      <c r="AD20" s="78">
        <v>11.5456</v>
      </c>
      <c r="AE20" s="78">
        <v>10.9199</v>
      </c>
      <c r="AF20" s="78">
        <v>14.5609</v>
      </c>
      <c r="AG20" s="78">
        <v>11.89334</v>
      </c>
    </row>
    <row r="21" spans="1:33">
      <c r="A21" s="93" t="s">
        <v>53</v>
      </c>
      <c r="B21" s="98" t="s">
        <v>34</v>
      </c>
      <c r="C21" s="98" t="s">
        <v>34</v>
      </c>
      <c r="D21" s="98" t="s">
        <v>34</v>
      </c>
      <c r="E21" s="98" t="s">
        <v>34</v>
      </c>
      <c r="F21" s="98" t="s">
        <v>34</v>
      </c>
      <c r="G21" s="98" t="s">
        <v>34</v>
      </c>
      <c r="H21" s="98">
        <v>55.808</v>
      </c>
      <c r="I21" s="98">
        <v>40.161999999999999</v>
      </c>
      <c r="J21" s="96">
        <v>38.143000000000001</v>
      </c>
      <c r="K21" s="96">
        <v>31.318000000000001</v>
      </c>
      <c r="L21" s="96">
        <v>32.624000000000002</v>
      </c>
      <c r="M21" s="96">
        <v>34.496000000000002</v>
      </c>
      <c r="N21" s="96">
        <v>44.673000000000002</v>
      </c>
      <c r="O21" s="96">
        <v>42.682000000000002</v>
      </c>
      <c r="P21" s="96">
        <v>45.075000000000003</v>
      </c>
      <c r="Q21" s="78">
        <v>42.817300000000003</v>
      </c>
      <c r="R21" s="78">
        <v>47.681699999999999</v>
      </c>
      <c r="S21" s="78">
        <v>53.190400000000004</v>
      </c>
      <c r="T21" s="78">
        <v>54.406800000000004</v>
      </c>
      <c r="U21" s="78">
        <v>50.841099999999997</v>
      </c>
      <c r="V21" s="78">
        <v>39.189399999999999</v>
      </c>
      <c r="W21" s="78">
        <v>46.082099999999997</v>
      </c>
      <c r="X21" s="78">
        <v>44.529000000000003</v>
      </c>
      <c r="Y21" s="78">
        <v>47.3996</v>
      </c>
      <c r="Z21" s="78">
        <v>48.355309999999996</v>
      </c>
      <c r="AA21" s="78">
        <v>47.487300000000005</v>
      </c>
      <c r="AB21" s="78">
        <v>56.972000000000001</v>
      </c>
      <c r="AC21" s="78">
        <v>50.257300000000001</v>
      </c>
      <c r="AD21" s="78">
        <v>59.835599999999999</v>
      </c>
      <c r="AE21" s="78">
        <v>57.685600000000001</v>
      </c>
      <c r="AF21" s="78">
        <v>68.870720000000006</v>
      </c>
      <c r="AG21" s="78">
        <v>71.64497999999999</v>
      </c>
    </row>
    <row r="22" spans="1:33">
      <c r="A22" s="93" t="s">
        <v>54</v>
      </c>
      <c r="B22" s="98" t="s">
        <v>34</v>
      </c>
      <c r="C22" s="98" t="s">
        <v>34</v>
      </c>
      <c r="D22" s="98" t="s">
        <v>34</v>
      </c>
      <c r="E22" s="98" t="s">
        <v>34</v>
      </c>
      <c r="F22" s="98" t="s">
        <v>34</v>
      </c>
      <c r="G22" s="98" t="s">
        <v>34</v>
      </c>
      <c r="H22" s="98">
        <v>11.115</v>
      </c>
      <c r="I22" s="98">
        <v>7.3760000000000003</v>
      </c>
      <c r="J22" s="96">
        <v>7.2839999999999998</v>
      </c>
      <c r="K22" s="96">
        <v>4.4710000000000001</v>
      </c>
      <c r="L22" s="96">
        <v>6.83</v>
      </c>
      <c r="M22" s="96">
        <v>7.9489999999999998</v>
      </c>
      <c r="N22" s="96">
        <v>8.1989999999999998</v>
      </c>
      <c r="O22" s="96">
        <v>8.07</v>
      </c>
      <c r="P22" s="96">
        <v>5.3920000000000003</v>
      </c>
      <c r="Q22" s="78">
        <v>1.115</v>
      </c>
      <c r="R22" s="78">
        <v>0.88500000000000001</v>
      </c>
      <c r="S22" s="78">
        <v>1.2070000000000001</v>
      </c>
      <c r="T22" s="78">
        <v>2.3475000000000001</v>
      </c>
      <c r="U22" s="78">
        <v>2.4</v>
      </c>
      <c r="V22" s="78">
        <v>1.8640000000000001</v>
      </c>
      <c r="W22" s="78">
        <v>1.1870000000000001</v>
      </c>
      <c r="X22" s="78">
        <v>0.92100000000000004</v>
      </c>
      <c r="Y22" s="78">
        <v>1.266</v>
      </c>
      <c r="Z22" s="78">
        <v>1.24</v>
      </c>
      <c r="AA22" s="78">
        <v>1.4890000000000001</v>
      </c>
      <c r="AB22" s="78">
        <v>1.84</v>
      </c>
      <c r="AC22" s="78">
        <v>1.3979999999999999</v>
      </c>
      <c r="AD22" s="78">
        <v>1.5409999999999999</v>
      </c>
      <c r="AE22" s="78">
        <v>1.5580000000000001</v>
      </c>
      <c r="AF22" s="78">
        <v>1.2849999999999999</v>
      </c>
      <c r="AG22" s="78">
        <v>2.6052</v>
      </c>
    </row>
    <row r="23" spans="1:33">
      <c r="A23" s="93" t="s">
        <v>55</v>
      </c>
      <c r="B23" s="98" t="s">
        <v>34</v>
      </c>
      <c r="C23" s="98" t="s">
        <v>34</v>
      </c>
      <c r="D23" s="98" t="s">
        <v>34</v>
      </c>
      <c r="E23" s="98" t="s">
        <v>34</v>
      </c>
      <c r="F23" s="98" t="s">
        <v>34</v>
      </c>
      <c r="G23" s="98" t="s">
        <v>34</v>
      </c>
      <c r="H23" s="98">
        <v>16.373000000000001</v>
      </c>
      <c r="I23" s="98">
        <v>7.9829999999999997</v>
      </c>
      <c r="J23" s="96">
        <v>7.8789999999999996</v>
      </c>
      <c r="K23" s="96">
        <v>6.1909999999999998</v>
      </c>
      <c r="L23" s="96">
        <v>8.1824999999999992</v>
      </c>
      <c r="M23" s="96">
        <v>8.2520000000000007</v>
      </c>
      <c r="N23" s="96">
        <v>7.6369999999999996</v>
      </c>
      <c r="O23" s="96">
        <v>4.6970000000000001</v>
      </c>
      <c r="P23" s="96">
        <v>6.9710000000000001</v>
      </c>
      <c r="Q23" s="78">
        <v>4.42</v>
      </c>
      <c r="R23" s="78">
        <v>3.1960000000000002</v>
      </c>
      <c r="S23" s="78">
        <v>2.1539999999999999</v>
      </c>
      <c r="T23" s="78">
        <v>2.734</v>
      </c>
      <c r="U23" s="78">
        <v>2.4990000000000001</v>
      </c>
      <c r="V23" s="78">
        <v>2.3559999999999999</v>
      </c>
      <c r="W23" s="78">
        <v>2.4950000000000001</v>
      </c>
      <c r="X23" s="78">
        <v>2.7109999999999999</v>
      </c>
      <c r="Y23" s="78">
        <v>2.64</v>
      </c>
      <c r="Z23" s="78">
        <v>2.8719999999999999</v>
      </c>
      <c r="AA23" s="78">
        <v>0.79100000000000004</v>
      </c>
      <c r="AB23" s="78">
        <v>1.0329999999999999</v>
      </c>
      <c r="AC23" s="78">
        <v>0.54800000000000004</v>
      </c>
      <c r="AD23" s="78">
        <v>1.206</v>
      </c>
      <c r="AE23" s="78">
        <v>0.79500000000000004</v>
      </c>
      <c r="AF23" s="78">
        <v>1.0920000000000001</v>
      </c>
      <c r="AG23" s="78">
        <v>0.96099999999999997</v>
      </c>
    </row>
    <row r="24" spans="1:33">
      <c r="A24" s="93" t="s">
        <v>56</v>
      </c>
      <c r="B24" s="98" t="s">
        <v>34</v>
      </c>
      <c r="C24" s="98" t="s">
        <v>34</v>
      </c>
      <c r="D24" s="98" t="s">
        <v>34</v>
      </c>
      <c r="E24" s="98" t="s">
        <v>34</v>
      </c>
      <c r="F24" s="98" t="s">
        <v>34</v>
      </c>
      <c r="G24" s="98" t="s">
        <v>34</v>
      </c>
      <c r="H24" s="98">
        <v>33.03</v>
      </c>
      <c r="I24" s="98">
        <v>20.716999999999999</v>
      </c>
      <c r="J24" s="96">
        <v>14</v>
      </c>
      <c r="K24" s="96">
        <v>15</v>
      </c>
      <c r="L24" s="96">
        <v>18</v>
      </c>
      <c r="M24" s="96">
        <v>17.882999999999999</v>
      </c>
      <c r="N24" s="96">
        <v>26.1</v>
      </c>
      <c r="O24" s="96">
        <v>28.463999999999999</v>
      </c>
      <c r="P24" s="96">
        <v>31.5</v>
      </c>
      <c r="Q24" s="78">
        <v>35.198</v>
      </c>
      <c r="R24" s="78">
        <v>35.448599999999999</v>
      </c>
      <c r="S24" s="78">
        <v>34.494599999999998</v>
      </c>
      <c r="T24" s="78">
        <v>39.1432</v>
      </c>
      <c r="U24" s="78">
        <v>36.1374</v>
      </c>
      <c r="V24" s="78">
        <v>33.528700000000001</v>
      </c>
      <c r="W24" s="78">
        <v>35.040500000000002</v>
      </c>
      <c r="X24" s="78">
        <v>36.901300000000006</v>
      </c>
      <c r="Y24" s="78">
        <v>34.5443</v>
      </c>
      <c r="Z24" s="78">
        <v>34.010400000000004</v>
      </c>
      <c r="AA24" s="78">
        <v>35.101800000000004</v>
      </c>
      <c r="AB24" s="78">
        <v>32.549599999999998</v>
      </c>
      <c r="AC24" s="78">
        <v>31.560500000000001</v>
      </c>
      <c r="AD24" s="78">
        <v>22.728400000000001</v>
      </c>
      <c r="AE24" s="78">
        <v>24.696000000000002</v>
      </c>
      <c r="AF24" s="78">
        <v>26.618599999999997</v>
      </c>
      <c r="AG24" s="78">
        <v>29.705500000000001</v>
      </c>
    </row>
    <row r="25" spans="1:33">
      <c r="A25" s="93" t="s">
        <v>57</v>
      </c>
      <c r="B25" s="98" t="s">
        <v>34</v>
      </c>
      <c r="C25" s="98" t="s">
        <v>34</v>
      </c>
      <c r="D25" s="98" t="s">
        <v>34</v>
      </c>
      <c r="E25" s="98" t="s">
        <v>34</v>
      </c>
      <c r="F25" s="98" t="s">
        <v>34</v>
      </c>
      <c r="G25" s="98" t="s">
        <v>34</v>
      </c>
      <c r="H25" s="98">
        <v>59.076000000000001</v>
      </c>
      <c r="I25" s="98">
        <v>35.905999999999999</v>
      </c>
      <c r="J25" s="96">
        <v>33.076000000000001</v>
      </c>
      <c r="K25" s="96">
        <v>32.198999999999998</v>
      </c>
      <c r="L25" s="96">
        <v>35.448999999999998</v>
      </c>
      <c r="M25" s="96">
        <v>44.051900000000003</v>
      </c>
      <c r="N25" s="96">
        <v>48.735999999999997</v>
      </c>
      <c r="O25" s="96">
        <v>50.924699999999994</v>
      </c>
      <c r="P25" s="96">
        <v>59.6342</v>
      </c>
      <c r="Q25" s="78">
        <v>59.082099999999997</v>
      </c>
      <c r="R25" s="78">
        <v>63.83</v>
      </c>
      <c r="S25" s="78">
        <v>51.966000000000001</v>
      </c>
      <c r="T25" s="78">
        <v>48.874499999999998</v>
      </c>
      <c r="U25" s="78">
        <v>33.3675</v>
      </c>
      <c r="V25" s="78">
        <v>24.036300000000001</v>
      </c>
      <c r="W25" s="78">
        <v>28.350099999999998</v>
      </c>
      <c r="X25" s="78">
        <v>32.011699999999998</v>
      </c>
      <c r="Y25" s="78">
        <v>35.8658</v>
      </c>
      <c r="Z25" s="78">
        <v>37.038879999999999</v>
      </c>
      <c r="AA25" s="78">
        <v>35.195300000000003</v>
      </c>
      <c r="AB25" s="78">
        <v>37.823</v>
      </c>
      <c r="AC25" s="78">
        <v>35.957599999999999</v>
      </c>
      <c r="AD25" s="78">
        <v>36.9754</v>
      </c>
      <c r="AE25" s="78">
        <v>35.956710000000001</v>
      </c>
      <c r="AF25" s="78">
        <v>43.132379999999998</v>
      </c>
      <c r="AG25" s="78">
        <v>44.753860000000003</v>
      </c>
    </row>
    <row r="26" spans="1:33">
      <c r="A26" s="116" t="s">
        <v>58</v>
      </c>
      <c r="B26" s="108" t="s">
        <v>34</v>
      </c>
      <c r="C26" s="108" t="s">
        <v>34</v>
      </c>
      <c r="D26" s="108" t="s">
        <v>34</v>
      </c>
      <c r="E26" s="108" t="s">
        <v>34</v>
      </c>
      <c r="F26" s="108" t="s">
        <v>34</v>
      </c>
      <c r="G26" s="108" t="s">
        <v>34</v>
      </c>
      <c r="H26" s="108">
        <v>48.811999999999998</v>
      </c>
      <c r="I26" s="108">
        <v>52.174999999999997</v>
      </c>
      <c r="J26" s="113">
        <v>41.625999999999998</v>
      </c>
      <c r="K26" s="113">
        <v>37.405000000000001</v>
      </c>
      <c r="L26" s="113">
        <v>44.146999999999998</v>
      </c>
      <c r="M26" s="113">
        <v>53.808</v>
      </c>
      <c r="N26" s="113">
        <v>51.87</v>
      </c>
      <c r="O26" s="113">
        <v>46.88</v>
      </c>
      <c r="P26" s="113">
        <v>52.183</v>
      </c>
      <c r="Q26" s="97">
        <v>47.585000000000001</v>
      </c>
      <c r="R26" s="97">
        <v>42.841000000000001</v>
      </c>
      <c r="S26" s="97">
        <v>37.58</v>
      </c>
      <c r="T26" s="97">
        <v>46.338999999999999</v>
      </c>
      <c r="U26" s="97">
        <v>49.469000000000001</v>
      </c>
      <c r="V26" s="97">
        <v>47.28</v>
      </c>
      <c r="W26" s="97">
        <v>51.005000000000003</v>
      </c>
      <c r="X26" s="97">
        <v>47.405999999999999</v>
      </c>
      <c r="Y26" s="97">
        <v>43.691000000000003</v>
      </c>
      <c r="Z26" s="97">
        <v>46.96611</v>
      </c>
      <c r="AA26" s="97">
        <v>49.5764</v>
      </c>
      <c r="AB26" s="97">
        <v>46.130600000000001</v>
      </c>
      <c r="AC26" s="97">
        <v>39.816699999999997</v>
      </c>
      <c r="AD26" s="97">
        <v>36.911999999999999</v>
      </c>
      <c r="AE26" s="97">
        <v>40.278100000000002</v>
      </c>
      <c r="AF26" s="97">
        <v>42.018999999999998</v>
      </c>
      <c r="AG26" s="97">
        <v>42.337400000000002</v>
      </c>
    </row>
    <row r="27" spans="1:33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</row>
    <row r="28" spans="1:33"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ht="12.75" customHeight="1">
      <c r="A29" s="151" t="s">
        <v>1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</row>
    <row r="30" spans="1:33" ht="12.75" customHeight="1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</row>
    <row r="31" spans="1:33" s="91" customFormat="1">
      <c r="A31" s="90"/>
      <c r="B31" s="90">
        <v>1990</v>
      </c>
      <c r="C31" s="90">
        <v>1991</v>
      </c>
      <c r="D31" s="90">
        <v>1992</v>
      </c>
      <c r="E31" s="90">
        <v>1993</v>
      </c>
      <c r="F31" s="90">
        <v>1994</v>
      </c>
      <c r="G31" s="90">
        <v>1995</v>
      </c>
      <c r="H31" s="90">
        <v>1996</v>
      </c>
      <c r="I31" s="90">
        <v>1997</v>
      </c>
      <c r="J31" s="90">
        <v>1998</v>
      </c>
      <c r="K31" s="90">
        <v>1999</v>
      </c>
      <c r="L31" s="90">
        <v>2000</v>
      </c>
      <c r="M31" s="90">
        <v>2001</v>
      </c>
      <c r="N31" s="90">
        <v>2002</v>
      </c>
      <c r="O31" s="90">
        <v>2003</v>
      </c>
      <c r="P31" s="90">
        <v>2004</v>
      </c>
      <c r="Q31" s="90">
        <v>2005</v>
      </c>
      <c r="R31" s="90">
        <v>2006</v>
      </c>
      <c r="S31" s="90">
        <v>2007</v>
      </c>
      <c r="T31" s="90">
        <v>2008</v>
      </c>
      <c r="U31" s="90">
        <v>2009</v>
      </c>
      <c r="V31" s="90">
        <v>2010</v>
      </c>
      <c r="W31" s="90">
        <v>2011</v>
      </c>
      <c r="X31" s="90">
        <v>2012</v>
      </c>
      <c r="Y31" s="90">
        <v>2013</v>
      </c>
      <c r="Z31" s="90">
        <v>2014</v>
      </c>
      <c r="AA31" s="90">
        <v>2015</v>
      </c>
      <c r="AB31" s="90">
        <v>2016</v>
      </c>
      <c r="AC31" s="90">
        <v>2017</v>
      </c>
      <c r="AD31" s="90">
        <v>2018</v>
      </c>
      <c r="AE31" s="90">
        <v>2019</v>
      </c>
      <c r="AF31" s="90">
        <v>2020</v>
      </c>
      <c r="AG31" s="90">
        <v>2021</v>
      </c>
    </row>
    <row r="32" spans="1:33" ht="25.5" customHeight="1">
      <c r="A32" s="134" t="s">
        <v>85</v>
      </c>
      <c r="B32" s="78">
        <v>661.6</v>
      </c>
      <c r="C32" s="78">
        <v>555.70000000000005</v>
      </c>
      <c r="D32" s="78">
        <v>273.60000000000002</v>
      </c>
      <c r="E32" s="78">
        <v>424.1</v>
      </c>
      <c r="F32" s="78">
        <v>342</v>
      </c>
      <c r="G32" s="78">
        <v>240.5</v>
      </c>
      <c r="H32" s="78">
        <v>154.4</v>
      </c>
      <c r="I32" s="78">
        <v>82.3</v>
      </c>
      <c r="J32" s="78">
        <v>62.2</v>
      </c>
      <c r="K32" s="78">
        <v>64.599999999999994</v>
      </c>
      <c r="L32" s="78">
        <v>76.5</v>
      </c>
      <c r="M32" s="78">
        <v>93.5</v>
      </c>
      <c r="N32" s="78">
        <v>95.5</v>
      </c>
      <c r="O32" s="78">
        <v>93</v>
      </c>
      <c r="P32" s="78">
        <v>86.2</v>
      </c>
      <c r="Q32" s="78">
        <v>91.5</v>
      </c>
      <c r="R32" s="78">
        <v>97.9</v>
      </c>
      <c r="S32" s="78">
        <v>102.3</v>
      </c>
      <c r="T32" s="73">
        <v>92.2</v>
      </c>
      <c r="U32" s="78">
        <v>94.5</v>
      </c>
      <c r="V32" s="78">
        <v>74.64</v>
      </c>
      <c r="W32" s="78">
        <v>81.08</v>
      </c>
      <c r="X32" s="78">
        <v>97.09</v>
      </c>
      <c r="Y32" s="78">
        <v>113.44</v>
      </c>
      <c r="Z32" s="78">
        <v>120.83</v>
      </c>
      <c r="AA32" s="78">
        <v>128.6</v>
      </c>
      <c r="AB32" s="78">
        <v>118.46</v>
      </c>
      <c r="AC32" s="78">
        <v>121.15</v>
      </c>
      <c r="AD32" s="78">
        <v>125.69</v>
      </c>
      <c r="AE32" s="78">
        <v>132.29</v>
      </c>
      <c r="AF32" s="78">
        <v>129.5</v>
      </c>
      <c r="AG32" s="78">
        <v>116.8</v>
      </c>
    </row>
    <row r="33" spans="1:33" ht="13.5" customHeight="1">
      <c r="A33" s="76" t="s">
        <v>40</v>
      </c>
      <c r="B33" s="78" t="s">
        <v>34</v>
      </c>
      <c r="C33" s="78" t="s">
        <v>34</v>
      </c>
      <c r="D33" s="78" t="s">
        <v>34</v>
      </c>
      <c r="E33" s="78" t="s">
        <v>34</v>
      </c>
      <c r="F33" s="78" t="s">
        <v>34</v>
      </c>
      <c r="G33" s="78" t="s">
        <v>34</v>
      </c>
      <c r="H33" s="78" t="s">
        <v>34</v>
      </c>
      <c r="I33" s="78">
        <v>0.60899999999999999</v>
      </c>
      <c r="J33" s="78">
        <v>0.48499999999999999</v>
      </c>
      <c r="K33" s="78">
        <v>0.38500000000000001</v>
      </c>
      <c r="L33" s="78">
        <v>0.85</v>
      </c>
      <c r="M33" s="78">
        <v>0.59799999999999998</v>
      </c>
      <c r="N33" s="78">
        <v>0.49399999999999999</v>
      </c>
      <c r="O33" s="78">
        <v>0.83160000000000001</v>
      </c>
      <c r="P33" s="78">
        <v>0.496</v>
      </c>
      <c r="Q33" s="78">
        <v>0.76179999999999992</v>
      </c>
      <c r="R33" s="78">
        <v>0.54800000000000004</v>
      </c>
      <c r="S33" s="78">
        <v>0.66610000000000003</v>
      </c>
      <c r="T33" s="78">
        <v>0.61399999999999999</v>
      </c>
      <c r="U33" s="78">
        <v>0.5</v>
      </c>
      <c r="V33" s="78">
        <v>0.3332</v>
      </c>
      <c r="W33" s="78">
        <v>0.61220000000000008</v>
      </c>
      <c r="X33" s="78">
        <v>0.29139999999999999</v>
      </c>
      <c r="Y33" s="78">
        <v>1.1025</v>
      </c>
      <c r="Z33" s="78">
        <v>1.2864</v>
      </c>
      <c r="AA33" s="78">
        <v>1.1511</v>
      </c>
      <c r="AB33" s="78">
        <v>0.58540000000000003</v>
      </c>
      <c r="AC33" s="78">
        <v>0.66179999999999994</v>
      </c>
      <c r="AD33" s="78">
        <v>0.62179999999999991</v>
      </c>
      <c r="AE33" s="78">
        <v>1.0049999999999999</v>
      </c>
      <c r="AF33" s="78">
        <v>0.80900000000000005</v>
      </c>
      <c r="AG33" s="78">
        <v>0.79700000000000004</v>
      </c>
    </row>
    <row r="34" spans="1:33" ht="13.5" customHeight="1">
      <c r="A34" s="76" t="s">
        <v>41</v>
      </c>
      <c r="B34" s="78" t="s">
        <v>34</v>
      </c>
      <c r="C34" s="78" t="s">
        <v>34</v>
      </c>
      <c r="D34" s="78" t="s">
        <v>34</v>
      </c>
      <c r="E34" s="78" t="s">
        <v>34</v>
      </c>
      <c r="F34" s="78" t="s">
        <v>34</v>
      </c>
      <c r="G34" s="78" t="s">
        <v>34</v>
      </c>
      <c r="H34" s="78" t="s">
        <v>34</v>
      </c>
      <c r="I34" s="78">
        <v>3.4860000000000002</v>
      </c>
      <c r="J34" s="78">
        <v>0.621</v>
      </c>
      <c r="K34" s="78">
        <v>1.375</v>
      </c>
      <c r="L34" s="78">
        <v>0.46899999999999997</v>
      </c>
      <c r="M34" s="78">
        <v>1.135</v>
      </c>
      <c r="N34" s="78">
        <v>1.825</v>
      </c>
      <c r="O34" s="78">
        <v>1.5289999999999999</v>
      </c>
      <c r="P34" s="78">
        <v>1.607</v>
      </c>
      <c r="Q34" s="78">
        <v>1.141</v>
      </c>
      <c r="R34" s="78">
        <v>0.4718</v>
      </c>
      <c r="S34" s="78">
        <v>0.496</v>
      </c>
      <c r="T34" s="78">
        <v>0.22500000000000001</v>
      </c>
      <c r="U34" s="78">
        <v>0.59499999999999997</v>
      </c>
      <c r="V34" s="78">
        <v>0.8</v>
      </c>
      <c r="W34" s="78">
        <v>0.66200000000000003</v>
      </c>
      <c r="X34" s="78">
        <v>0.48499999999999999</v>
      </c>
      <c r="Y34" s="78">
        <v>0.72299999999999998</v>
      </c>
      <c r="Z34" s="78">
        <v>0.32600000000000001</v>
      </c>
      <c r="AA34" s="78">
        <v>0.25700000000000001</v>
      </c>
      <c r="AB34" s="78">
        <v>0.33250000000000002</v>
      </c>
      <c r="AC34" s="78">
        <v>0.05</v>
      </c>
      <c r="AD34" s="78">
        <v>0.36599999999999999</v>
      </c>
      <c r="AE34" s="78">
        <v>0.70399999999999996</v>
      </c>
      <c r="AF34" s="78">
        <v>0.498</v>
      </c>
      <c r="AG34" s="78">
        <v>7.4999999999999997E-2</v>
      </c>
    </row>
    <row r="35" spans="1:33" ht="13.5" customHeight="1">
      <c r="A35" s="76" t="s">
        <v>42</v>
      </c>
      <c r="B35" s="78" t="s">
        <v>34</v>
      </c>
      <c r="C35" s="78" t="s">
        <v>34</v>
      </c>
      <c r="D35" s="78" t="s">
        <v>34</v>
      </c>
      <c r="E35" s="78" t="s">
        <v>34</v>
      </c>
      <c r="F35" s="78" t="s">
        <v>34</v>
      </c>
      <c r="G35" s="78" t="s">
        <v>34</v>
      </c>
      <c r="H35" s="78" t="s">
        <v>34</v>
      </c>
      <c r="I35" s="78">
        <v>0.18</v>
      </c>
      <c r="J35" s="78" t="s">
        <v>10</v>
      </c>
      <c r="K35" s="78">
        <v>0.27</v>
      </c>
      <c r="L35" s="78">
        <v>0.1</v>
      </c>
      <c r="M35" s="78">
        <v>0.12</v>
      </c>
      <c r="N35" s="78">
        <v>0.12</v>
      </c>
      <c r="O35" s="78">
        <v>7.2999999999999995E-2</v>
      </c>
      <c r="P35" s="78">
        <v>0.11</v>
      </c>
      <c r="Q35" s="78">
        <v>0.185</v>
      </c>
      <c r="R35" s="78">
        <v>0.17299999999999999</v>
      </c>
      <c r="S35" s="78">
        <v>6.9199999999999998E-2</v>
      </c>
      <c r="T35" s="78">
        <v>0.104</v>
      </c>
      <c r="U35" s="78">
        <v>0.10100000000000001</v>
      </c>
      <c r="V35" s="78">
        <v>0.22</v>
      </c>
      <c r="W35" s="78">
        <v>0.17080000000000001</v>
      </c>
      <c r="X35" s="78">
        <v>0.2407</v>
      </c>
      <c r="Y35" s="78">
        <v>0.16</v>
      </c>
      <c r="Z35" s="78">
        <v>0.247</v>
      </c>
      <c r="AA35" s="78">
        <v>0.32500000000000001</v>
      </c>
      <c r="AB35" s="78">
        <v>0.29599999999999999</v>
      </c>
      <c r="AC35" s="78">
        <v>0.44389999999999996</v>
      </c>
      <c r="AD35" s="78">
        <v>0.54679999999999995</v>
      </c>
      <c r="AE35" s="78">
        <v>0.6593</v>
      </c>
      <c r="AF35" s="78">
        <v>0.56259999999999999</v>
      </c>
      <c r="AG35" s="78">
        <v>0.49292999999999998</v>
      </c>
    </row>
    <row r="36" spans="1:33" ht="13.5" customHeight="1">
      <c r="A36" s="76" t="s">
        <v>43</v>
      </c>
      <c r="B36" s="78" t="s">
        <v>34</v>
      </c>
      <c r="C36" s="78" t="s">
        <v>34</v>
      </c>
      <c r="D36" s="78" t="s">
        <v>34</v>
      </c>
      <c r="E36" s="78" t="s">
        <v>34</v>
      </c>
      <c r="F36" s="78" t="s">
        <v>34</v>
      </c>
      <c r="G36" s="78" t="s">
        <v>34</v>
      </c>
      <c r="H36" s="78" t="s">
        <v>34</v>
      </c>
      <c r="I36" s="78" t="s">
        <v>10</v>
      </c>
      <c r="J36" s="78" t="s">
        <v>10</v>
      </c>
      <c r="K36" s="78" t="s">
        <v>10</v>
      </c>
      <c r="L36" s="78" t="s">
        <v>10</v>
      </c>
      <c r="M36" s="78" t="s">
        <v>10</v>
      </c>
      <c r="N36" s="78" t="s">
        <v>10</v>
      </c>
      <c r="O36" s="78" t="s">
        <v>10</v>
      </c>
      <c r="P36" s="78" t="s">
        <v>10</v>
      </c>
      <c r="Q36" s="78" t="s">
        <v>10</v>
      </c>
      <c r="R36" s="78" t="s">
        <v>10</v>
      </c>
      <c r="S36" s="78" t="s">
        <v>10</v>
      </c>
      <c r="T36" s="78" t="s">
        <v>10</v>
      </c>
      <c r="U36" s="78" t="s">
        <v>10</v>
      </c>
      <c r="V36" s="78" t="s">
        <v>10</v>
      </c>
      <c r="W36" s="78" t="s">
        <v>10</v>
      </c>
      <c r="X36" s="78" t="s">
        <v>10</v>
      </c>
      <c r="Y36" s="78" t="s">
        <v>10</v>
      </c>
      <c r="Z36" s="78" t="s">
        <v>10</v>
      </c>
      <c r="AA36" s="78" t="s">
        <v>10</v>
      </c>
      <c r="AB36" s="78" t="s">
        <v>10</v>
      </c>
      <c r="AC36" s="78" t="s">
        <v>10</v>
      </c>
      <c r="AD36" s="78" t="s">
        <v>10</v>
      </c>
      <c r="AE36" s="78" t="s">
        <v>10</v>
      </c>
      <c r="AF36" s="78" t="s">
        <v>10</v>
      </c>
      <c r="AG36" s="78" t="s">
        <v>10</v>
      </c>
    </row>
    <row r="37" spans="1:33" ht="13.5" customHeight="1">
      <c r="A37" s="76" t="s">
        <v>44</v>
      </c>
      <c r="B37" s="78" t="s">
        <v>34</v>
      </c>
      <c r="C37" s="78" t="s">
        <v>34</v>
      </c>
      <c r="D37" s="78" t="s">
        <v>34</v>
      </c>
      <c r="E37" s="78" t="s">
        <v>34</v>
      </c>
      <c r="F37" s="78" t="s">
        <v>34</v>
      </c>
      <c r="G37" s="78" t="s">
        <v>34</v>
      </c>
      <c r="H37" s="78" t="s">
        <v>34</v>
      </c>
      <c r="I37" s="78">
        <v>1.25</v>
      </c>
      <c r="J37" s="78" t="s">
        <v>10</v>
      </c>
      <c r="K37" s="78">
        <v>0.05</v>
      </c>
      <c r="L37" s="78">
        <v>0.1</v>
      </c>
      <c r="M37" s="78" t="s">
        <v>10</v>
      </c>
      <c r="N37" s="78" t="s">
        <v>10</v>
      </c>
      <c r="O37" s="78" t="s">
        <v>10</v>
      </c>
      <c r="P37" s="78" t="s">
        <v>10</v>
      </c>
      <c r="Q37" s="78" t="s">
        <v>10</v>
      </c>
      <c r="R37" s="78" t="s">
        <v>10</v>
      </c>
      <c r="S37" s="78" t="s">
        <v>10</v>
      </c>
      <c r="T37" s="78" t="s">
        <v>10</v>
      </c>
      <c r="U37" s="78" t="s">
        <v>10</v>
      </c>
      <c r="V37" s="78" t="s">
        <v>10</v>
      </c>
      <c r="W37" s="78" t="s">
        <v>10</v>
      </c>
      <c r="X37" s="78" t="s">
        <v>10</v>
      </c>
      <c r="Y37" s="78" t="s">
        <v>10</v>
      </c>
      <c r="Z37" s="78" t="s">
        <v>10</v>
      </c>
      <c r="AA37" s="78" t="s">
        <v>10</v>
      </c>
      <c r="AB37" s="78" t="s">
        <v>10</v>
      </c>
      <c r="AC37" s="78" t="s">
        <v>10</v>
      </c>
      <c r="AD37" s="78" t="s">
        <v>10</v>
      </c>
      <c r="AE37" s="78" t="s">
        <v>10</v>
      </c>
      <c r="AF37" s="78" t="s">
        <v>10</v>
      </c>
      <c r="AG37" s="78" t="s">
        <v>10</v>
      </c>
    </row>
    <row r="38" spans="1:33" ht="13.5" customHeight="1">
      <c r="A38" s="76" t="s">
        <v>45</v>
      </c>
      <c r="B38" s="78" t="s">
        <v>34</v>
      </c>
      <c r="C38" s="78" t="s">
        <v>34</v>
      </c>
      <c r="D38" s="78" t="s">
        <v>34</v>
      </c>
      <c r="E38" s="78" t="s">
        <v>34</v>
      </c>
      <c r="F38" s="78" t="s">
        <v>34</v>
      </c>
      <c r="G38" s="78" t="s">
        <v>34</v>
      </c>
      <c r="H38" s="78" t="s">
        <v>34</v>
      </c>
      <c r="I38" s="78">
        <v>1.87</v>
      </c>
      <c r="J38" s="78">
        <v>0.65</v>
      </c>
      <c r="K38" s="78">
        <v>0.52</v>
      </c>
      <c r="L38" s="78">
        <v>0.71499999999999997</v>
      </c>
      <c r="M38" s="78">
        <v>1.08</v>
      </c>
      <c r="N38" s="78">
        <v>0.8</v>
      </c>
      <c r="O38" s="78">
        <v>0.67</v>
      </c>
      <c r="P38" s="78">
        <v>1.3</v>
      </c>
      <c r="Q38" s="78">
        <v>0.45</v>
      </c>
      <c r="R38" s="78">
        <v>0.71</v>
      </c>
      <c r="S38" s="78">
        <v>0.67</v>
      </c>
      <c r="T38" s="78">
        <v>1.2150000000000001</v>
      </c>
      <c r="U38" s="78">
        <v>1.845</v>
      </c>
      <c r="V38" s="78">
        <v>2.17</v>
      </c>
      <c r="W38" s="78">
        <v>1.96</v>
      </c>
      <c r="X38" s="78">
        <v>2.1560000000000001</v>
      </c>
      <c r="Y38" s="78">
        <v>4.08</v>
      </c>
      <c r="Z38" s="78">
        <v>4.4400000000000004</v>
      </c>
      <c r="AA38" s="78">
        <v>4.8449999999999998</v>
      </c>
      <c r="AB38" s="78">
        <v>4.3499999999999996</v>
      </c>
      <c r="AC38" s="78">
        <v>4.5359999999999996</v>
      </c>
      <c r="AD38" s="78">
        <v>3.6</v>
      </c>
      <c r="AE38" s="78">
        <v>3.3079999999999998</v>
      </c>
      <c r="AF38" s="78">
        <v>2.0859999999999999</v>
      </c>
      <c r="AG38" s="78">
        <v>2.286</v>
      </c>
    </row>
    <row r="39" spans="1:33" ht="13.5" customHeight="1">
      <c r="A39" s="76" t="s">
        <v>46</v>
      </c>
      <c r="B39" s="78" t="s">
        <v>34</v>
      </c>
      <c r="C39" s="78" t="s">
        <v>34</v>
      </c>
      <c r="D39" s="78" t="s">
        <v>34</v>
      </c>
      <c r="E39" s="78" t="s">
        <v>34</v>
      </c>
      <c r="F39" s="78" t="s">
        <v>34</v>
      </c>
      <c r="G39" s="78" t="s">
        <v>34</v>
      </c>
      <c r="H39" s="78" t="s">
        <v>34</v>
      </c>
      <c r="I39" s="78">
        <v>2.012</v>
      </c>
      <c r="J39" s="78">
        <v>0.96699999999999997</v>
      </c>
      <c r="K39" s="78">
        <v>0.63500000000000001</v>
      </c>
      <c r="L39" s="78">
        <v>0.46700000000000003</v>
      </c>
      <c r="M39" s="78">
        <v>1.728</v>
      </c>
      <c r="N39" s="78">
        <v>2.1259999999999999</v>
      </c>
      <c r="O39" s="78">
        <v>2.0428000000000002</v>
      </c>
      <c r="P39" s="78">
        <v>1.1413</v>
      </c>
      <c r="Q39" s="78">
        <v>2.2180999999999997</v>
      </c>
      <c r="R39" s="78">
        <v>0.68389999999999995</v>
      </c>
      <c r="S39" s="78">
        <v>0.90049999999999997</v>
      </c>
      <c r="T39" s="78">
        <v>0.92</v>
      </c>
      <c r="U39" s="78">
        <v>1.2635999999999998</v>
      </c>
      <c r="V39" s="78">
        <v>1.0549999999999999</v>
      </c>
      <c r="W39" s="78">
        <v>0.94920000000000004</v>
      </c>
      <c r="X39" s="78">
        <v>1.8680000000000001</v>
      </c>
      <c r="Y39" s="78">
        <v>3.3613000000000004</v>
      </c>
      <c r="Z39" s="78">
        <v>5.1753999999999998</v>
      </c>
      <c r="AA39" s="78">
        <v>3.1403000000000003</v>
      </c>
      <c r="AB39" s="78">
        <v>3.6004</v>
      </c>
      <c r="AC39" s="78">
        <v>2.7000999999999999</v>
      </c>
      <c r="AD39" s="78">
        <v>2.7620999999999998</v>
      </c>
      <c r="AE39" s="78">
        <v>2.4790999999999999</v>
      </c>
      <c r="AF39" s="78">
        <v>2.6227</v>
      </c>
      <c r="AG39" s="78">
        <v>1.4705999999999999</v>
      </c>
    </row>
    <row r="40" spans="1:33" ht="13.5" customHeight="1">
      <c r="A40" s="76" t="s">
        <v>47</v>
      </c>
      <c r="B40" s="78" t="s">
        <v>34</v>
      </c>
      <c r="C40" s="78" t="s">
        <v>34</v>
      </c>
      <c r="D40" s="78" t="s">
        <v>34</v>
      </c>
      <c r="E40" s="78" t="s">
        <v>34</v>
      </c>
      <c r="F40" s="78" t="s">
        <v>34</v>
      </c>
      <c r="G40" s="78" t="s">
        <v>34</v>
      </c>
      <c r="H40" s="78" t="s">
        <v>34</v>
      </c>
      <c r="I40" s="78">
        <v>13.831</v>
      </c>
      <c r="J40" s="78">
        <v>10.744999999999999</v>
      </c>
      <c r="K40" s="78">
        <v>11.1</v>
      </c>
      <c r="L40" s="78">
        <v>14.382999999999999</v>
      </c>
      <c r="M40" s="78">
        <v>14.3765</v>
      </c>
      <c r="N40" s="78">
        <v>17.093799999999998</v>
      </c>
      <c r="O40" s="78">
        <v>18.225999999999999</v>
      </c>
      <c r="P40" s="78">
        <v>16.303000000000001</v>
      </c>
      <c r="Q40" s="78">
        <v>17.406099999999999</v>
      </c>
      <c r="R40" s="78">
        <v>17.1919</v>
      </c>
      <c r="S40" s="78">
        <v>18.866700000000002</v>
      </c>
      <c r="T40" s="78">
        <v>18.1661</v>
      </c>
      <c r="U40" s="78">
        <v>18.994599999999998</v>
      </c>
      <c r="V40" s="78">
        <v>13.641500000000001</v>
      </c>
      <c r="W40" s="78">
        <v>15.528</v>
      </c>
      <c r="X40" s="78">
        <v>21.664900000000003</v>
      </c>
      <c r="Y40" s="78">
        <v>27.349900000000002</v>
      </c>
      <c r="Z40" s="78">
        <v>23.862599999999997</v>
      </c>
      <c r="AA40" s="78">
        <v>22.037500000000001</v>
      </c>
      <c r="AB40" s="78">
        <v>17.371099999999998</v>
      </c>
      <c r="AC40" s="78">
        <v>19.462599999999998</v>
      </c>
      <c r="AD40" s="78">
        <v>19.7883</v>
      </c>
      <c r="AE40" s="78">
        <v>22.081419999999998</v>
      </c>
      <c r="AF40" s="78">
        <v>22.3401</v>
      </c>
      <c r="AG40" s="78">
        <v>18.309099999999997</v>
      </c>
    </row>
    <row r="41" spans="1:33" ht="13.5" customHeight="1">
      <c r="A41" s="76" t="s">
        <v>48</v>
      </c>
      <c r="B41" s="78" t="s">
        <v>34</v>
      </c>
      <c r="C41" s="78" t="s">
        <v>34</v>
      </c>
      <c r="D41" s="78" t="s">
        <v>34</v>
      </c>
      <c r="E41" s="78" t="s">
        <v>34</v>
      </c>
      <c r="F41" s="78" t="s">
        <v>34</v>
      </c>
      <c r="G41" s="78" t="s">
        <v>34</v>
      </c>
      <c r="H41" s="78" t="s">
        <v>34</v>
      </c>
      <c r="I41" s="78">
        <v>8.5869999999999997</v>
      </c>
      <c r="J41" s="78">
        <v>7.7750000000000004</v>
      </c>
      <c r="K41" s="78">
        <v>9.2590000000000003</v>
      </c>
      <c r="L41" s="78">
        <v>10.779</v>
      </c>
      <c r="M41" s="78">
        <v>11.731</v>
      </c>
      <c r="N41" s="78">
        <v>13.067399999999999</v>
      </c>
      <c r="O41" s="78">
        <v>11.731999999999999</v>
      </c>
      <c r="P41" s="78">
        <v>10.68</v>
      </c>
      <c r="Q41" s="78">
        <v>11.168899999999999</v>
      </c>
      <c r="R41" s="78">
        <v>12.069700000000001</v>
      </c>
      <c r="S41" s="78">
        <v>10.714499999999999</v>
      </c>
      <c r="T41" s="78">
        <v>10.936299999999999</v>
      </c>
      <c r="U41" s="78">
        <v>9.5888999999999989</v>
      </c>
      <c r="V41" s="78">
        <v>6.1558000000000002</v>
      </c>
      <c r="W41" s="78">
        <v>7.3570000000000002</v>
      </c>
      <c r="X41" s="78">
        <v>8.2757999999999985</v>
      </c>
      <c r="Y41" s="78">
        <v>8.8598999999999997</v>
      </c>
      <c r="Z41" s="78">
        <v>12.082360000000001</v>
      </c>
      <c r="AA41" s="78">
        <v>10.1271</v>
      </c>
      <c r="AB41" s="78">
        <v>11.018600000000001</v>
      </c>
      <c r="AC41" s="78">
        <v>12.6669</v>
      </c>
      <c r="AD41" s="78">
        <v>12.907200000000001</v>
      </c>
      <c r="AE41" s="78">
        <v>15.3794</v>
      </c>
      <c r="AF41" s="78">
        <v>13.976280000000001</v>
      </c>
      <c r="AG41" s="78">
        <v>12.093020000000001</v>
      </c>
    </row>
    <row r="42" spans="1:33" ht="13.5" customHeight="1">
      <c r="A42" s="76" t="s">
        <v>49</v>
      </c>
      <c r="B42" s="78" t="s">
        <v>34</v>
      </c>
      <c r="C42" s="78" t="s">
        <v>34</v>
      </c>
      <c r="D42" s="78" t="s">
        <v>34</v>
      </c>
      <c r="E42" s="78" t="s">
        <v>34</v>
      </c>
      <c r="F42" s="78" t="s">
        <v>34</v>
      </c>
      <c r="G42" s="78" t="s">
        <v>34</v>
      </c>
      <c r="H42" s="78" t="s">
        <v>34</v>
      </c>
      <c r="I42" s="78">
        <v>6.3250000000000002</v>
      </c>
      <c r="J42" s="78">
        <v>4.625</v>
      </c>
      <c r="K42" s="78">
        <v>4.4180000000000001</v>
      </c>
      <c r="L42" s="78">
        <v>3.2850000000000001</v>
      </c>
      <c r="M42" s="78">
        <v>4.0350000000000001</v>
      </c>
      <c r="N42" s="78">
        <v>4.8520000000000003</v>
      </c>
      <c r="O42" s="78">
        <v>2.6789999999999998</v>
      </c>
      <c r="P42" s="78">
        <v>3.1230000000000002</v>
      </c>
      <c r="Q42" s="78">
        <v>4.13</v>
      </c>
      <c r="R42" s="78">
        <v>3.5470000000000002</v>
      </c>
      <c r="S42" s="78">
        <v>4.0869999999999997</v>
      </c>
      <c r="T42" s="78">
        <v>4.1379999999999999</v>
      </c>
      <c r="U42" s="78">
        <v>3.0510000000000002</v>
      </c>
      <c r="V42" s="78">
        <v>3.0950000000000002</v>
      </c>
      <c r="W42" s="78">
        <v>3.7519999999999998</v>
      </c>
      <c r="X42" s="78">
        <v>4.5990000000000002</v>
      </c>
      <c r="Y42" s="78">
        <v>6.3319999999999999</v>
      </c>
      <c r="Z42" s="78">
        <v>5.5179999999999998</v>
      </c>
      <c r="AA42" s="78">
        <v>5.2549999999999999</v>
      </c>
      <c r="AB42" s="78">
        <v>5.7480000000000002</v>
      </c>
      <c r="AC42" s="78">
        <v>3.1819999999999999</v>
      </c>
      <c r="AD42" s="78">
        <v>3.41</v>
      </c>
      <c r="AE42" s="78">
        <v>4.6909999999999998</v>
      </c>
      <c r="AF42" s="78">
        <v>4.5819999999999999</v>
      </c>
      <c r="AG42" s="78">
        <v>4.8659999999999997</v>
      </c>
    </row>
    <row r="43" spans="1:33" ht="13.5" customHeight="1">
      <c r="A43" s="76" t="s">
        <v>50</v>
      </c>
      <c r="B43" s="78" t="s">
        <v>34</v>
      </c>
      <c r="C43" s="78" t="s">
        <v>34</v>
      </c>
      <c r="D43" s="78" t="s">
        <v>34</v>
      </c>
      <c r="E43" s="78" t="s">
        <v>34</v>
      </c>
      <c r="F43" s="78" t="s">
        <v>34</v>
      </c>
      <c r="G43" s="78" t="s">
        <v>34</v>
      </c>
      <c r="H43" s="78" t="s">
        <v>34</v>
      </c>
      <c r="I43" s="78">
        <v>0.217</v>
      </c>
      <c r="J43" s="78">
        <v>0.3</v>
      </c>
      <c r="K43" s="78">
        <v>0.35</v>
      </c>
      <c r="L43" s="78">
        <v>0.45</v>
      </c>
      <c r="M43" s="78">
        <v>0.5</v>
      </c>
      <c r="N43" s="78">
        <v>0.53400000000000003</v>
      </c>
      <c r="O43" s="78">
        <v>0.505</v>
      </c>
      <c r="P43" s="78">
        <v>0.42</v>
      </c>
      <c r="Q43" s="78">
        <v>0.56499999999999995</v>
      </c>
      <c r="R43" s="78">
        <v>0.31880000000000003</v>
      </c>
      <c r="S43" s="78">
        <v>0.44</v>
      </c>
      <c r="T43" s="78">
        <v>0.32100000000000001</v>
      </c>
      <c r="U43" s="78">
        <v>0.46600000000000003</v>
      </c>
      <c r="V43" s="78">
        <v>0.62</v>
      </c>
      <c r="W43" s="78">
        <v>0.66500000000000004</v>
      </c>
      <c r="X43" s="78">
        <v>0.59299999999999997</v>
      </c>
      <c r="Y43" s="78">
        <v>0.72499999999999998</v>
      </c>
      <c r="Z43" s="78">
        <v>0.77700000000000002</v>
      </c>
      <c r="AA43" s="78">
        <v>0.89549999999999996</v>
      </c>
      <c r="AB43" s="78">
        <v>1.6240000000000001</v>
      </c>
      <c r="AC43" s="78">
        <v>1.8129999999999999</v>
      </c>
      <c r="AD43" s="78">
        <v>1.798</v>
      </c>
      <c r="AE43" s="78">
        <v>1.7390000000000001</v>
      </c>
      <c r="AF43" s="78">
        <v>1.4119999999999999</v>
      </c>
      <c r="AG43" s="78">
        <v>0.97399999999999998</v>
      </c>
    </row>
    <row r="44" spans="1:33" ht="13.5" customHeight="1">
      <c r="A44" s="76" t="s">
        <v>51</v>
      </c>
      <c r="B44" s="78" t="s">
        <v>34</v>
      </c>
      <c r="C44" s="78" t="s">
        <v>34</v>
      </c>
      <c r="D44" s="78" t="s">
        <v>34</v>
      </c>
      <c r="E44" s="78" t="s">
        <v>34</v>
      </c>
      <c r="F44" s="78" t="s">
        <v>34</v>
      </c>
      <c r="G44" s="78" t="s">
        <v>34</v>
      </c>
      <c r="H44" s="78" t="s">
        <v>34</v>
      </c>
      <c r="I44" s="78">
        <v>4.5010000000000003</v>
      </c>
      <c r="J44" s="78">
        <v>3.4790000000000001</v>
      </c>
      <c r="K44" s="78">
        <v>4.2110000000000003</v>
      </c>
      <c r="L44" s="78">
        <v>5.4290000000000003</v>
      </c>
      <c r="M44" s="78">
        <v>5.9589999999999996</v>
      </c>
      <c r="N44" s="78">
        <v>5.7629999999999999</v>
      </c>
      <c r="O44" s="78">
        <v>6.37</v>
      </c>
      <c r="P44" s="78">
        <v>5.2539999999999996</v>
      </c>
      <c r="Q44" s="78">
        <v>4.8109999999999999</v>
      </c>
      <c r="R44" s="78">
        <v>4.5910000000000002</v>
      </c>
      <c r="S44" s="78">
        <v>3.4089999999999998</v>
      </c>
      <c r="T44" s="78">
        <v>1.978</v>
      </c>
      <c r="U44" s="78">
        <v>2.3119999999999998</v>
      </c>
      <c r="V44" s="78">
        <v>1.907</v>
      </c>
      <c r="W44" s="78">
        <v>2.1469999999999998</v>
      </c>
      <c r="X44" s="78">
        <v>2.3319999999999999</v>
      </c>
      <c r="Y44" s="78">
        <v>3.3783000000000003</v>
      </c>
      <c r="Z44" s="78">
        <v>6.0151899999999996</v>
      </c>
      <c r="AA44" s="78">
        <v>7.6787999999999998</v>
      </c>
      <c r="AB44" s="78">
        <v>6.7768000000000006</v>
      </c>
      <c r="AC44" s="78">
        <v>5.6838999999999995</v>
      </c>
      <c r="AD44" s="78">
        <v>6.4417</v>
      </c>
      <c r="AE44" s="78">
        <v>7.2501000000000007</v>
      </c>
      <c r="AF44" s="78">
        <v>6.5814399999999997</v>
      </c>
      <c r="AG44" s="78">
        <v>6.9343999999999992</v>
      </c>
    </row>
    <row r="45" spans="1:33" ht="13.5" customHeight="1">
      <c r="A45" s="76" t="s">
        <v>52</v>
      </c>
      <c r="B45" s="78" t="s">
        <v>34</v>
      </c>
      <c r="C45" s="78" t="s">
        <v>34</v>
      </c>
      <c r="D45" s="78" t="s">
        <v>34</v>
      </c>
      <c r="E45" s="78" t="s">
        <v>34</v>
      </c>
      <c r="F45" s="78" t="s">
        <v>34</v>
      </c>
      <c r="G45" s="78" t="s">
        <v>34</v>
      </c>
      <c r="H45" s="78" t="s">
        <v>34</v>
      </c>
      <c r="I45" s="78">
        <v>1.107</v>
      </c>
      <c r="J45" s="78">
        <v>1.034</v>
      </c>
      <c r="K45" s="78">
        <v>1.492</v>
      </c>
      <c r="L45" s="78">
        <v>2.7639999999999998</v>
      </c>
      <c r="M45" s="78">
        <v>2.722</v>
      </c>
      <c r="N45" s="78">
        <v>3.3839999999999999</v>
      </c>
      <c r="O45" s="78">
        <v>3.8940000000000001</v>
      </c>
      <c r="P45" s="78">
        <v>3.33</v>
      </c>
      <c r="Q45" s="78">
        <v>3.746</v>
      </c>
      <c r="R45" s="78">
        <v>3.8014000000000001</v>
      </c>
      <c r="S45" s="78">
        <v>4.0281000000000002</v>
      </c>
      <c r="T45" s="78">
        <v>1.712</v>
      </c>
      <c r="U45" s="78">
        <v>1.9074</v>
      </c>
      <c r="V45" s="78">
        <v>2.4488000000000003</v>
      </c>
      <c r="W45" s="78">
        <v>2.0573000000000001</v>
      </c>
      <c r="X45" s="78">
        <v>2.2379000000000002</v>
      </c>
      <c r="Y45" s="78">
        <v>2.5059999999999998</v>
      </c>
      <c r="Z45" s="78">
        <v>2.6736</v>
      </c>
      <c r="AA45" s="78">
        <v>4.4690000000000003</v>
      </c>
      <c r="AB45" s="78">
        <v>2.2089000000000003</v>
      </c>
      <c r="AC45" s="78">
        <v>2.2090999999999998</v>
      </c>
      <c r="AD45" s="78">
        <v>3.5110999999999999</v>
      </c>
      <c r="AE45" s="78">
        <v>3.9076999999999997</v>
      </c>
      <c r="AF45" s="78">
        <v>4.7516999999999996</v>
      </c>
      <c r="AG45" s="78">
        <v>4.1256000000000004</v>
      </c>
    </row>
    <row r="46" spans="1:33" ht="13.5" customHeight="1">
      <c r="A46" s="76" t="s">
        <v>53</v>
      </c>
      <c r="B46" s="78" t="s">
        <v>34</v>
      </c>
      <c r="C46" s="78" t="s">
        <v>34</v>
      </c>
      <c r="D46" s="78" t="s">
        <v>34</v>
      </c>
      <c r="E46" s="78" t="s">
        <v>34</v>
      </c>
      <c r="F46" s="78" t="s">
        <v>34</v>
      </c>
      <c r="G46" s="78" t="s">
        <v>34</v>
      </c>
      <c r="H46" s="78" t="s">
        <v>34</v>
      </c>
      <c r="I46" s="78">
        <v>7.5789999999999997</v>
      </c>
      <c r="J46" s="78">
        <v>7.1260000000000003</v>
      </c>
      <c r="K46" s="78">
        <v>7.5309999999999997</v>
      </c>
      <c r="L46" s="78">
        <v>8.1890000000000001</v>
      </c>
      <c r="M46" s="78">
        <v>13.601000000000001</v>
      </c>
      <c r="N46" s="78">
        <v>9.0820000000000007</v>
      </c>
      <c r="O46" s="78">
        <v>10.468999999999999</v>
      </c>
      <c r="P46" s="78">
        <v>9.2080000000000002</v>
      </c>
      <c r="Q46" s="78">
        <v>10.628</v>
      </c>
      <c r="R46" s="78">
        <v>14.275</v>
      </c>
      <c r="S46" s="78">
        <v>17.639500000000002</v>
      </c>
      <c r="T46" s="78">
        <v>15.2041</v>
      </c>
      <c r="U46" s="78">
        <v>17.552499999999998</v>
      </c>
      <c r="V46" s="78">
        <v>13.2049</v>
      </c>
      <c r="W46" s="78">
        <v>15.214</v>
      </c>
      <c r="X46" s="78">
        <v>16.9999</v>
      </c>
      <c r="Y46" s="78">
        <v>18.011599999999998</v>
      </c>
      <c r="Z46" s="78">
        <v>20.000040000000002</v>
      </c>
      <c r="AA46" s="78">
        <v>27.499599999999997</v>
      </c>
      <c r="AB46" s="78">
        <v>27.453900000000001</v>
      </c>
      <c r="AC46" s="78">
        <v>25.309799999999999</v>
      </c>
      <c r="AD46" s="78">
        <v>26.076700000000002</v>
      </c>
      <c r="AE46" s="78">
        <v>21.7164</v>
      </c>
      <c r="AF46" s="78">
        <v>21.067</v>
      </c>
      <c r="AG46" s="78">
        <v>19.3065</v>
      </c>
    </row>
    <row r="47" spans="1:33" ht="13.5" customHeight="1">
      <c r="A47" s="76" t="s">
        <v>54</v>
      </c>
      <c r="B47" s="78" t="s">
        <v>34</v>
      </c>
      <c r="C47" s="78" t="s">
        <v>34</v>
      </c>
      <c r="D47" s="78" t="s">
        <v>34</v>
      </c>
      <c r="E47" s="78" t="s">
        <v>34</v>
      </c>
      <c r="F47" s="78" t="s">
        <v>34</v>
      </c>
      <c r="G47" s="78" t="s">
        <v>34</v>
      </c>
      <c r="H47" s="78" t="s">
        <v>34</v>
      </c>
      <c r="I47" s="78">
        <v>1.0189999999999999</v>
      </c>
      <c r="J47" s="78">
        <v>0.55400000000000005</v>
      </c>
      <c r="K47" s="78">
        <v>0.52500000000000002</v>
      </c>
      <c r="L47" s="78">
        <v>1.048</v>
      </c>
      <c r="M47" s="78">
        <v>1.62</v>
      </c>
      <c r="N47" s="78">
        <v>1.448</v>
      </c>
      <c r="O47" s="78">
        <v>1.5</v>
      </c>
      <c r="P47" s="78">
        <v>1.65</v>
      </c>
      <c r="Q47" s="78">
        <v>1.0820000000000001</v>
      </c>
      <c r="R47" s="78">
        <v>0.97799999999999998</v>
      </c>
      <c r="S47" s="78">
        <v>0.95199999999999996</v>
      </c>
      <c r="T47" s="78">
        <v>1.22</v>
      </c>
      <c r="U47" s="78">
        <v>2.508</v>
      </c>
      <c r="V47" s="78">
        <v>2.1859999999999999</v>
      </c>
      <c r="W47" s="78">
        <v>1.24</v>
      </c>
      <c r="X47" s="78">
        <v>1.5669999999999999</v>
      </c>
      <c r="Y47" s="78">
        <v>1.5980000000000001</v>
      </c>
      <c r="Z47" s="78">
        <v>1.5269999999999999</v>
      </c>
      <c r="AA47" s="78">
        <v>2.2389999999999999</v>
      </c>
      <c r="AB47" s="78">
        <v>2.423</v>
      </c>
      <c r="AC47" s="78">
        <v>2.4220000000000002</v>
      </c>
      <c r="AD47" s="78">
        <v>2.0350000000000001</v>
      </c>
      <c r="AE47" s="78">
        <v>1.6970000000000001</v>
      </c>
      <c r="AF47" s="78">
        <v>2.4660000000000002</v>
      </c>
      <c r="AG47" s="78">
        <v>2.738</v>
      </c>
    </row>
    <row r="48" spans="1:33" ht="13.5" customHeight="1">
      <c r="A48" s="76" t="s">
        <v>55</v>
      </c>
      <c r="B48" s="78" t="s">
        <v>34</v>
      </c>
      <c r="C48" s="78" t="s">
        <v>34</v>
      </c>
      <c r="D48" s="78" t="s">
        <v>34</v>
      </c>
      <c r="E48" s="78" t="s">
        <v>34</v>
      </c>
      <c r="F48" s="78" t="s">
        <v>34</v>
      </c>
      <c r="G48" s="78" t="s">
        <v>34</v>
      </c>
      <c r="H48" s="78" t="s">
        <v>34</v>
      </c>
      <c r="I48" s="78">
        <v>0.14000000000000001</v>
      </c>
      <c r="J48" s="78">
        <v>9.8000000000000004E-2</v>
      </c>
      <c r="K48" s="78">
        <v>0.187</v>
      </c>
      <c r="L48" s="78">
        <v>0.17249999999999999</v>
      </c>
      <c r="M48" s="78">
        <v>0.308</v>
      </c>
      <c r="N48" s="78">
        <v>0.251</v>
      </c>
      <c r="O48" s="78">
        <v>0.28799999999999998</v>
      </c>
      <c r="P48" s="78">
        <v>0.27200000000000002</v>
      </c>
      <c r="Q48" s="78">
        <v>0.19</v>
      </c>
      <c r="R48" s="78">
        <v>0.27500000000000002</v>
      </c>
      <c r="S48" s="78">
        <v>0.22500000000000001</v>
      </c>
      <c r="T48" s="78">
        <v>0.29499999999999998</v>
      </c>
      <c r="U48" s="78">
        <v>0.30499999999999999</v>
      </c>
      <c r="V48" s="78">
        <v>0.5</v>
      </c>
      <c r="W48" s="78">
        <v>0.497</v>
      </c>
      <c r="X48" s="78">
        <v>0.77700000000000002</v>
      </c>
      <c r="Y48" s="78">
        <v>0.91</v>
      </c>
      <c r="Z48" s="78">
        <v>1.5249999999999999</v>
      </c>
      <c r="AA48" s="78">
        <v>0.76800000000000002</v>
      </c>
      <c r="AB48" s="78">
        <v>0.69699999999999995</v>
      </c>
      <c r="AC48" s="78">
        <v>0.95099999999999996</v>
      </c>
      <c r="AD48" s="78">
        <v>0.74199999999999999</v>
      </c>
      <c r="AE48" s="78">
        <v>0.72599999999999998</v>
      </c>
      <c r="AF48" s="78">
        <v>1.0289999999999999</v>
      </c>
      <c r="AG48" s="78">
        <v>1.1919999999999999</v>
      </c>
    </row>
    <row r="49" spans="1:33" ht="13.5" customHeight="1">
      <c r="A49" s="76" t="s">
        <v>56</v>
      </c>
      <c r="B49" s="78" t="s">
        <v>34</v>
      </c>
      <c r="C49" s="78" t="s">
        <v>34</v>
      </c>
      <c r="D49" s="78" t="s">
        <v>34</v>
      </c>
      <c r="E49" s="78" t="s">
        <v>34</v>
      </c>
      <c r="F49" s="78" t="s">
        <v>34</v>
      </c>
      <c r="G49" s="78" t="s">
        <v>34</v>
      </c>
      <c r="H49" s="78" t="s">
        <v>34</v>
      </c>
      <c r="I49" s="78">
        <v>6.2450000000000001</v>
      </c>
      <c r="J49" s="78">
        <v>2</v>
      </c>
      <c r="K49" s="78">
        <v>2</v>
      </c>
      <c r="L49" s="78">
        <v>4</v>
      </c>
      <c r="M49" s="78">
        <v>5.1319999999999997</v>
      </c>
      <c r="N49" s="78">
        <v>6.1</v>
      </c>
      <c r="O49" s="78">
        <v>6.2720000000000002</v>
      </c>
      <c r="P49" s="78">
        <v>6.8330000000000002</v>
      </c>
      <c r="Q49" s="78">
        <v>7.0510000000000002</v>
      </c>
      <c r="R49" s="78">
        <v>7.1281000000000008</v>
      </c>
      <c r="S49" s="78">
        <v>8.9054000000000002</v>
      </c>
      <c r="T49" s="78">
        <v>7.0534999999999997</v>
      </c>
      <c r="U49" s="78">
        <v>6.6623999999999999</v>
      </c>
      <c r="V49" s="78">
        <v>4.2584999999999997</v>
      </c>
      <c r="W49" s="78">
        <v>6.2731000000000003</v>
      </c>
      <c r="X49" s="78">
        <v>5.9649999999999999</v>
      </c>
      <c r="Y49" s="78">
        <v>6.4542999999999999</v>
      </c>
      <c r="Z49" s="78">
        <v>5.6266000000000007</v>
      </c>
      <c r="AA49" s="78">
        <v>6.3513000000000002</v>
      </c>
      <c r="AB49" s="78">
        <v>6.4601000000000006</v>
      </c>
      <c r="AC49" s="78">
        <v>6.6376999999999997</v>
      </c>
      <c r="AD49" s="78">
        <v>7.5679999999999996</v>
      </c>
      <c r="AE49" s="78">
        <v>8.8033000000000001</v>
      </c>
      <c r="AF49" s="78">
        <v>9.3257000000000012</v>
      </c>
      <c r="AG49" s="78">
        <v>8.8377999999999997</v>
      </c>
    </row>
    <row r="50" spans="1:33" ht="13.5" customHeight="1">
      <c r="A50" s="76" t="s">
        <v>57</v>
      </c>
      <c r="B50" s="78" t="s">
        <v>34</v>
      </c>
      <c r="C50" s="78" t="s">
        <v>34</v>
      </c>
      <c r="D50" s="78" t="s">
        <v>34</v>
      </c>
      <c r="E50" s="78" t="s">
        <v>34</v>
      </c>
      <c r="F50" s="78" t="s">
        <v>34</v>
      </c>
      <c r="G50" s="78" t="s">
        <v>34</v>
      </c>
      <c r="H50" s="78" t="s">
        <v>34</v>
      </c>
      <c r="I50" s="78">
        <v>2.1909999999999998</v>
      </c>
      <c r="J50" s="78">
        <v>2.2599999999999998</v>
      </c>
      <c r="K50" s="78">
        <v>1.9970000000000001</v>
      </c>
      <c r="L50" s="78">
        <v>2.4060000000000001</v>
      </c>
      <c r="M50" s="78">
        <v>3.2662</v>
      </c>
      <c r="N50" s="78">
        <v>3.7320000000000002</v>
      </c>
      <c r="O50" s="78">
        <v>4.2761000000000005</v>
      </c>
      <c r="P50" s="78">
        <v>4.8579999999999997</v>
      </c>
      <c r="Q50" s="78">
        <v>5.5381999999999998</v>
      </c>
      <c r="R50" s="78">
        <v>7.6905000000000001</v>
      </c>
      <c r="S50" s="78">
        <v>6.8449999999999998</v>
      </c>
      <c r="T50" s="78">
        <v>9.4420000000000002</v>
      </c>
      <c r="U50" s="78">
        <v>8.1745000000000001</v>
      </c>
      <c r="V50" s="78">
        <v>6.5345000000000004</v>
      </c>
      <c r="W50" s="78">
        <v>5.9915000000000003</v>
      </c>
      <c r="X50" s="78">
        <v>7.375</v>
      </c>
      <c r="Y50" s="78">
        <v>9.3986000000000001</v>
      </c>
      <c r="Z50" s="78">
        <v>9.9573</v>
      </c>
      <c r="AA50" s="78">
        <v>11.9833</v>
      </c>
      <c r="AB50" s="78">
        <v>11.382</v>
      </c>
      <c r="AC50" s="78">
        <v>12.981999999999999</v>
      </c>
      <c r="AD50" s="78">
        <v>12.2248</v>
      </c>
      <c r="AE50" s="78">
        <v>11.997999999999999</v>
      </c>
      <c r="AF50" s="78">
        <v>12.133809999999999</v>
      </c>
      <c r="AG50" s="78">
        <v>10.8864</v>
      </c>
    </row>
    <row r="51" spans="1:33" ht="13.5" customHeight="1">
      <c r="A51" s="104" t="s">
        <v>58</v>
      </c>
      <c r="B51" s="97" t="s">
        <v>34</v>
      </c>
      <c r="C51" s="97" t="s">
        <v>34</v>
      </c>
      <c r="D51" s="97" t="s">
        <v>34</v>
      </c>
      <c r="E51" s="97" t="s">
        <v>34</v>
      </c>
      <c r="F51" s="97" t="s">
        <v>34</v>
      </c>
      <c r="G51" s="97" t="s">
        <v>34</v>
      </c>
      <c r="H51" s="97" t="s">
        <v>34</v>
      </c>
      <c r="I51" s="97">
        <v>21.135000000000002</v>
      </c>
      <c r="J51" s="97">
        <v>19.484000000000002</v>
      </c>
      <c r="K51" s="97">
        <v>18.34</v>
      </c>
      <c r="L51" s="97">
        <v>20.852</v>
      </c>
      <c r="M51" s="97">
        <v>25.619</v>
      </c>
      <c r="N51" s="97">
        <v>24.908999999999999</v>
      </c>
      <c r="O51" s="97">
        <v>21.603000000000002</v>
      </c>
      <c r="P51" s="97">
        <v>19.675000000000001</v>
      </c>
      <c r="Q51" s="97">
        <v>20.375</v>
      </c>
      <c r="R51" s="97">
        <v>23.311</v>
      </c>
      <c r="S51" s="97">
        <v>23.486999999999998</v>
      </c>
      <c r="T51" s="97">
        <v>18.619</v>
      </c>
      <c r="U51" s="97">
        <v>18.545000000000002</v>
      </c>
      <c r="V51" s="97">
        <v>15.512</v>
      </c>
      <c r="W51" s="97">
        <v>16.001999999999999</v>
      </c>
      <c r="X51" s="97">
        <v>19.66</v>
      </c>
      <c r="Y51" s="97">
        <v>18.488099999999999</v>
      </c>
      <c r="Z51" s="97">
        <v>19.785959999999999</v>
      </c>
      <c r="AA51" s="97">
        <v>19.578299999999999</v>
      </c>
      <c r="AB51" s="97">
        <v>16.127700000000001</v>
      </c>
      <c r="AC51" s="97">
        <v>19.441400000000002</v>
      </c>
      <c r="AD51" s="97">
        <v>21.292999999999999</v>
      </c>
      <c r="AE51" s="97">
        <v>24.146900000000002</v>
      </c>
      <c r="AF51" s="97">
        <v>23.25459</v>
      </c>
      <c r="AG51" s="97">
        <v>21.417300000000001</v>
      </c>
    </row>
    <row r="52" spans="1:33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</row>
    <row r="53" spans="1:33">
      <c r="A53" s="76"/>
    </row>
    <row r="54" spans="1:33" ht="12.75" customHeight="1">
      <c r="A54" s="151" t="s">
        <v>2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</row>
    <row r="55" spans="1:33" ht="12.75" customHeight="1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</row>
    <row r="56" spans="1:33" s="91" customFormat="1">
      <c r="A56" s="90"/>
      <c r="B56" s="90">
        <v>1990</v>
      </c>
      <c r="C56" s="90">
        <v>1991</v>
      </c>
      <c r="D56" s="90">
        <v>1992</v>
      </c>
      <c r="E56" s="90">
        <v>1993</v>
      </c>
      <c r="F56" s="90">
        <v>1994</v>
      </c>
      <c r="G56" s="90">
        <v>1995</v>
      </c>
      <c r="H56" s="90">
        <v>1996</v>
      </c>
      <c r="I56" s="90">
        <v>1997</v>
      </c>
      <c r="J56" s="90">
        <v>1998</v>
      </c>
      <c r="K56" s="90">
        <v>1999</v>
      </c>
      <c r="L56" s="90">
        <v>2000</v>
      </c>
      <c r="M56" s="90">
        <v>2001</v>
      </c>
      <c r="N56" s="90">
        <v>2002</v>
      </c>
      <c r="O56" s="90">
        <v>2003</v>
      </c>
      <c r="P56" s="90">
        <v>2004</v>
      </c>
      <c r="Q56" s="90">
        <v>2005</v>
      </c>
      <c r="R56" s="90">
        <v>2006</v>
      </c>
      <c r="S56" s="90">
        <v>2007</v>
      </c>
      <c r="T56" s="90">
        <v>2008</v>
      </c>
      <c r="U56" s="90">
        <v>2009</v>
      </c>
      <c r="V56" s="90">
        <v>2010</v>
      </c>
      <c r="W56" s="90">
        <v>2011</v>
      </c>
      <c r="X56" s="90">
        <v>2012</v>
      </c>
      <c r="Y56" s="90">
        <v>2013</v>
      </c>
      <c r="Z56" s="90">
        <v>2014</v>
      </c>
      <c r="AA56" s="90">
        <v>2015</v>
      </c>
      <c r="AB56" s="90">
        <v>2016</v>
      </c>
      <c r="AC56" s="90">
        <v>2017</v>
      </c>
      <c r="AD56" s="90">
        <v>2018</v>
      </c>
      <c r="AE56" s="90">
        <v>2019</v>
      </c>
      <c r="AF56" s="90">
        <v>2020</v>
      </c>
      <c r="AG56" s="90">
        <v>2021</v>
      </c>
    </row>
    <row r="57" spans="1:33" ht="23.25" customHeight="1">
      <c r="A57" s="134" t="s">
        <v>85</v>
      </c>
      <c r="B57" s="98">
        <v>0.8</v>
      </c>
      <c r="C57" s="98">
        <v>0.6</v>
      </c>
      <c r="D57" s="98">
        <v>0.3</v>
      </c>
      <c r="E57" s="98">
        <v>0.3</v>
      </c>
      <c r="F57" s="98">
        <v>0.6</v>
      </c>
      <c r="G57" s="98">
        <v>0.9</v>
      </c>
      <c r="H57" s="98">
        <v>0.5</v>
      </c>
      <c r="I57" s="98">
        <v>0.23200000000000001</v>
      </c>
      <c r="J57" s="98">
        <v>0.28399999999999997</v>
      </c>
      <c r="K57" s="98">
        <v>0.16400000000000001</v>
      </c>
      <c r="L57" s="98">
        <v>9.9000000000000005E-2</v>
      </c>
      <c r="M57" s="98">
        <v>1.379</v>
      </c>
      <c r="N57" s="78">
        <v>1.3484</v>
      </c>
      <c r="O57" s="78">
        <v>0.26979999999999998</v>
      </c>
      <c r="P57" s="78">
        <v>0.27700000000000002</v>
      </c>
      <c r="Q57" s="78">
        <v>0.2</v>
      </c>
      <c r="R57" s="78">
        <v>0</v>
      </c>
      <c r="S57" s="78">
        <v>0</v>
      </c>
      <c r="T57" s="73">
        <v>0</v>
      </c>
      <c r="U57" s="78">
        <v>0.1192</v>
      </c>
      <c r="V57" s="78">
        <v>0.4</v>
      </c>
      <c r="W57" s="78">
        <v>0.13600000000000001</v>
      </c>
      <c r="X57" s="78">
        <v>0.01</v>
      </c>
      <c r="Y57" s="78">
        <v>1.0295000000000001</v>
      </c>
      <c r="Z57" s="78">
        <v>2.2044000000000001</v>
      </c>
      <c r="AA57" s="78">
        <v>1.6502000000000001</v>
      </c>
      <c r="AB57" s="78">
        <v>1.2625999999999999</v>
      </c>
      <c r="AC57" s="78">
        <v>2.87</v>
      </c>
      <c r="AD57" s="78">
        <v>7.6508000000000003</v>
      </c>
      <c r="AE57" s="78">
        <v>6.0546999999999995</v>
      </c>
      <c r="AF57" s="78">
        <v>7.05037</v>
      </c>
      <c r="AG57" s="78">
        <v>9.83</v>
      </c>
    </row>
    <row r="58" spans="1:33">
      <c r="A58" s="131" t="s">
        <v>40</v>
      </c>
      <c r="B58" s="98" t="s">
        <v>34</v>
      </c>
      <c r="C58" s="98" t="s">
        <v>34</v>
      </c>
      <c r="D58" s="98" t="s">
        <v>34</v>
      </c>
      <c r="E58" s="98" t="s">
        <v>34</v>
      </c>
      <c r="F58" s="98" t="s">
        <v>34</v>
      </c>
      <c r="G58" s="98" t="s">
        <v>34</v>
      </c>
      <c r="H58" s="98" t="s">
        <v>34</v>
      </c>
      <c r="I58" s="98" t="s">
        <v>10</v>
      </c>
      <c r="J58" s="98" t="s">
        <v>10</v>
      </c>
      <c r="K58" s="98" t="s">
        <v>10</v>
      </c>
      <c r="L58" s="98" t="s">
        <v>10</v>
      </c>
      <c r="M58" s="98">
        <v>5.0000000000000001E-4</v>
      </c>
      <c r="N58" s="78">
        <v>2E-3</v>
      </c>
      <c r="O58" s="78">
        <v>2E-3</v>
      </c>
      <c r="P58" s="78" t="s">
        <v>10</v>
      </c>
      <c r="Q58" s="78" t="s">
        <v>10</v>
      </c>
      <c r="R58" s="78">
        <v>6.9999999999999999E-4</v>
      </c>
      <c r="S58" s="78">
        <v>6.9999999999999999E-4</v>
      </c>
      <c r="T58" s="78">
        <v>6.9999999999999999E-4</v>
      </c>
      <c r="U58" s="78" t="s">
        <v>10</v>
      </c>
      <c r="V58" s="78" t="s">
        <v>10</v>
      </c>
      <c r="W58" s="78" t="s">
        <v>10</v>
      </c>
      <c r="X58" s="78" t="s">
        <v>10</v>
      </c>
      <c r="Y58" s="78" t="s">
        <v>10</v>
      </c>
      <c r="Z58" s="78" t="s">
        <v>10</v>
      </c>
      <c r="AA58" s="78" t="s">
        <v>10</v>
      </c>
      <c r="AB58" s="78" t="s">
        <v>10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</row>
    <row r="59" spans="1:33">
      <c r="A59" s="131" t="s">
        <v>41</v>
      </c>
      <c r="B59" s="98" t="s">
        <v>34</v>
      </c>
      <c r="C59" s="98" t="s">
        <v>34</v>
      </c>
      <c r="D59" s="98" t="s">
        <v>34</v>
      </c>
      <c r="E59" s="98" t="s">
        <v>34</v>
      </c>
      <c r="F59" s="98" t="s">
        <v>34</v>
      </c>
      <c r="G59" s="98" t="s">
        <v>34</v>
      </c>
      <c r="H59" s="98" t="s">
        <v>34</v>
      </c>
      <c r="I59" s="98" t="s">
        <v>10</v>
      </c>
      <c r="J59" s="98" t="s">
        <v>10</v>
      </c>
      <c r="K59" s="98" t="s">
        <v>10</v>
      </c>
      <c r="L59" s="98" t="s">
        <v>10</v>
      </c>
      <c r="M59" s="98" t="s">
        <v>10</v>
      </c>
      <c r="N59" s="78" t="s">
        <v>10</v>
      </c>
      <c r="O59" s="78" t="s">
        <v>10</v>
      </c>
      <c r="P59" s="78" t="s">
        <v>10</v>
      </c>
      <c r="Q59" s="78" t="s">
        <v>10</v>
      </c>
      <c r="R59" s="78">
        <v>1E-4</v>
      </c>
      <c r="S59" s="78">
        <v>2.0000000000000001E-4</v>
      </c>
      <c r="T59" s="78">
        <v>2.0000000000000001E-4</v>
      </c>
      <c r="U59" s="78">
        <v>2.0000000000000001E-4</v>
      </c>
      <c r="V59" s="78" t="s">
        <v>10</v>
      </c>
      <c r="W59" s="78" t="s">
        <v>10</v>
      </c>
      <c r="X59" s="78" t="s">
        <v>10</v>
      </c>
      <c r="Y59" s="78" t="s">
        <v>10</v>
      </c>
      <c r="Z59" s="78">
        <v>0.373</v>
      </c>
      <c r="AA59" s="78">
        <v>0.26700000000000002</v>
      </c>
      <c r="AB59" s="78" t="s">
        <v>10</v>
      </c>
      <c r="AC59" s="78" t="s">
        <v>10</v>
      </c>
      <c r="AD59" s="78" t="s">
        <v>10</v>
      </c>
      <c r="AE59" s="78" t="s">
        <v>10</v>
      </c>
      <c r="AF59" s="78">
        <v>0.17649999999999999</v>
      </c>
      <c r="AG59" s="78">
        <v>0.27600000000000002</v>
      </c>
    </row>
    <row r="60" spans="1:33">
      <c r="A60" s="131" t="s">
        <v>42</v>
      </c>
      <c r="B60" s="98" t="s">
        <v>34</v>
      </c>
      <c r="C60" s="98" t="s">
        <v>34</v>
      </c>
      <c r="D60" s="98" t="s">
        <v>34</v>
      </c>
      <c r="E60" s="98" t="s">
        <v>34</v>
      </c>
      <c r="F60" s="98" t="s">
        <v>34</v>
      </c>
      <c r="G60" s="98" t="s">
        <v>34</v>
      </c>
      <c r="H60" s="98" t="s">
        <v>34</v>
      </c>
      <c r="I60" s="98" t="s">
        <v>10</v>
      </c>
      <c r="J60" s="98" t="s">
        <v>10</v>
      </c>
      <c r="K60" s="98" t="s">
        <v>10</v>
      </c>
      <c r="L60" s="98" t="s">
        <v>10</v>
      </c>
      <c r="M60" s="98" t="s">
        <v>10</v>
      </c>
      <c r="N60" s="78" t="s">
        <v>10</v>
      </c>
      <c r="O60" s="78" t="s">
        <v>10</v>
      </c>
      <c r="P60" s="78" t="s">
        <v>10</v>
      </c>
      <c r="Q60" s="78" t="s">
        <v>10</v>
      </c>
      <c r="R60" s="78" t="s">
        <v>10</v>
      </c>
      <c r="S60" s="78" t="s">
        <v>10</v>
      </c>
      <c r="T60" s="78" t="s">
        <v>10</v>
      </c>
      <c r="U60" s="78" t="s">
        <v>10</v>
      </c>
      <c r="V60" s="78" t="s">
        <v>10</v>
      </c>
      <c r="W60" s="78" t="s">
        <v>10</v>
      </c>
      <c r="X60" s="78" t="s">
        <v>10</v>
      </c>
      <c r="Y60" s="78" t="s">
        <v>10</v>
      </c>
      <c r="Z60" s="78">
        <v>0</v>
      </c>
      <c r="AA60" s="78" t="s">
        <v>10</v>
      </c>
      <c r="AB60" s="78" t="s">
        <v>10</v>
      </c>
      <c r="AC60" s="78" t="s">
        <v>10</v>
      </c>
      <c r="AD60" s="78" t="s">
        <v>10</v>
      </c>
      <c r="AE60" s="78" t="s">
        <v>10</v>
      </c>
      <c r="AF60" s="78" t="s">
        <v>10</v>
      </c>
      <c r="AG60" s="78" t="s">
        <v>10</v>
      </c>
    </row>
    <row r="61" spans="1:33">
      <c r="A61" s="131" t="s">
        <v>43</v>
      </c>
      <c r="B61" s="98" t="s">
        <v>34</v>
      </c>
      <c r="C61" s="98" t="s">
        <v>34</v>
      </c>
      <c r="D61" s="98" t="s">
        <v>34</v>
      </c>
      <c r="E61" s="98" t="s">
        <v>34</v>
      </c>
      <c r="F61" s="98" t="s">
        <v>34</v>
      </c>
      <c r="G61" s="98" t="s">
        <v>34</v>
      </c>
      <c r="H61" s="98" t="s">
        <v>34</v>
      </c>
      <c r="I61" s="98" t="s">
        <v>10</v>
      </c>
      <c r="J61" s="98" t="s">
        <v>10</v>
      </c>
      <c r="K61" s="98" t="s">
        <v>10</v>
      </c>
      <c r="L61" s="98" t="s">
        <v>10</v>
      </c>
      <c r="M61" s="98" t="s">
        <v>10</v>
      </c>
      <c r="N61" s="78" t="s">
        <v>10</v>
      </c>
      <c r="O61" s="78" t="s">
        <v>10</v>
      </c>
      <c r="P61" s="78" t="s">
        <v>10</v>
      </c>
      <c r="Q61" s="78" t="s">
        <v>10</v>
      </c>
      <c r="R61" s="78" t="s">
        <v>10</v>
      </c>
      <c r="S61" s="78" t="s">
        <v>10</v>
      </c>
      <c r="T61" s="78" t="s">
        <v>10</v>
      </c>
      <c r="U61" s="78" t="s">
        <v>10</v>
      </c>
      <c r="V61" s="78" t="s">
        <v>10</v>
      </c>
      <c r="W61" s="78" t="s">
        <v>10</v>
      </c>
      <c r="X61" s="78" t="s">
        <v>10</v>
      </c>
      <c r="Y61" s="78" t="s">
        <v>10</v>
      </c>
      <c r="Z61" s="78" t="s">
        <v>10</v>
      </c>
      <c r="AA61" s="78" t="s">
        <v>10</v>
      </c>
      <c r="AB61" s="78" t="s">
        <v>10</v>
      </c>
      <c r="AC61" s="78" t="s">
        <v>10</v>
      </c>
      <c r="AD61" s="78" t="s">
        <v>10</v>
      </c>
      <c r="AE61" s="78" t="s">
        <v>10</v>
      </c>
      <c r="AF61" s="78" t="s">
        <v>10</v>
      </c>
      <c r="AG61" s="78" t="s">
        <v>10</v>
      </c>
    </row>
    <row r="62" spans="1:33">
      <c r="A62" s="131" t="s">
        <v>44</v>
      </c>
      <c r="B62" s="98" t="s">
        <v>34</v>
      </c>
      <c r="C62" s="98" t="s">
        <v>34</v>
      </c>
      <c r="D62" s="98" t="s">
        <v>34</v>
      </c>
      <c r="E62" s="98" t="s">
        <v>34</v>
      </c>
      <c r="F62" s="98" t="s">
        <v>34</v>
      </c>
      <c r="G62" s="98" t="s">
        <v>34</v>
      </c>
      <c r="H62" s="98" t="s">
        <v>34</v>
      </c>
      <c r="I62" s="98" t="s">
        <v>10</v>
      </c>
      <c r="J62" s="98" t="s">
        <v>10</v>
      </c>
      <c r="K62" s="98" t="s">
        <v>10</v>
      </c>
      <c r="L62" s="98" t="s">
        <v>10</v>
      </c>
      <c r="M62" s="98" t="s">
        <v>10</v>
      </c>
      <c r="N62" s="78" t="s">
        <v>10</v>
      </c>
      <c r="O62" s="78" t="s">
        <v>10</v>
      </c>
      <c r="P62" s="78" t="s">
        <v>10</v>
      </c>
      <c r="Q62" s="78" t="s">
        <v>10</v>
      </c>
      <c r="R62" s="78" t="s">
        <v>10</v>
      </c>
      <c r="S62" s="78" t="s">
        <v>10</v>
      </c>
      <c r="T62" s="78" t="s">
        <v>10</v>
      </c>
      <c r="U62" s="78" t="s">
        <v>10</v>
      </c>
      <c r="V62" s="78" t="s">
        <v>10</v>
      </c>
      <c r="W62" s="78" t="s">
        <v>10</v>
      </c>
      <c r="X62" s="78" t="s">
        <v>10</v>
      </c>
      <c r="Y62" s="78" t="s">
        <v>10</v>
      </c>
      <c r="Z62" s="78" t="s">
        <v>10</v>
      </c>
      <c r="AA62" s="78" t="s">
        <v>10</v>
      </c>
      <c r="AB62" s="78" t="s">
        <v>10</v>
      </c>
      <c r="AC62" s="78" t="s">
        <v>10</v>
      </c>
      <c r="AD62" s="78" t="s">
        <v>10</v>
      </c>
      <c r="AE62" s="78" t="s">
        <v>10</v>
      </c>
      <c r="AF62" s="78" t="s">
        <v>10</v>
      </c>
      <c r="AG62" s="78" t="s">
        <v>10</v>
      </c>
    </row>
    <row r="63" spans="1:33">
      <c r="A63" s="131" t="s">
        <v>45</v>
      </c>
      <c r="B63" s="98" t="s">
        <v>34</v>
      </c>
      <c r="C63" s="98" t="s">
        <v>34</v>
      </c>
      <c r="D63" s="98" t="s">
        <v>34</v>
      </c>
      <c r="E63" s="98" t="s">
        <v>34</v>
      </c>
      <c r="F63" s="98" t="s">
        <v>34</v>
      </c>
      <c r="G63" s="98" t="s">
        <v>34</v>
      </c>
      <c r="H63" s="98" t="s">
        <v>34</v>
      </c>
      <c r="I63" s="98" t="s">
        <v>10</v>
      </c>
      <c r="J63" s="98" t="s">
        <v>10</v>
      </c>
      <c r="K63" s="98" t="s">
        <v>10</v>
      </c>
      <c r="L63" s="98" t="s">
        <v>10</v>
      </c>
      <c r="M63" s="98" t="s">
        <v>10</v>
      </c>
      <c r="N63" s="78" t="s">
        <v>10</v>
      </c>
      <c r="O63" s="78" t="s">
        <v>10</v>
      </c>
      <c r="P63" s="78" t="s">
        <v>10</v>
      </c>
      <c r="Q63" s="78" t="s">
        <v>10</v>
      </c>
      <c r="R63" s="78" t="s">
        <v>10</v>
      </c>
      <c r="S63" s="78" t="s">
        <v>10</v>
      </c>
      <c r="T63" s="78" t="s">
        <v>10</v>
      </c>
      <c r="U63" s="78" t="s">
        <v>10</v>
      </c>
      <c r="V63" s="78" t="s">
        <v>10</v>
      </c>
      <c r="W63" s="78" t="s">
        <v>10</v>
      </c>
      <c r="X63" s="78" t="s">
        <v>10</v>
      </c>
      <c r="Y63" s="78" t="s">
        <v>10</v>
      </c>
      <c r="Z63" s="78" t="s">
        <v>10</v>
      </c>
      <c r="AA63" s="78" t="s">
        <v>10</v>
      </c>
      <c r="AB63" s="78" t="s">
        <v>10</v>
      </c>
      <c r="AC63" s="78" t="s">
        <v>10</v>
      </c>
      <c r="AD63" s="78" t="s">
        <v>10</v>
      </c>
      <c r="AE63" s="78" t="s">
        <v>10</v>
      </c>
      <c r="AF63" s="78" t="s">
        <v>10</v>
      </c>
      <c r="AG63" s="78" t="s">
        <v>10</v>
      </c>
    </row>
    <row r="64" spans="1:33">
      <c r="A64" s="131" t="s">
        <v>46</v>
      </c>
      <c r="B64" s="98" t="s">
        <v>34</v>
      </c>
      <c r="C64" s="98" t="s">
        <v>34</v>
      </c>
      <c r="D64" s="98" t="s">
        <v>34</v>
      </c>
      <c r="E64" s="98" t="s">
        <v>34</v>
      </c>
      <c r="F64" s="98" t="s">
        <v>34</v>
      </c>
      <c r="G64" s="98" t="s">
        <v>34</v>
      </c>
      <c r="H64" s="98" t="s">
        <v>34</v>
      </c>
      <c r="I64" s="98" t="s">
        <v>10</v>
      </c>
      <c r="J64" s="98" t="s">
        <v>10</v>
      </c>
      <c r="K64" s="98" t="s">
        <v>10</v>
      </c>
      <c r="L64" s="98" t="s">
        <v>10</v>
      </c>
      <c r="M64" s="98" t="s">
        <v>10</v>
      </c>
      <c r="N64" s="78" t="s">
        <v>10</v>
      </c>
      <c r="O64" s="78" t="s">
        <v>10</v>
      </c>
      <c r="P64" s="78" t="s">
        <v>10</v>
      </c>
      <c r="Q64" s="78" t="s">
        <v>10</v>
      </c>
      <c r="R64" s="78" t="s">
        <v>10</v>
      </c>
      <c r="S64" s="78" t="s">
        <v>10</v>
      </c>
      <c r="T64" s="78" t="s">
        <v>10</v>
      </c>
      <c r="U64" s="78">
        <v>3.0000000000000001E-3</v>
      </c>
      <c r="V64" s="78">
        <v>0.15680000000000002</v>
      </c>
      <c r="W64" s="78">
        <v>7.2999999999999995E-2</v>
      </c>
      <c r="X64" s="78" t="s">
        <v>10</v>
      </c>
      <c r="Y64" s="78" t="s">
        <v>10</v>
      </c>
      <c r="Z64" s="78">
        <v>1.55E-2</v>
      </c>
      <c r="AA64" s="78">
        <v>0.05</v>
      </c>
      <c r="AB64" s="78" t="s">
        <v>10</v>
      </c>
      <c r="AC64" s="78">
        <v>3.5000000000000003E-2</v>
      </c>
      <c r="AD64" s="78">
        <v>2.5000000000000001E-2</v>
      </c>
      <c r="AE64" s="78" t="s">
        <v>10</v>
      </c>
      <c r="AF64" s="78" t="s">
        <v>10</v>
      </c>
      <c r="AG64" s="78" t="s">
        <v>10</v>
      </c>
    </row>
    <row r="65" spans="1:33">
      <c r="A65" s="131" t="s">
        <v>47</v>
      </c>
      <c r="B65" s="98" t="s">
        <v>34</v>
      </c>
      <c r="C65" s="98" t="s">
        <v>34</v>
      </c>
      <c r="D65" s="98" t="s">
        <v>34</v>
      </c>
      <c r="E65" s="98" t="s">
        <v>34</v>
      </c>
      <c r="F65" s="98" t="s">
        <v>34</v>
      </c>
      <c r="G65" s="98" t="s">
        <v>34</v>
      </c>
      <c r="H65" s="98" t="s">
        <v>34</v>
      </c>
      <c r="I65" s="98" t="s">
        <v>10</v>
      </c>
      <c r="J65" s="98" t="s">
        <v>10</v>
      </c>
      <c r="K65" s="98" t="s">
        <v>10</v>
      </c>
      <c r="L65" s="98" t="s">
        <v>10</v>
      </c>
      <c r="M65" s="98" t="s">
        <v>10</v>
      </c>
      <c r="N65" s="78" t="s">
        <v>10</v>
      </c>
      <c r="O65" s="78" t="s">
        <v>10</v>
      </c>
      <c r="P65" s="78" t="s">
        <v>10</v>
      </c>
      <c r="Q65" s="78" t="s">
        <v>10</v>
      </c>
      <c r="R65" s="78" t="s">
        <v>10</v>
      </c>
      <c r="S65" s="78" t="s">
        <v>10</v>
      </c>
      <c r="T65" s="78" t="s">
        <v>10</v>
      </c>
      <c r="U65" s="78" t="s">
        <v>10</v>
      </c>
      <c r="V65" s="78" t="s">
        <v>10</v>
      </c>
      <c r="W65" s="78" t="s">
        <v>10</v>
      </c>
      <c r="X65" s="78" t="s">
        <v>10</v>
      </c>
      <c r="Y65" s="78" t="s">
        <v>10</v>
      </c>
      <c r="Z65" s="78" t="s">
        <v>10</v>
      </c>
      <c r="AA65" s="78">
        <v>0.35960000000000003</v>
      </c>
      <c r="AB65" s="78">
        <v>0.15</v>
      </c>
      <c r="AC65" s="78" t="s">
        <v>10</v>
      </c>
      <c r="AD65" s="78">
        <v>0.58099999999999996</v>
      </c>
      <c r="AE65" s="78">
        <v>0.55900000000000005</v>
      </c>
      <c r="AF65" s="78">
        <v>0.55800000000000005</v>
      </c>
      <c r="AG65" s="78">
        <v>1.101</v>
      </c>
    </row>
    <row r="66" spans="1:33">
      <c r="A66" s="131" t="s">
        <v>48</v>
      </c>
      <c r="B66" s="98" t="s">
        <v>34</v>
      </c>
      <c r="C66" s="98" t="s">
        <v>34</v>
      </c>
      <c r="D66" s="98" t="s">
        <v>34</v>
      </c>
      <c r="E66" s="98" t="s">
        <v>34</v>
      </c>
      <c r="F66" s="98" t="s">
        <v>34</v>
      </c>
      <c r="G66" s="98" t="s">
        <v>34</v>
      </c>
      <c r="H66" s="98" t="s">
        <v>34</v>
      </c>
      <c r="I66" s="98">
        <v>0.1</v>
      </c>
      <c r="J66" s="98">
        <v>7.4999999999999997E-2</v>
      </c>
      <c r="K66" s="98">
        <v>0.05</v>
      </c>
      <c r="L66" s="98">
        <v>0.05</v>
      </c>
      <c r="M66" s="98">
        <v>2.3E-2</v>
      </c>
      <c r="N66" s="78" t="s">
        <v>10</v>
      </c>
      <c r="O66" s="78" t="s">
        <v>10</v>
      </c>
      <c r="P66" s="78" t="s">
        <v>10</v>
      </c>
      <c r="Q66" s="78" t="s">
        <v>10</v>
      </c>
      <c r="R66" s="78">
        <v>1.1000000000000001E-3</v>
      </c>
      <c r="S66" s="78" t="s">
        <v>10</v>
      </c>
      <c r="T66" s="78" t="s">
        <v>10</v>
      </c>
      <c r="U66" s="78" t="s">
        <v>10</v>
      </c>
      <c r="V66" s="78" t="s">
        <v>10</v>
      </c>
      <c r="W66" s="78" t="s">
        <v>10</v>
      </c>
      <c r="X66" s="78" t="s">
        <v>10</v>
      </c>
      <c r="Y66" s="78" t="s">
        <v>10</v>
      </c>
      <c r="Z66" s="78">
        <v>0.8679</v>
      </c>
      <c r="AA66" s="78" t="s">
        <v>10</v>
      </c>
      <c r="AB66" s="78">
        <v>0.35099999999999998</v>
      </c>
      <c r="AC66" s="78">
        <v>0.58299999999999996</v>
      </c>
      <c r="AD66" s="78">
        <v>2.2185000000000001</v>
      </c>
      <c r="AE66" s="78">
        <v>0.62479999999999991</v>
      </c>
      <c r="AF66" s="78">
        <v>0.58499999999999996</v>
      </c>
      <c r="AG66" s="78">
        <v>0.53660000000000008</v>
      </c>
    </row>
    <row r="67" spans="1:33">
      <c r="A67" s="131" t="s">
        <v>49</v>
      </c>
      <c r="B67" s="98" t="s">
        <v>34</v>
      </c>
      <c r="C67" s="98" t="s">
        <v>34</v>
      </c>
      <c r="D67" s="98" t="s">
        <v>34</v>
      </c>
      <c r="E67" s="98" t="s">
        <v>34</v>
      </c>
      <c r="F67" s="98" t="s">
        <v>34</v>
      </c>
      <c r="G67" s="98" t="s">
        <v>34</v>
      </c>
      <c r="H67" s="98" t="s">
        <v>34</v>
      </c>
      <c r="I67" s="98" t="s">
        <v>10</v>
      </c>
      <c r="J67" s="98" t="s">
        <v>10</v>
      </c>
      <c r="K67" s="98" t="s">
        <v>10</v>
      </c>
      <c r="L67" s="98" t="s">
        <v>10</v>
      </c>
      <c r="M67" s="98" t="s">
        <v>10</v>
      </c>
      <c r="N67" s="78" t="s">
        <v>10</v>
      </c>
      <c r="O67" s="78" t="s">
        <v>10</v>
      </c>
      <c r="P67" s="78" t="s">
        <v>10</v>
      </c>
      <c r="Q67" s="78" t="s">
        <v>10</v>
      </c>
      <c r="R67" s="78" t="s">
        <v>10</v>
      </c>
      <c r="S67" s="78" t="s">
        <v>10</v>
      </c>
      <c r="T67" s="78" t="s">
        <v>10</v>
      </c>
      <c r="U67" s="78" t="s">
        <v>10</v>
      </c>
      <c r="V67" s="78" t="s">
        <v>10</v>
      </c>
      <c r="W67" s="78" t="s">
        <v>10</v>
      </c>
      <c r="X67" s="78" t="s">
        <v>10</v>
      </c>
      <c r="Y67" s="78" t="s">
        <v>10</v>
      </c>
      <c r="Z67" s="78" t="s">
        <v>10</v>
      </c>
      <c r="AA67" s="78" t="s">
        <v>10</v>
      </c>
      <c r="AB67" s="78" t="s">
        <v>10</v>
      </c>
      <c r="AC67" s="78" t="s">
        <v>10</v>
      </c>
      <c r="AD67" s="78" t="s">
        <v>10</v>
      </c>
      <c r="AE67" s="78" t="s">
        <v>10</v>
      </c>
      <c r="AF67" s="78" t="s">
        <v>10</v>
      </c>
      <c r="AG67" s="78" t="s">
        <v>10</v>
      </c>
    </row>
    <row r="68" spans="1:33">
      <c r="A68" s="131" t="s">
        <v>50</v>
      </c>
      <c r="B68" s="98" t="s">
        <v>34</v>
      </c>
      <c r="C68" s="98" t="s">
        <v>34</v>
      </c>
      <c r="D68" s="98" t="s">
        <v>34</v>
      </c>
      <c r="E68" s="98" t="s">
        <v>34</v>
      </c>
      <c r="F68" s="98" t="s">
        <v>34</v>
      </c>
      <c r="G68" s="98" t="s">
        <v>34</v>
      </c>
      <c r="H68" s="98" t="s">
        <v>34</v>
      </c>
      <c r="I68" s="98" t="s">
        <v>10</v>
      </c>
      <c r="J68" s="98" t="s">
        <v>10</v>
      </c>
      <c r="K68" s="98" t="s">
        <v>10</v>
      </c>
      <c r="L68" s="98" t="s">
        <v>10</v>
      </c>
      <c r="M68" s="98" t="s">
        <v>10</v>
      </c>
      <c r="N68" s="78" t="s">
        <v>10</v>
      </c>
      <c r="O68" s="78" t="s">
        <v>10</v>
      </c>
      <c r="P68" s="78" t="s">
        <v>10</v>
      </c>
      <c r="Q68" s="78" t="s">
        <v>10</v>
      </c>
      <c r="R68" s="78" t="s">
        <v>10</v>
      </c>
      <c r="S68" s="78" t="s">
        <v>10</v>
      </c>
      <c r="T68" s="78" t="s">
        <v>10</v>
      </c>
      <c r="U68" s="78" t="s">
        <v>10</v>
      </c>
      <c r="V68" s="78" t="s">
        <v>10</v>
      </c>
      <c r="W68" s="78" t="s">
        <v>10</v>
      </c>
      <c r="X68" s="78" t="s">
        <v>10</v>
      </c>
      <c r="Y68" s="78">
        <v>0.91300000000000003</v>
      </c>
      <c r="Z68" s="78">
        <v>0.59199999999999997</v>
      </c>
      <c r="AA68" s="78">
        <v>0.73599999999999999</v>
      </c>
      <c r="AB68" s="78">
        <v>0.38100000000000001</v>
      </c>
      <c r="AC68" s="78">
        <v>0.23200000000000001</v>
      </c>
      <c r="AD68" s="78">
        <v>0.24</v>
      </c>
      <c r="AE68" s="78" t="s">
        <v>10</v>
      </c>
      <c r="AF68" s="78">
        <v>0.15</v>
      </c>
      <c r="AG68" s="78">
        <v>0.1</v>
      </c>
    </row>
    <row r="69" spans="1:33">
      <c r="A69" s="131" t="s">
        <v>51</v>
      </c>
      <c r="B69" s="98" t="s">
        <v>34</v>
      </c>
      <c r="C69" s="98" t="s">
        <v>34</v>
      </c>
      <c r="D69" s="98" t="s">
        <v>34</v>
      </c>
      <c r="E69" s="98" t="s">
        <v>34</v>
      </c>
      <c r="F69" s="98" t="s">
        <v>34</v>
      </c>
      <c r="G69" s="98" t="s">
        <v>34</v>
      </c>
      <c r="H69" s="98" t="s">
        <v>34</v>
      </c>
      <c r="I69" s="98" t="s">
        <v>10</v>
      </c>
      <c r="J69" s="98" t="s">
        <v>10</v>
      </c>
      <c r="K69" s="98" t="s">
        <v>10</v>
      </c>
      <c r="L69" s="98" t="s">
        <v>10</v>
      </c>
      <c r="M69" s="98" t="s">
        <v>10</v>
      </c>
      <c r="N69" s="78" t="s">
        <v>10</v>
      </c>
      <c r="O69" s="78" t="s">
        <v>10</v>
      </c>
      <c r="P69" s="78" t="s">
        <v>10</v>
      </c>
      <c r="Q69" s="78" t="s">
        <v>10</v>
      </c>
      <c r="R69" s="78" t="s">
        <v>10</v>
      </c>
      <c r="S69" s="78" t="s">
        <v>10</v>
      </c>
      <c r="T69" s="78" t="s">
        <v>10</v>
      </c>
      <c r="U69" s="78" t="s">
        <v>10</v>
      </c>
      <c r="V69" s="78" t="s">
        <v>10</v>
      </c>
      <c r="W69" s="78" t="s">
        <v>10</v>
      </c>
      <c r="X69" s="78" t="s">
        <v>10</v>
      </c>
      <c r="Y69" s="78" t="s">
        <v>10</v>
      </c>
      <c r="Z69" s="78" t="s">
        <v>10</v>
      </c>
      <c r="AA69" s="78" t="s">
        <v>10</v>
      </c>
      <c r="AB69" s="78" t="s">
        <v>10</v>
      </c>
      <c r="AC69" s="78">
        <v>0.79900000000000004</v>
      </c>
      <c r="AD69" s="78">
        <v>0.28000000000000003</v>
      </c>
      <c r="AE69" s="78" t="s">
        <v>10</v>
      </c>
      <c r="AF69" s="78" t="s">
        <v>10</v>
      </c>
      <c r="AG69" s="78">
        <v>0.50780000000000003</v>
      </c>
    </row>
    <row r="70" spans="1:33">
      <c r="A70" s="131" t="s">
        <v>52</v>
      </c>
      <c r="B70" s="98" t="s">
        <v>34</v>
      </c>
      <c r="C70" s="98" t="s">
        <v>34</v>
      </c>
      <c r="D70" s="98" t="s">
        <v>34</v>
      </c>
      <c r="E70" s="98" t="s">
        <v>34</v>
      </c>
      <c r="F70" s="98" t="s">
        <v>34</v>
      </c>
      <c r="G70" s="98" t="s">
        <v>34</v>
      </c>
      <c r="H70" s="98" t="s">
        <v>34</v>
      </c>
      <c r="I70" s="98" t="s">
        <v>10</v>
      </c>
      <c r="J70" s="98" t="s">
        <v>10</v>
      </c>
      <c r="K70" s="98" t="s">
        <v>10</v>
      </c>
      <c r="L70" s="98" t="s">
        <v>10</v>
      </c>
      <c r="M70" s="98" t="s">
        <v>10</v>
      </c>
      <c r="N70" s="78" t="s">
        <v>10</v>
      </c>
      <c r="O70" s="78" t="s">
        <v>10</v>
      </c>
      <c r="P70" s="78" t="s">
        <v>10</v>
      </c>
      <c r="Q70" s="78" t="s">
        <v>10</v>
      </c>
      <c r="R70" s="78" t="s">
        <v>10</v>
      </c>
      <c r="S70" s="78" t="s">
        <v>10</v>
      </c>
      <c r="T70" s="78" t="s">
        <v>10</v>
      </c>
      <c r="U70" s="78" t="s">
        <v>10</v>
      </c>
      <c r="V70" s="78" t="s">
        <v>10</v>
      </c>
      <c r="W70" s="78" t="s">
        <v>10</v>
      </c>
      <c r="X70" s="78" t="s">
        <v>10</v>
      </c>
      <c r="Y70" s="78" t="s">
        <v>10</v>
      </c>
      <c r="Z70" s="78" t="s">
        <v>10</v>
      </c>
      <c r="AA70" s="78" t="s">
        <v>10</v>
      </c>
      <c r="AB70" s="78" t="s">
        <v>10</v>
      </c>
      <c r="AC70" s="78" t="s">
        <v>10</v>
      </c>
      <c r="AD70" s="78" t="s">
        <v>10</v>
      </c>
      <c r="AE70" s="78" t="s">
        <v>10</v>
      </c>
      <c r="AF70" s="78" t="s">
        <v>10</v>
      </c>
      <c r="AG70" s="78" t="s">
        <v>10</v>
      </c>
    </row>
    <row r="71" spans="1:33">
      <c r="A71" s="131" t="s">
        <v>53</v>
      </c>
      <c r="B71" s="98" t="s">
        <v>34</v>
      </c>
      <c r="C71" s="98" t="s">
        <v>34</v>
      </c>
      <c r="D71" s="98" t="s">
        <v>34</v>
      </c>
      <c r="E71" s="98" t="s">
        <v>34</v>
      </c>
      <c r="F71" s="98" t="s">
        <v>34</v>
      </c>
      <c r="G71" s="98" t="s">
        <v>34</v>
      </c>
      <c r="H71" s="98" t="s">
        <v>34</v>
      </c>
      <c r="I71" s="98" t="s">
        <v>10</v>
      </c>
      <c r="J71" s="98" t="s">
        <v>10</v>
      </c>
      <c r="K71" s="98" t="s">
        <v>10</v>
      </c>
      <c r="L71" s="98" t="s">
        <v>10</v>
      </c>
      <c r="M71" s="98">
        <v>0.1</v>
      </c>
      <c r="N71" s="78" t="s">
        <v>10</v>
      </c>
      <c r="O71" s="78" t="s">
        <v>10</v>
      </c>
      <c r="P71" s="78" t="s">
        <v>10</v>
      </c>
      <c r="Q71" s="78" t="s">
        <v>10</v>
      </c>
      <c r="R71" s="78" t="s">
        <v>10</v>
      </c>
      <c r="S71" s="78" t="s">
        <v>10</v>
      </c>
      <c r="T71" s="78" t="s">
        <v>10</v>
      </c>
      <c r="U71" s="78" t="s">
        <v>10</v>
      </c>
      <c r="V71" s="78" t="s">
        <v>10</v>
      </c>
      <c r="W71" s="78" t="s">
        <v>10</v>
      </c>
      <c r="X71" s="78" t="s">
        <v>10</v>
      </c>
      <c r="Y71" s="78" t="s">
        <v>10</v>
      </c>
      <c r="Z71" s="78" t="s">
        <v>10</v>
      </c>
      <c r="AA71" s="78" t="s">
        <v>10</v>
      </c>
      <c r="AB71" s="78" t="s">
        <v>10</v>
      </c>
      <c r="AC71" s="78" t="s">
        <v>10</v>
      </c>
      <c r="AD71" s="78">
        <v>0.24399999999999999</v>
      </c>
      <c r="AE71" s="78" t="s">
        <v>10</v>
      </c>
      <c r="AF71" s="78" t="s">
        <v>10</v>
      </c>
      <c r="AG71" s="78" t="s">
        <v>10</v>
      </c>
    </row>
    <row r="72" spans="1:33">
      <c r="A72" s="131" t="s">
        <v>54</v>
      </c>
      <c r="B72" s="98" t="s">
        <v>34</v>
      </c>
      <c r="C72" s="98" t="s">
        <v>34</v>
      </c>
      <c r="D72" s="98" t="s">
        <v>34</v>
      </c>
      <c r="E72" s="98" t="s">
        <v>34</v>
      </c>
      <c r="F72" s="98" t="s">
        <v>34</v>
      </c>
      <c r="G72" s="98" t="s">
        <v>34</v>
      </c>
      <c r="H72" s="98" t="s">
        <v>34</v>
      </c>
      <c r="I72" s="98" t="s">
        <v>10</v>
      </c>
      <c r="J72" s="98" t="s">
        <v>10</v>
      </c>
      <c r="K72" s="98" t="s">
        <v>10</v>
      </c>
      <c r="L72" s="98" t="s">
        <v>10</v>
      </c>
      <c r="M72" s="98" t="s">
        <v>10</v>
      </c>
      <c r="N72" s="78">
        <v>4.0000000000000002E-4</v>
      </c>
      <c r="O72" s="78" t="s">
        <v>10</v>
      </c>
      <c r="P72" s="78" t="s">
        <v>10</v>
      </c>
      <c r="Q72" s="78" t="s">
        <v>10</v>
      </c>
      <c r="R72" s="78" t="s">
        <v>10</v>
      </c>
      <c r="S72" s="78" t="s">
        <v>10</v>
      </c>
      <c r="T72" s="78" t="s">
        <v>10</v>
      </c>
      <c r="U72" s="78" t="s">
        <v>10</v>
      </c>
      <c r="V72" s="78">
        <v>0.153</v>
      </c>
      <c r="W72" s="78">
        <v>2.1000000000000001E-2</v>
      </c>
      <c r="X72" s="78" t="s">
        <v>10</v>
      </c>
      <c r="Y72" s="78" t="s">
        <v>10</v>
      </c>
      <c r="Z72" s="78" t="s">
        <v>10</v>
      </c>
      <c r="AA72" s="78" t="s">
        <v>10</v>
      </c>
      <c r="AB72" s="78" t="s">
        <v>10</v>
      </c>
      <c r="AC72" s="78" t="s">
        <v>10</v>
      </c>
      <c r="AD72" s="78" t="s">
        <v>10</v>
      </c>
      <c r="AE72" s="78" t="s">
        <v>10</v>
      </c>
      <c r="AF72" s="78" t="s">
        <v>10</v>
      </c>
      <c r="AG72" s="78">
        <v>2.3E-2</v>
      </c>
    </row>
    <row r="73" spans="1:33">
      <c r="A73" s="131" t="s">
        <v>55</v>
      </c>
      <c r="B73" s="98" t="s">
        <v>34</v>
      </c>
      <c r="C73" s="98" t="s">
        <v>34</v>
      </c>
      <c r="D73" s="98" t="s">
        <v>34</v>
      </c>
      <c r="E73" s="98" t="s">
        <v>34</v>
      </c>
      <c r="F73" s="98" t="s">
        <v>34</v>
      </c>
      <c r="G73" s="98" t="s">
        <v>34</v>
      </c>
      <c r="H73" s="98" t="s">
        <v>34</v>
      </c>
      <c r="I73" s="98" t="s">
        <v>10</v>
      </c>
      <c r="J73" s="98" t="s">
        <v>10</v>
      </c>
      <c r="K73" s="98" t="s">
        <v>10</v>
      </c>
      <c r="L73" s="98" t="s">
        <v>10</v>
      </c>
      <c r="M73" s="98" t="s">
        <v>10</v>
      </c>
      <c r="N73" s="78" t="s">
        <v>10</v>
      </c>
      <c r="O73" s="78" t="s">
        <v>10</v>
      </c>
      <c r="P73" s="78" t="s">
        <v>10</v>
      </c>
      <c r="Q73" s="78" t="s">
        <v>10</v>
      </c>
      <c r="R73" s="78" t="s">
        <v>10</v>
      </c>
      <c r="S73" s="78" t="s">
        <v>10</v>
      </c>
      <c r="T73" s="78" t="s">
        <v>10</v>
      </c>
      <c r="U73" s="78" t="s">
        <v>10</v>
      </c>
      <c r="V73" s="78" t="s">
        <v>10</v>
      </c>
      <c r="W73" s="78" t="s">
        <v>10</v>
      </c>
      <c r="X73" s="78" t="s">
        <v>10</v>
      </c>
      <c r="Y73" s="78" t="s">
        <v>10</v>
      </c>
      <c r="Z73" s="78" t="s">
        <v>10</v>
      </c>
      <c r="AA73" s="78" t="s">
        <v>10</v>
      </c>
      <c r="AB73" s="78" t="s">
        <v>10</v>
      </c>
      <c r="AC73" s="78" t="s">
        <v>10</v>
      </c>
      <c r="AD73" s="78" t="s">
        <v>10</v>
      </c>
      <c r="AE73" s="78" t="s">
        <v>10</v>
      </c>
      <c r="AF73" s="78" t="s">
        <v>10</v>
      </c>
      <c r="AG73" s="78" t="s">
        <v>10</v>
      </c>
    </row>
    <row r="74" spans="1:33">
      <c r="A74" s="131" t="s">
        <v>56</v>
      </c>
      <c r="B74" s="98" t="s">
        <v>34</v>
      </c>
      <c r="C74" s="98" t="s">
        <v>34</v>
      </c>
      <c r="D74" s="98" t="s">
        <v>34</v>
      </c>
      <c r="E74" s="98" t="s">
        <v>34</v>
      </c>
      <c r="F74" s="98" t="s">
        <v>34</v>
      </c>
      <c r="G74" s="98" t="s">
        <v>34</v>
      </c>
      <c r="H74" s="98" t="s">
        <v>34</v>
      </c>
      <c r="I74" s="98">
        <v>7.0000000000000007E-2</v>
      </c>
      <c r="J74" s="98">
        <v>0.2</v>
      </c>
      <c r="K74" s="98" t="s">
        <v>10</v>
      </c>
      <c r="L74" s="98" t="s">
        <v>10</v>
      </c>
      <c r="M74" s="98" t="s">
        <v>10</v>
      </c>
      <c r="N74" s="78" t="s">
        <v>10</v>
      </c>
      <c r="O74" s="78" t="s">
        <v>10</v>
      </c>
      <c r="P74" s="78" t="s">
        <v>10</v>
      </c>
      <c r="Q74" s="78" t="s">
        <v>10</v>
      </c>
      <c r="R74" s="78" t="s">
        <v>10</v>
      </c>
      <c r="S74" s="78" t="s">
        <v>10</v>
      </c>
      <c r="T74" s="78" t="s">
        <v>10</v>
      </c>
      <c r="U74" s="78" t="s">
        <v>10</v>
      </c>
      <c r="V74" s="78" t="s">
        <v>10</v>
      </c>
      <c r="W74" s="78" t="s">
        <v>10</v>
      </c>
      <c r="X74" s="78" t="s">
        <v>10</v>
      </c>
      <c r="Y74" s="78" t="s">
        <v>10</v>
      </c>
      <c r="Z74" s="78" t="s">
        <v>10</v>
      </c>
      <c r="AA74" s="78" t="s">
        <v>10</v>
      </c>
      <c r="AB74" s="78">
        <v>0.04</v>
      </c>
      <c r="AC74" s="78">
        <v>0.188</v>
      </c>
      <c r="AD74" s="78">
        <v>0.23</v>
      </c>
      <c r="AE74" s="78">
        <v>0.71199999999999997</v>
      </c>
      <c r="AF74" s="78">
        <v>0.14630000000000001</v>
      </c>
      <c r="AG74" s="78">
        <v>0.02</v>
      </c>
    </row>
    <row r="75" spans="1:33">
      <c r="A75" s="131" t="s">
        <v>57</v>
      </c>
      <c r="B75" s="98" t="s">
        <v>34</v>
      </c>
      <c r="C75" s="98" t="s">
        <v>34</v>
      </c>
      <c r="D75" s="98" t="s">
        <v>34</v>
      </c>
      <c r="E75" s="98" t="s">
        <v>34</v>
      </c>
      <c r="F75" s="98" t="s">
        <v>34</v>
      </c>
      <c r="G75" s="98" t="s">
        <v>34</v>
      </c>
      <c r="H75" s="98" t="s">
        <v>34</v>
      </c>
      <c r="I75" s="98">
        <v>6.2E-2</v>
      </c>
      <c r="J75" s="98">
        <v>8.9999999999999993E-3</v>
      </c>
      <c r="K75" s="98">
        <v>0.114</v>
      </c>
      <c r="L75" s="98">
        <v>4.9000000000000002E-2</v>
      </c>
      <c r="M75" s="98">
        <v>1.2555000000000001</v>
      </c>
      <c r="N75" s="78">
        <v>1.3460000000000001</v>
      </c>
      <c r="O75" s="78">
        <v>0.26780000000000004</v>
      </c>
      <c r="P75" s="78">
        <v>0.27700000000000002</v>
      </c>
      <c r="Q75" s="78">
        <v>0.218</v>
      </c>
      <c r="R75" s="78">
        <v>3.7999999999999999E-2</v>
      </c>
      <c r="S75" s="78" t="s">
        <v>10</v>
      </c>
      <c r="T75" s="78">
        <v>2.5000000000000001E-2</v>
      </c>
      <c r="U75" s="78">
        <v>0.11600000000000001</v>
      </c>
      <c r="V75" s="78">
        <v>0.13</v>
      </c>
      <c r="W75" s="78">
        <v>2.1999999999999999E-2</v>
      </c>
      <c r="X75" s="78">
        <v>0.01</v>
      </c>
      <c r="Y75" s="78">
        <v>0.11650000000000001</v>
      </c>
      <c r="Z75" s="78">
        <v>0.27600000000000002</v>
      </c>
      <c r="AA75" s="78">
        <v>0.21959999999999999</v>
      </c>
      <c r="AB75" s="78">
        <v>0.21059999999999998</v>
      </c>
      <c r="AC75" s="78">
        <v>9.4E-2</v>
      </c>
      <c r="AD75" s="78">
        <v>0.746</v>
      </c>
      <c r="AE75" s="78">
        <v>3.3519000000000001</v>
      </c>
      <c r="AF75" s="78">
        <v>4.0195699999999999</v>
      </c>
      <c r="AG75" s="78">
        <v>6.1444600000000005</v>
      </c>
    </row>
    <row r="76" spans="1:33">
      <c r="A76" s="132" t="s">
        <v>58</v>
      </c>
      <c r="B76" s="108" t="s">
        <v>34</v>
      </c>
      <c r="C76" s="108" t="s">
        <v>34</v>
      </c>
      <c r="D76" s="108" t="s">
        <v>34</v>
      </c>
      <c r="E76" s="108" t="s">
        <v>34</v>
      </c>
      <c r="F76" s="108" t="s">
        <v>34</v>
      </c>
      <c r="G76" s="108" t="s">
        <v>34</v>
      </c>
      <c r="H76" s="108" t="s">
        <v>34</v>
      </c>
      <c r="I76" s="108" t="s">
        <v>10</v>
      </c>
      <c r="J76" s="108" t="s">
        <v>10</v>
      </c>
      <c r="K76" s="108" t="s">
        <v>10</v>
      </c>
      <c r="L76" s="108" t="s">
        <v>10</v>
      </c>
      <c r="M76" s="108" t="s">
        <v>10</v>
      </c>
      <c r="N76" s="97" t="s">
        <v>10</v>
      </c>
      <c r="O76" s="97" t="s">
        <v>10</v>
      </c>
      <c r="P76" s="97" t="s">
        <v>10</v>
      </c>
      <c r="Q76" s="97" t="s">
        <v>10</v>
      </c>
      <c r="R76" s="97">
        <v>3.9899999999999998E-2</v>
      </c>
      <c r="S76" s="97">
        <v>3.6899999999999995E-2</v>
      </c>
      <c r="T76" s="97" t="s">
        <v>10</v>
      </c>
      <c r="U76" s="97" t="s">
        <v>10</v>
      </c>
      <c r="V76" s="97" t="s">
        <v>10</v>
      </c>
      <c r="W76" s="97" t="s">
        <v>10</v>
      </c>
      <c r="X76" s="97" t="s">
        <v>10</v>
      </c>
      <c r="Y76" s="97" t="s">
        <v>10</v>
      </c>
      <c r="Z76" s="97">
        <v>0.08</v>
      </c>
      <c r="AA76" s="97">
        <v>1.7999999999999999E-2</v>
      </c>
      <c r="AB76" s="97">
        <v>0.13</v>
      </c>
      <c r="AC76" s="97">
        <v>0.93899999999999995</v>
      </c>
      <c r="AD76" s="97">
        <v>3.0863</v>
      </c>
      <c r="AE76" s="97">
        <v>0.77900000000000003</v>
      </c>
      <c r="AF76" s="97">
        <v>1.415</v>
      </c>
      <c r="AG76" s="97">
        <v>1.1220000000000001</v>
      </c>
    </row>
    <row r="77" spans="1:33">
      <c r="A77" s="93"/>
      <c r="B77" s="102"/>
      <c r="C77" s="102"/>
      <c r="D77" s="102"/>
      <c r="E77" s="102"/>
      <c r="F77" s="102"/>
      <c r="G77" s="102"/>
      <c r="I77" s="98"/>
      <c r="J77" s="98"/>
      <c r="K77" s="98"/>
      <c r="L77" s="98"/>
      <c r="M77" s="98"/>
      <c r="N77" s="98"/>
      <c r="O77" s="98"/>
      <c r="P77" s="98"/>
      <c r="Q77" s="105"/>
      <c r="S77" s="105"/>
      <c r="T77" s="133"/>
    </row>
    <row r="78" spans="1:33">
      <c r="A78" s="76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5"/>
      <c r="R78" s="102"/>
      <c r="S78" s="102"/>
      <c r="T78" s="102"/>
      <c r="Z78" s="96"/>
      <c r="AA78" s="96"/>
      <c r="AB78" s="96"/>
      <c r="AC78" s="96"/>
      <c r="AD78" s="96"/>
      <c r="AE78" s="96"/>
      <c r="AF78" s="96"/>
      <c r="AG78" s="96"/>
    </row>
    <row r="79" spans="1:33">
      <c r="A79" s="76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</row>
    <row r="80" spans="1:33">
      <c r="A80" s="76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</row>
    <row r="81" spans="1:33">
      <c r="A81" s="76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1:33" ht="12.75" customHeight="1">
      <c r="A82" s="151" t="s">
        <v>3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</row>
    <row r="83" spans="1:33" ht="12.75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</row>
    <row r="84" spans="1:33" s="91" customFormat="1">
      <c r="A84" s="90"/>
      <c r="B84" s="90">
        <v>1990</v>
      </c>
      <c r="C84" s="90">
        <v>1991</v>
      </c>
      <c r="D84" s="90">
        <v>1992</v>
      </c>
      <c r="E84" s="90">
        <v>1993</v>
      </c>
      <c r="F84" s="90">
        <v>1994</v>
      </c>
      <c r="G84" s="90">
        <v>1995</v>
      </c>
      <c r="H84" s="90">
        <v>1996</v>
      </c>
      <c r="I84" s="90">
        <v>1997</v>
      </c>
      <c r="J84" s="90">
        <v>1998</v>
      </c>
      <c r="K84" s="90">
        <v>1999</v>
      </c>
      <c r="L84" s="90">
        <v>2000</v>
      </c>
      <c r="M84" s="90">
        <v>2001</v>
      </c>
      <c r="N84" s="90">
        <v>2002</v>
      </c>
      <c r="O84" s="90">
        <v>2003</v>
      </c>
      <c r="P84" s="90">
        <v>2004</v>
      </c>
      <c r="Q84" s="90">
        <v>2005</v>
      </c>
      <c r="R84" s="90">
        <v>2006</v>
      </c>
      <c r="S84" s="90">
        <v>2007</v>
      </c>
      <c r="T84" s="90">
        <v>2008</v>
      </c>
      <c r="U84" s="90">
        <v>2009</v>
      </c>
      <c r="V84" s="90">
        <v>2010</v>
      </c>
      <c r="W84" s="90">
        <v>2011</v>
      </c>
      <c r="X84" s="90">
        <v>2012</v>
      </c>
      <c r="Y84" s="90">
        <v>2013</v>
      </c>
      <c r="Z84" s="90">
        <v>2014</v>
      </c>
      <c r="AA84" s="90">
        <v>2015</v>
      </c>
      <c r="AB84" s="90">
        <v>2016</v>
      </c>
      <c r="AC84" s="90">
        <v>2017</v>
      </c>
      <c r="AD84" s="90">
        <v>2018</v>
      </c>
      <c r="AE84" s="90">
        <v>2019</v>
      </c>
      <c r="AF84" s="90">
        <v>2020</v>
      </c>
      <c r="AG84" s="90">
        <v>2021</v>
      </c>
    </row>
    <row r="85" spans="1:33" ht="21" customHeight="1">
      <c r="A85" s="134" t="s">
        <v>85</v>
      </c>
      <c r="B85" s="98">
        <v>94.8</v>
      </c>
      <c r="C85" s="98">
        <v>97.4</v>
      </c>
      <c r="D85" s="98">
        <v>112.2</v>
      </c>
      <c r="E85" s="98">
        <v>117.5</v>
      </c>
      <c r="F85" s="98">
        <v>126.2</v>
      </c>
      <c r="G85" s="98">
        <v>163</v>
      </c>
      <c r="H85" s="98">
        <v>163.80000000000001</v>
      </c>
      <c r="I85" s="98">
        <v>113.827</v>
      </c>
      <c r="J85" s="98">
        <v>131.92599999999999</v>
      </c>
      <c r="K85" s="98">
        <v>162.04599999999999</v>
      </c>
      <c r="L85" s="98">
        <v>190.24250000000001</v>
      </c>
      <c r="M85" s="98">
        <v>144.036</v>
      </c>
      <c r="N85" s="98">
        <v>209.54070000000002</v>
      </c>
      <c r="O85" s="98">
        <v>272.46629999999999</v>
      </c>
      <c r="P85" s="98">
        <v>280.3707</v>
      </c>
      <c r="Q85" s="105">
        <v>264.60000000000002</v>
      </c>
      <c r="R85" s="98">
        <v>265.7</v>
      </c>
      <c r="S85" s="105">
        <v>183.9</v>
      </c>
      <c r="T85" s="105">
        <v>266.5</v>
      </c>
      <c r="U85" s="78">
        <v>348.5</v>
      </c>
      <c r="V85" s="78">
        <v>364.7</v>
      </c>
      <c r="W85" s="78">
        <v>401.7</v>
      </c>
      <c r="X85" s="78">
        <v>360.28750000000002</v>
      </c>
      <c r="Y85" s="78">
        <v>384.4</v>
      </c>
      <c r="Z85" s="78">
        <v>379.5</v>
      </c>
      <c r="AA85" s="78">
        <v>347</v>
      </c>
      <c r="AB85" s="78">
        <v>394.2</v>
      </c>
      <c r="AC85" s="78">
        <v>399.4</v>
      </c>
      <c r="AD85" s="78">
        <v>413.76434</v>
      </c>
      <c r="AE85" s="78">
        <v>445.35302000000001</v>
      </c>
      <c r="AF85" s="78">
        <v>423.93440000000004</v>
      </c>
      <c r="AG85" s="78">
        <v>462.30940000000004</v>
      </c>
    </row>
    <row r="86" spans="1:33" ht="14.25" customHeight="1">
      <c r="A86" s="76" t="s">
        <v>40</v>
      </c>
      <c r="B86" s="98" t="s">
        <v>34</v>
      </c>
      <c r="C86" s="98" t="s">
        <v>34</v>
      </c>
      <c r="D86" s="98" t="s">
        <v>34</v>
      </c>
      <c r="E86" s="98" t="s">
        <v>34</v>
      </c>
      <c r="F86" s="98" t="s">
        <v>34</v>
      </c>
      <c r="G86" s="98" t="s">
        <v>34</v>
      </c>
      <c r="H86" s="98" t="s">
        <v>34</v>
      </c>
      <c r="I86" s="98">
        <v>3.0939999999999999</v>
      </c>
      <c r="J86" s="78">
        <v>1.964</v>
      </c>
      <c r="K86" s="78">
        <v>1.514</v>
      </c>
      <c r="L86" s="78">
        <v>1.35</v>
      </c>
      <c r="M86" s="78">
        <v>0.77</v>
      </c>
      <c r="N86" s="78">
        <v>1.091</v>
      </c>
      <c r="O86" s="78">
        <v>1.3725000000000001</v>
      </c>
      <c r="P86" s="78">
        <v>1.0189999999999999</v>
      </c>
      <c r="Q86" s="78">
        <v>1.2443</v>
      </c>
      <c r="R86" s="78">
        <v>1.3580999999999999</v>
      </c>
      <c r="S86" s="78">
        <v>0.72150000000000003</v>
      </c>
      <c r="T86" s="78">
        <v>0.83110000000000006</v>
      </c>
      <c r="U86" s="78">
        <v>1.3383</v>
      </c>
      <c r="V86" s="78">
        <v>1.6465999999999998</v>
      </c>
      <c r="W86" s="78">
        <v>0.62439999999999996</v>
      </c>
      <c r="X86" s="78">
        <v>1.6870000000000001</v>
      </c>
      <c r="Y86" s="78">
        <v>0.59279999999999999</v>
      </c>
      <c r="Z86" s="78">
        <v>0.77500000000000002</v>
      </c>
      <c r="AA86" s="78">
        <v>1.0383</v>
      </c>
      <c r="AB86" s="80">
        <f>513.1/1000</f>
        <v>0.5131</v>
      </c>
      <c r="AC86" s="80">
        <f>1437.3/1000</f>
        <v>1.4373</v>
      </c>
      <c r="AD86" s="80">
        <f>999/1000</f>
        <v>0.999</v>
      </c>
      <c r="AE86" s="80">
        <f>1047.8/1000</f>
        <v>1.0478000000000001</v>
      </c>
      <c r="AF86" s="80">
        <f>1267.8/1000</f>
        <v>1.2678</v>
      </c>
      <c r="AG86" s="80">
        <f>828.7/1000</f>
        <v>0.82869999999999999</v>
      </c>
    </row>
    <row r="87" spans="1:33">
      <c r="A87" s="76" t="s">
        <v>41</v>
      </c>
      <c r="B87" s="98" t="s">
        <v>34</v>
      </c>
      <c r="C87" s="98" t="s">
        <v>34</v>
      </c>
      <c r="D87" s="98" t="s">
        <v>34</v>
      </c>
      <c r="E87" s="98" t="s">
        <v>34</v>
      </c>
      <c r="F87" s="98" t="s">
        <v>34</v>
      </c>
      <c r="G87" s="98" t="s">
        <v>34</v>
      </c>
      <c r="H87" s="98" t="s">
        <v>34</v>
      </c>
      <c r="I87" s="98">
        <v>1.9830000000000001</v>
      </c>
      <c r="J87" s="78">
        <v>1.958</v>
      </c>
      <c r="K87" s="78">
        <v>1.2789999999999999</v>
      </c>
      <c r="L87" s="78">
        <v>1.1595</v>
      </c>
      <c r="M87" s="78">
        <v>1.2</v>
      </c>
      <c r="N87" s="78">
        <v>0.50009999999999999</v>
      </c>
      <c r="O87" s="78">
        <v>0.8004</v>
      </c>
      <c r="P87" s="78">
        <v>0.70099999999999996</v>
      </c>
      <c r="Q87" s="78">
        <v>0.34200000000000003</v>
      </c>
      <c r="R87" s="78">
        <v>2.0000000000000001E-4</v>
      </c>
      <c r="S87" s="78">
        <v>2.0000000000000001E-4</v>
      </c>
      <c r="T87" s="78">
        <v>0.1002</v>
      </c>
      <c r="U87" s="78">
        <v>2.0000000000000001E-4</v>
      </c>
      <c r="V87" s="78">
        <v>2.0000000000000001E-4</v>
      </c>
      <c r="W87" s="78">
        <v>9.2200000000000004E-2</v>
      </c>
      <c r="X87" s="78">
        <v>0.20419999999999999</v>
      </c>
      <c r="Y87" s="78">
        <v>0.20419999999999999</v>
      </c>
      <c r="Z87" s="78">
        <v>0.59920000000000007</v>
      </c>
      <c r="AA87" s="78">
        <v>0.37319999999999998</v>
      </c>
      <c r="AB87" s="80">
        <f>646/1000</f>
        <v>0.64600000000000002</v>
      </c>
      <c r="AC87" s="80">
        <f>761/1000</f>
        <v>0.76100000000000001</v>
      </c>
      <c r="AD87" s="80">
        <f>400/1000</f>
        <v>0.4</v>
      </c>
      <c r="AE87" s="80">
        <f>200/1000</f>
        <v>0.2</v>
      </c>
      <c r="AF87" s="80">
        <f>1392/1000</f>
        <v>1.3919999999999999</v>
      </c>
      <c r="AG87" s="80">
        <f>1687/1000</f>
        <v>1.6870000000000001</v>
      </c>
    </row>
    <row r="88" spans="1:33">
      <c r="A88" s="76" t="s">
        <v>42</v>
      </c>
      <c r="B88" s="98" t="s">
        <v>34</v>
      </c>
      <c r="C88" s="98" t="s">
        <v>34</v>
      </c>
      <c r="D88" s="98" t="s">
        <v>34</v>
      </c>
      <c r="E88" s="98" t="s">
        <v>34</v>
      </c>
      <c r="F88" s="98" t="s">
        <v>34</v>
      </c>
      <c r="G88" s="98" t="s">
        <v>34</v>
      </c>
      <c r="H88" s="98" t="s">
        <v>34</v>
      </c>
      <c r="I88" s="98" t="s">
        <v>10</v>
      </c>
      <c r="J88" s="98" t="s">
        <v>10</v>
      </c>
      <c r="K88" s="98" t="s">
        <v>10</v>
      </c>
      <c r="L88" s="98" t="s">
        <v>10</v>
      </c>
      <c r="M88" s="98" t="s">
        <v>10</v>
      </c>
      <c r="N88" s="98" t="s">
        <v>10</v>
      </c>
      <c r="O88" s="98" t="s">
        <v>10</v>
      </c>
      <c r="P88" s="98" t="s">
        <v>10</v>
      </c>
      <c r="Q88" s="98" t="s">
        <v>10</v>
      </c>
      <c r="R88" s="98" t="s">
        <v>10</v>
      </c>
      <c r="S88" s="98" t="s">
        <v>10</v>
      </c>
      <c r="T88" s="98" t="s">
        <v>10</v>
      </c>
      <c r="U88" s="98" t="s">
        <v>10</v>
      </c>
      <c r="V88" s="98" t="s">
        <v>10</v>
      </c>
      <c r="W88" s="98" t="s">
        <v>10</v>
      </c>
      <c r="X88" s="98" t="s">
        <v>10</v>
      </c>
      <c r="Y88" s="98" t="s">
        <v>10</v>
      </c>
      <c r="Z88" s="98" t="s">
        <v>10</v>
      </c>
      <c r="AA88" s="98" t="s">
        <v>10</v>
      </c>
      <c r="AB88" s="80" t="s">
        <v>10</v>
      </c>
      <c r="AC88" s="78" t="s">
        <v>10</v>
      </c>
      <c r="AD88" s="78" t="s">
        <v>10</v>
      </c>
      <c r="AE88" s="78" t="s">
        <v>10</v>
      </c>
      <c r="AF88" s="78" t="s">
        <v>10</v>
      </c>
      <c r="AG88" s="78" t="s">
        <v>10</v>
      </c>
    </row>
    <row r="89" spans="1:33">
      <c r="A89" s="76" t="s">
        <v>43</v>
      </c>
      <c r="B89" s="98" t="s">
        <v>34</v>
      </c>
      <c r="C89" s="98" t="s">
        <v>34</v>
      </c>
      <c r="D89" s="98" t="s">
        <v>34</v>
      </c>
      <c r="E89" s="98" t="s">
        <v>34</v>
      </c>
      <c r="F89" s="98" t="s">
        <v>34</v>
      </c>
      <c r="G89" s="98" t="s">
        <v>34</v>
      </c>
      <c r="H89" s="98" t="s">
        <v>34</v>
      </c>
      <c r="I89" s="98" t="s">
        <v>10</v>
      </c>
      <c r="J89" s="98" t="s">
        <v>10</v>
      </c>
      <c r="K89" s="98" t="s">
        <v>10</v>
      </c>
      <c r="L89" s="98" t="s">
        <v>10</v>
      </c>
      <c r="M89" s="98" t="s">
        <v>10</v>
      </c>
      <c r="N89" s="98" t="s">
        <v>10</v>
      </c>
      <c r="O89" s="98" t="s">
        <v>10</v>
      </c>
      <c r="P89" s="98" t="s">
        <v>10</v>
      </c>
      <c r="Q89" s="98" t="s">
        <v>10</v>
      </c>
      <c r="R89" s="98" t="s">
        <v>10</v>
      </c>
      <c r="S89" s="98" t="s">
        <v>10</v>
      </c>
      <c r="T89" s="98" t="s">
        <v>10</v>
      </c>
      <c r="U89" s="98" t="s">
        <v>10</v>
      </c>
      <c r="V89" s="98" t="s">
        <v>10</v>
      </c>
      <c r="W89" s="98" t="s">
        <v>10</v>
      </c>
      <c r="X89" s="98" t="s">
        <v>10</v>
      </c>
      <c r="Y89" s="98" t="s">
        <v>10</v>
      </c>
      <c r="Z89" s="98" t="s">
        <v>10</v>
      </c>
      <c r="AA89" s="98" t="s">
        <v>10</v>
      </c>
      <c r="AB89" s="80" t="s">
        <v>10</v>
      </c>
      <c r="AC89" s="78" t="s">
        <v>10</v>
      </c>
      <c r="AD89" s="78" t="s">
        <v>10</v>
      </c>
      <c r="AE89" s="78" t="s">
        <v>10</v>
      </c>
      <c r="AF89" s="78" t="s">
        <v>10</v>
      </c>
      <c r="AG89" s="78" t="s">
        <v>10</v>
      </c>
    </row>
    <row r="90" spans="1:33">
      <c r="A90" s="76" t="s">
        <v>44</v>
      </c>
      <c r="B90" s="98" t="s">
        <v>34</v>
      </c>
      <c r="C90" s="98" t="s">
        <v>34</v>
      </c>
      <c r="D90" s="98" t="s">
        <v>34</v>
      </c>
      <c r="E90" s="98" t="s">
        <v>34</v>
      </c>
      <c r="F90" s="98" t="s">
        <v>34</v>
      </c>
      <c r="G90" s="98" t="s">
        <v>34</v>
      </c>
      <c r="H90" s="98" t="s">
        <v>34</v>
      </c>
      <c r="I90" s="98">
        <v>0.3</v>
      </c>
      <c r="J90" s="78">
        <v>0.22</v>
      </c>
      <c r="K90" s="78">
        <v>0.1</v>
      </c>
      <c r="L90" s="78">
        <v>0.1</v>
      </c>
      <c r="M90" s="78">
        <v>0.1</v>
      </c>
      <c r="N90" s="78">
        <v>0.1</v>
      </c>
      <c r="O90" s="78">
        <v>0.1</v>
      </c>
      <c r="P90" s="78" t="s">
        <v>10</v>
      </c>
      <c r="Q90" s="78" t="s">
        <v>10</v>
      </c>
      <c r="R90" s="78" t="s">
        <v>10</v>
      </c>
      <c r="S90" s="78" t="s">
        <v>10</v>
      </c>
      <c r="T90" s="78" t="s">
        <v>10</v>
      </c>
      <c r="U90" s="78" t="s">
        <v>10</v>
      </c>
      <c r="V90" s="78" t="s">
        <v>10</v>
      </c>
      <c r="W90" s="78" t="s">
        <v>10</v>
      </c>
      <c r="X90" s="78" t="s">
        <v>10</v>
      </c>
      <c r="Y90" s="78" t="s">
        <v>10</v>
      </c>
      <c r="Z90" s="78" t="s">
        <v>10</v>
      </c>
      <c r="AA90" s="78" t="s">
        <v>10</v>
      </c>
      <c r="AB90" s="80" t="s">
        <v>10</v>
      </c>
      <c r="AC90" s="78" t="s">
        <v>10</v>
      </c>
      <c r="AD90" s="78" t="s">
        <v>10</v>
      </c>
      <c r="AE90" s="78" t="s">
        <v>10</v>
      </c>
      <c r="AF90" s="78" t="s">
        <v>10</v>
      </c>
      <c r="AG90" s="78" t="s">
        <v>10</v>
      </c>
    </row>
    <row r="91" spans="1:33">
      <c r="A91" s="76" t="s">
        <v>45</v>
      </c>
      <c r="B91" s="98" t="s">
        <v>34</v>
      </c>
      <c r="C91" s="98" t="s">
        <v>34</v>
      </c>
      <c r="D91" s="98" t="s">
        <v>34</v>
      </c>
      <c r="E91" s="98" t="s">
        <v>34</v>
      </c>
      <c r="F91" s="98" t="s">
        <v>34</v>
      </c>
      <c r="G91" s="98" t="s">
        <v>34</v>
      </c>
      <c r="H91" s="98" t="s">
        <v>34</v>
      </c>
      <c r="I91" s="98">
        <v>0.35</v>
      </c>
      <c r="J91" s="78">
        <v>0.1</v>
      </c>
      <c r="K91" s="78" t="s">
        <v>10</v>
      </c>
      <c r="L91" s="78">
        <v>0.56000000000000005</v>
      </c>
      <c r="M91" s="78">
        <v>0.129</v>
      </c>
      <c r="N91" s="78">
        <v>0.32900000000000001</v>
      </c>
      <c r="O91" s="78">
        <v>1.1000000000000001</v>
      </c>
      <c r="P91" s="78">
        <v>1.56</v>
      </c>
      <c r="Q91" s="78">
        <v>1.5</v>
      </c>
      <c r="R91" s="78">
        <v>0.2</v>
      </c>
      <c r="S91" s="78">
        <v>0.37</v>
      </c>
      <c r="T91" s="78">
        <v>1.0449999999999999</v>
      </c>
      <c r="U91" s="78">
        <v>1.91</v>
      </c>
      <c r="V91" s="78">
        <v>1.8680000000000001</v>
      </c>
      <c r="W91" s="78">
        <v>1.95</v>
      </c>
      <c r="X91" s="78">
        <v>1.95</v>
      </c>
      <c r="Y91" s="78">
        <v>1.97</v>
      </c>
      <c r="Z91" s="78">
        <v>1.8</v>
      </c>
      <c r="AA91" s="78">
        <v>1.7</v>
      </c>
      <c r="AB91" s="80">
        <f>850/1000</f>
        <v>0.85</v>
      </c>
      <c r="AC91" s="80">
        <f>920/1000</f>
        <v>0.92</v>
      </c>
      <c r="AD91" s="80">
        <f>470/1000</f>
        <v>0.47</v>
      </c>
      <c r="AE91" s="80">
        <f>1035/1000</f>
        <v>1.0349999999999999</v>
      </c>
      <c r="AF91" s="80">
        <f>885/1000</f>
        <v>0.88500000000000001</v>
      </c>
      <c r="AG91" s="80">
        <f>885/1000</f>
        <v>0.88500000000000001</v>
      </c>
    </row>
    <row r="92" spans="1:33">
      <c r="A92" s="103" t="s">
        <v>46</v>
      </c>
      <c r="B92" s="98" t="s">
        <v>34</v>
      </c>
      <c r="C92" s="98" t="s">
        <v>34</v>
      </c>
      <c r="D92" s="98" t="s">
        <v>34</v>
      </c>
      <c r="E92" s="98" t="s">
        <v>34</v>
      </c>
      <c r="F92" s="98" t="s">
        <v>34</v>
      </c>
      <c r="G92" s="98" t="s">
        <v>34</v>
      </c>
      <c r="H92" s="98" t="s">
        <v>34</v>
      </c>
      <c r="I92" s="78">
        <v>3.7490000000000001</v>
      </c>
      <c r="J92" s="78">
        <v>3.1640000000000001</v>
      </c>
      <c r="K92" s="78">
        <v>2.8540000000000001</v>
      </c>
      <c r="L92" s="78">
        <v>2.3050000000000002</v>
      </c>
      <c r="M92" s="78">
        <v>1.1539999999999999</v>
      </c>
      <c r="N92" s="78">
        <v>1.339</v>
      </c>
      <c r="O92" s="78">
        <v>2.601</v>
      </c>
      <c r="P92" s="78">
        <v>3.7805</v>
      </c>
      <c r="Q92" s="78">
        <v>3.5449999999999999</v>
      </c>
      <c r="R92" s="78">
        <v>1.6185</v>
      </c>
      <c r="S92" s="78">
        <v>0.68</v>
      </c>
      <c r="T92" s="78">
        <v>3.2180999999999997</v>
      </c>
      <c r="U92" s="78">
        <v>6.335</v>
      </c>
      <c r="V92" s="78">
        <v>8.4413999999999998</v>
      </c>
      <c r="W92" s="78">
        <v>9.1097000000000001</v>
      </c>
      <c r="X92" s="78">
        <v>8.9613999999999994</v>
      </c>
      <c r="Y92" s="78">
        <v>7.6097999999999999</v>
      </c>
      <c r="Z92" s="78">
        <v>4.0516399999999999</v>
      </c>
      <c r="AA92" s="78">
        <v>2.8431999999999999</v>
      </c>
      <c r="AB92" s="80">
        <f>5533.7/1000</f>
        <v>5.5336999999999996</v>
      </c>
      <c r="AC92" s="80">
        <f>13230.7/1000</f>
        <v>13.230700000000001</v>
      </c>
      <c r="AD92" s="80">
        <f>13736.2/1000</f>
        <v>13.7362</v>
      </c>
      <c r="AE92" s="80">
        <f>17249.9/1000</f>
        <v>17.2499</v>
      </c>
      <c r="AF92" s="80">
        <f>17142.5/1000</f>
        <v>17.142499999999998</v>
      </c>
      <c r="AG92" s="80">
        <f>21360/1000</f>
        <v>21.36</v>
      </c>
    </row>
    <row r="93" spans="1:33">
      <c r="A93" s="76" t="s">
        <v>47</v>
      </c>
      <c r="B93" s="98" t="s">
        <v>34</v>
      </c>
      <c r="C93" s="98" t="s">
        <v>34</v>
      </c>
      <c r="D93" s="98" t="s">
        <v>34</v>
      </c>
      <c r="E93" s="98" t="s">
        <v>34</v>
      </c>
      <c r="F93" s="98" t="s">
        <v>34</v>
      </c>
      <c r="G93" s="98" t="s">
        <v>34</v>
      </c>
      <c r="H93" s="98" t="s">
        <v>34</v>
      </c>
      <c r="I93" s="98">
        <v>23.63</v>
      </c>
      <c r="J93" s="78">
        <v>23.3</v>
      </c>
      <c r="K93" s="78">
        <v>25.5</v>
      </c>
      <c r="L93" s="78">
        <v>34.44</v>
      </c>
      <c r="M93" s="78">
        <v>33.685499999999998</v>
      </c>
      <c r="N93" s="78">
        <v>45.19</v>
      </c>
      <c r="O93" s="78">
        <v>52.822600000000001</v>
      </c>
      <c r="P93" s="78">
        <v>58.975000000000001</v>
      </c>
      <c r="Q93" s="78">
        <v>52.211500000000001</v>
      </c>
      <c r="R93" s="78">
        <v>68.253</v>
      </c>
      <c r="S93" s="78">
        <v>42.460500000000003</v>
      </c>
      <c r="T93" s="78">
        <v>72.919600000000003</v>
      </c>
      <c r="U93" s="78">
        <v>92.576999999999998</v>
      </c>
      <c r="V93" s="78">
        <v>103.8481</v>
      </c>
      <c r="W93" s="78">
        <v>114.0686</v>
      </c>
      <c r="X93" s="78">
        <v>98.139399999999995</v>
      </c>
      <c r="Y93" s="78">
        <v>110.3959</v>
      </c>
      <c r="Z93" s="78">
        <v>109.87310000000001</v>
      </c>
      <c r="AA93" s="78">
        <v>97.259600000000006</v>
      </c>
      <c r="AB93" s="80">
        <f>121693.9/1000</f>
        <v>121.6939</v>
      </c>
      <c r="AC93" s="80">
        <f>117466.6/1000</f>
        <v>117.4666</v>
      </c>
      <c r="AD93" s="80">
        <f>119638.9/1000</f>
        <v>119.63889999999999</v>
      </c>
      <c r="AE93" s="80">
        <f>122382.66/1000</f>
        <v>122.38266</v>
      </c>
      <c r="AF93" s="80">
        <f>123159.15/1000</f>
        <v>123.15915</v>
      </c>
      <c r="AG93" s="80">
        <f>138176.04/1000</f>
        <v>138.17604</v>
      </c>
    </row>
    <row r="94" spans="1:33">
      <c r="A94" s="76" t="s">
        <v>48</v>
      </c>
      <c r="B94" s="98" t="s">
        <v>34</v>
      </c>
      <c r="C94" s="98" t="s">
        <v>34</v>
      </c>
      <c r="D94" s="98" t="s">
        <v>34</v>
      </c>
      <c r="E94" s="98" t="s">
        <v>34</v>
      </c>
      <c r="F94" s="98" t="s">
        <v>34</v>
      </c>
      <c r="G94" s="98" t="s">
        <v>34</v>
      </c>
      <c r="H94" s="98" t="s">
        <v>34</v>
      </c>
      <c r="I94" s="98">
        <v>11.714</v>
      </c>
      <c r="J94" s="78">
        <v>17.245999999999999</v>
      </c>
      <c r="K94" s="78">
        <v>20.655000000000001</v>
      </c>
      <c r="L94" s="78">
        <v>20.326000000000001</v>
      </c>
      <c r="M94" s="78">
        <v>12.807</v>
      </c>
      <c r="N94" s="78">
        <v>18.11</v>
      </c>
      <c r="O94" s="78">
        <v>21.821999999999999</v>
      </c>
      <c r="P94" s="78">
        <v>22.215299999999999</v>
      </c>
      <c r="Q94" s="78">
        <v>23.579799999999999</v>
      </c>
      <c r="R94" s="78">
        <v>23.809799999999999</v>
      </c>
      <c r="S94" s="78">
        <v>14.5253</v>
      </c>
      <c r="T94" s="78">
        <v>22.257300000000001</v>
      </c>
      <c r="U94" s="78">
        <v>25.929200000000002</v>
      </c>
      <c r="V94" s="78">
        <v>28.667400000000001</v>
      </c>
      <c r="W94" s="78">
        <v>30.295400000000001</v>
      </c>
      <c r="X94" s="78">
        <v>26.487299999999998</v>
      </c>
      <c r="Y94" s="78">
        <v>26.5581</v>
      </c>
      <c r="Z94" s="78">
        <v>28.281200000000002</v>
      </c>
      <c r="AA94" s="78">
        <v>22.7789</v>
      </c>
      <c r="AB94" s="80">
        <f>25879.8/1000</f>
        <v>25.879799999999999</v>
      </c>
      <c r="AC94" s="80">
        <f>24675.8/1000</f>
        <v>24.675799999999999</v>
      </c>
      <c r="AD94" s="80">
        <f>27396/1000</f>
        <v>27.396000000000001</v>
      </c>
      <c r="AE94" s="80">
        <f>29524.9/1000</f>
        <v>29.524900000000002</v>
      </c>
      <c r="AF94" s="80">
        <f>29906.93/1000</f>
        <v>29.906929999999999</v>
      </c>
      <c r="AG94" s="80">
        <f>33778.65/1000</f>
        <v>33.778649999999999</v>
      </c>
    </row>
    <row r="95" spans="1:33">
      <c r="A95" s="76" t="s">
        <v>49</v>
      </c>
      <c r="B95" s="98" t="s">
        <v>34</v>
      </c>
      <c r="C95" s="98" t="s">
        <v>34</v>
      </c>
      <c r="D95" s="98" t="s">
        <v>34</v>
      </c>
      <c r="E95" s="98" t="s">
        <v>34</v>
      </c>
      <c r="F95" s="98" t="s">
        <v>34</v>
      </c>
      <c r="G95" s="98" t="s">
        <v>34</v>
      </c>
      <c r="H95" s="98" t="s">
        <v>34</v>
      </c>
      <c r="I95" s="98">
        <v>2.6760000000000002</v>
      </c>
      <c r="J95" s="78">
        <v>1.837</v>
      </c>
      <c r="K95" s="78">
        <v>1.94</v>
      </c>
      <c r="L95" s="78">
        <v>1.272</v>
      </c>
      <c r="M95" s="78">
        <v>1.02</v>
      </c>
      <c r="N95" s="78">
        <v>1.3149999999999999</v>
      </c>
      <c r="O95" s="78">
        <v>2.5339999999999998</v>
      </c>
      <c r="P95" s="78">
        <v>3.0289999999999999</v>
      </c>
      <c r="Q95" s="78">
        <v>2.5350000000000001</v>
      </c>
      <c r="R95" s="78">
        <v>2.6850000000000001</v>
      </c>
      <c r="S95" s="78">
        <v>2.931</v>
      </c>
      <c r="T95" s="78">
        <v>3.1930000000000001</v>
      </c>
      <c r="U95" s="78">
        <v>5.0910000000000002</v>
      </c>
      <c r="V95" s="78">
        <v>7.4889999999999999</v>
      </c>
      <c r="W95" s="78">
        <v>7.2510000000000003</v>
      </c>
      <c r="X95" s="78">
        <v>5.32</v>
      </c>
      <c r="Y95" s="78">
        <v>5.8630000000000004</v>
      </c>
      <c r="Z95" s="78">
        <v>7.8659799999999995</v>
      </c>
      <c r="AA95" s="78">
        <v>3.9009999999999998</v>
      </c>
      <c r="AB95" s="80">
        <f>5440/1000</f>
        <v>5.44</v>
      </c>
      <c r="AC95" s="80">
        <f>3993/1000</f>
        <v>3.9929999999999999</v>
      </c>
      <c r="AD95" s="80">
        <f>4510/1000</f>
        <v>4.51</v>
      </c>
      <c r="AE95" s="80">
        <f>5460/1000</f>
        <v>5.46</v>
      </c>
      <c r="AF95" s="80">
        <f>5730/1000</f>
        <v>5.73</v>
      </c>
      <c r="AG95" s="80">
        <f>6039/1000</f>
        <v>6.0389999999999997</v>
      </c>
    </row>
    <row r="96" spans="1:33">
      <c r="A96" s="76" t="s">
        <v>50</v>
      </c>
      <c r="B96" s="98" t="s">
        <v>34</v>
      </c>
      <c r="C96" s="98" t="s">
        <v>34</v>
      </c>
      <c r="D96" s="98" t="s">
        <v>34</v>
      </c>
      <c r="E96" s="98" t="s">
        <v>34</v>
      </c>
      <c r="F96" s="98" t="s">
        <v>34</v>
      </c>
      <c r="G96" s="98" t="s">
        <v>34</v>
      </c>
      <c r="H96" s="98" t="s">
        <v>34</v>
      </c>
      <c r="I96" s="98">
        <v>6.0999999999999999E-2</v>
      </c>
      <c r="J96" s="78" t="s">
        <v>10</v>
      </c>
      <c r="K96" s="78">
        <v>0.62</v>
      </c>
      <c r="L96" s="78">
        <v>1.135</v>
      </c>
      <c r="M96" s="78">
        <v>1.7549999999999999</v>
      </c>
      <c r="N96" s="78">
        <v>2.109</v>
      </c>
      <c r="O96" s="78">
        <v>2.9</v>
      </c>
      <c r="P96" s="78">
        <v>3.7650000000000001</v>
      </c>
      <c r="Q96" s="78">
        <v>3.4329999999999998</v>
      </c>
      <c r="R96" s="78">
        <v>2.3005999999999998</v>
      </c>
      <c r="S96" s="78">
        <v>2.5150000000000001</v>
      </c>
      <c r="T96" s="78">
        <v>4.5061999999999998</v>
      </c>
      <c r="U96" s="78">
        <v>4.0068999999999999</v>
      </c>
      <c r="V96" s="78">
        <v>2.9860000000000002</v>
      </c>
      <c r="W96" s="78">
        <v>3.504</v>
      </c>
      <c r="X96" s="78">
        <v>3.266</v>
      </c>
      <c r="Y96" s="78">
        <v>2.113</v>
      </c>
      <c r="Z96" s="78">
        <v>1.502</v>
      </c>
      <c r="AA96" s="78">
        <v>0.79600000000000004</v>
      </c>
      <c r="AB96" s="80">
        <f>1570/1000</f>
        <v>1.57</v>
      </c>
      <c r="AC96" s="80">
        <f>1466.5/1000</f>
        <v>1.4664999999999999</v>
      </c>
      <c r="AD96" s="80">
        <f>1949/1000</f>
        <v>1.9490000000000001</v>
      </c>
      <c r="AE96" s="80">
        <f>2645/1000</f>
        <v>2.645</v>
      </c>
      <c r="AF96" s="80">
        <f>1009/1000</f>
        <v>1.0089999999999999</v>
      </c>
      <c r="AG96" s="80">
        <f>1100/1000</f>
        <v>1.1000000000000001</v>
      </c>
    </row>
    <row r="97" spans="1:33">
      <c r="A97" s="76" t="s">
        <v>51</v>
      </c>
      <c r="B97" s="98" t="s">
        <v>34</v>
      </c>
      <c r="C97" s="98" t="s">
        <v>34</v>
      </c>
      <c r="D97" s="98" t="s">
        <v>34</v>
      </c>
      <c r="E97" s="98" t="s">
        <v>34</v>
      </c>
      <c r="F97" s="98" t="s">
        <v>34</v>
      </c>
      <c r="G97" s="98" t="s">
        <v>34</v>
      </c>
      <c r="H97" s="98" t="s">
        <v>34</v>
      </c>
      <c r="I97" s="98">
        <v>5.8369999999999997</v>
      </c>
      <c r="J97" s="78">
        <v>8.7449999999999992</v>
      </c>
      <c r="K97" s="78">
        <v>9.5069999999999997</v>
      </c>
      <c r="L97" s="78">
        <v>9.0239999999999991</v>
      </c>
      <c r="M97" s="78">
        <v>5.7065000000000001</v>
      </c>
      <c r="N97" s="78">
        <v>9.1684999999999999</v>
      </c>
      <c r="O97" s="78">
        <v>12.946</v>
      </c>
      <c r="P97" s="78">
        <v>12.316000000000001</v>
      </c>
      <c r="Q97" s="78">
        <v>15.442</v>
      </c>
      <c r="R97" s="78">
        <v>16.260999999999999</v>
      </c>
      <c r="S97" s="78">
        <v>13.52</v>
      </c>
      <c r="T97" s="78">
        <v>17.797999999999998</v>
      </c>
      <c r="U97" s="78">
        <v>19.805799999999998</v>
      </c>
      <c r="V97" s="78">
        <v>18.084299999999999</v>
      </c>
      <c r="W97" s="78">
        <v>18.63</v>
      </c>
      <c r="X97" s="78">
        <v>18.246700000000001</v>
      </c>
      <c r="Y97" s="78">
        <v>18.131799999999998</v>
      </c>
      <c r="Z97" s="78">
        <v>19.356660000000002</v>
      </c>
      <c r="AA97" s="78">
        <v>15.9527</v>
      </c>
      <c r="AB97" s="80">
        <f>18868.8/1000</f>
        <v>18.8688</v>
      </c>
      <c r="AC97" s="80">
        <f>20340.1/1000</f>
        <v>20.3401</v>
      </c>
      <c r="AD97" s="80">
        <f>19296.7/1000</f>
        <v>19.296700000000001</v>
      </c>
      <c r="AE97" s="80">
        <f>20315.6/1000</f>
        <v>20.3156</v>
      </c>
      <c r="AF97" s="80">
        <f>19586.22/1000</f>
        <v>19.586220000000001</v>
      </c>
      <c r="AG97" s="80">
        <f>21066.2/1000</f>
        <v>21.066200000000002</v>
      </c>
    </row>
    <row r="98" spans="1:33">
      <c r="A98" s="76" t="s">
        <v>52</v>
      </c>
      <c r="B98" s="98" t="s">
        <v>34</v>
      </c>
      <c r="C98" s="98" t="s">
        <v>34</v>
      </c>
      <c r="D98" s="98" t="s">
        <v>34</v>
      </c>
      <c r="E98" s="98" t="s">
        <v>34</v>
      </c>
      <c r="F98" s="98" t="s">
        <v>34</v>
      </c>
      <c r="G98" s="98" t="s">
        <v>34</v>
      </c>
      <c r="H98" s="98" t="s">
        <v>34</v>
      </c>
      <c r="I98" s="78">
        <v>5.5919999999999996</v>
      </c>
      <c r="J98" s="78">
        <v>7.9450000000000003</v>
      </c>
      <c r="K98" s="78">
        <v>8.7270000000000003</v>
      </c>
      <c r="L98" s="78">
        <v>9.5820000000000007</v>
      </c>
      <c r="M98" s="78">
        <v>6.3929999999999998</v>
      </c>
      <c r="N98" s="78">
        <v>13.845000000000001</v>
      </c>
      <c r="O98" s="78">
        <v>20.908999999999999</v>
      </c>
      <c r="P98" s="78">
        <v>16.440999999999999</v>
      </c>
      <c r="Q98" s="78">
        <v>16.984000000000002</v>
      </c>
      <c r="R98" s="78">
        <v>16.7333</v>
      </c>
      <c r="S98" s="78">
        <v>13.7746</v>
      </c>
      <c r="T98" s="78">
        <v>17.965400000000002</v>
      </c>
      <c r="U98" s="78">
        <v>23.358599999999999</v>
      </c>
      <c r="V98" s="78">
        <v>18.421900000000001</v>
      </c>
      <c r="W98" s="78">
        <v>22.991799999999998</v>
      </c>
      <c r="X98" s="78">
        <v>22.251099999999997</v>
      </c>
      <c r="Y98" s="78">
        <v>22.697500000000002</v>
      </c>
      <c r="Z98" s="78">
        <v>23.046389999999999</v>
      </c>
      <c r="AA98" s="78">
        <v>20.192700000000002</v>
      </c>
      <c r="AB98" s="80">
        <f>20163.9/1000</f>
        <v>20.163900000000002</v>
      </c>
      <c r="AC98" s="80">
        <f>19258.4/1000</f>
        <v>19.258400000000002</v>
      </c>
      <c r="AD98" s="80">
        <f>19122.63/1000</f>
        <v>19.122630000000001</v>
      </c>
      <c r="AE98" s="80">
        <f>19351/1000</f>
        <v>19.350999999999999</v>
      </c>
      <c r="AF98" s="80">
        <f>18123.5/1000</f>
        <v>18.1235</v>
      </c>
      <c r="AG98" s="80">
        <f>23931.88/1000</f>
        <v>23.93188</v>
      </c>
    </row>
    <row r="99" spans="1:33">
      <c r="A99" s="76" t="s">
        <v>53</v>
      </c>
      <c r="B99" s="98" t="s">
        <v>34</v>
      </c>
      <c r="C99" s="98" t="s">
        <v>34</v>
      </c>
      <c r="D99" s="98" t="s">
        <v>34</v>
      </c>
      <c r="E99" s="98" t="s">
        <v>34</v>
      </c>
      <c r="F99" s="98" t="s">
        <v>34</v>
      </c>
      <c r="G99" s="98" t="s">
        <v>34</v>
      </c>
      <c r="H99" s="98" t="s">
        <v>34</v>
      </c>
      <c r="I99" s="98">
        <v>8.2870000000000008</v>
      </c>
      <c r="J99" s="78">
        <v>9.4410000000000007</v>
      </c>
      <c r="K99" s="78">
        <v>8.2840000000000007</v>
      </c>
      <c r="L99" s="78">
        <v>11.019</v>
      </c>
      <c r="M99" s="78">
        <v>10.119</v>
      </c>
      <c r="N99" s="78">
        <v>12.329000000000001</v>
      </c>
      <c r="O99" s="78">
        <v>19.05</v>
      </c>
      <c r="P99" s="78">
        <v>19.268999999999998</v>
      </c>
      <c r="Q99" s="78">
        <v>20.411000000000001</v>
      </c>
      <c r="R99" s="78">
        <v>23.946900000000003</v>
      </c>
      <c r="S99" s="78">
        <v>13.215999999999999</v>
      </c>
      <c r="T99" s="78">
        <v>23.324000000000002</v>
      </c>
      <c r="U99" s="78">
        <v>35.612499999999997</v>
      </c>
      <c r="V99" s="78">
        <v>41.623199999999997</v>
      </c>
      <c r="W99" s="78">
        <v>45.527099999999997</v>
      </c>
      <c r="X99" s="78">
        <v>34.091000000000001</v>
      </c>
      <c r="Y99" s="78">
        <v>36</v>
      </c>
      <c r="Z99" s="78">
        <v>32.109160000000003</v>
      </c>
      <c r="AA99" s="78">
        <v>47.899300000000004</v>
      </c>
      <c r="AB99" s="80">
        <f>47748.8/1000</f>
        <v>47.748800000000003</v>
      </c>
      <c r="AC99" s="80">
        <f>51277.7/1000</f>
        <v>51.277699999999996</v>
      </c>
      <c r="AD99" s="80">
        <f>52063.71/1000</f>
        <v>52.06371</v>
      </c>
      <c r="AE99" s="80">
        <f>68856.66/1000</f>
        <v>68.856660000000005</v>
      </c>
      <c r="AF99" s="80">
        <f>58726.98/1000</f>
        <v>58.726980000000005</v>
      </c>
      <c r="AG99" s="80">
        <f>58039.59/1000</f>
        <v>58.039589999999997</v>
      </c>
    </row>
    <row r="100" spans="1:33">
      <c r="A100" s="76" t="s">
        <v>54</v>
      </c>
      <c r="B100" s="98" t="s">
        <v>34</v>
      </c>
      <c r="C100" s="98" t="s">
        <v>34</v>
      </c>
      <c r="D100" s="98" t="s">
        <v>34</v>
      </c>
      <c r="E100" s="98" t="s">
        <v>34</v>
      </c>
      <c r="F100" s="98" t="s">
        <v>34</v>
      </c>
      <c r="G100" s="98" t="s">
        <v>34</v>
      </c>
      <c r="H100" s="98" t="s">
        <v>34</v>
      </c>
      <c r="I100" s="78">
        <v>0.59299999999999997</v>
      </c>
      <c r="J100" s="78">
        <v>0.93700000000000006</v>
      </c>
      <c r="K100" s="78">
        <v>2.226</v>
      </c>
      <c r="L100" s="78">
        <v>2.677</v>
      </c>
      <c r="M100" s="78">
        <v>3.8479999999999999</v>
      </c>
      <c r="N100" s="78">
        <v>5.851</v>
      </c>
      <c r="O100" s="78">
        <v>6.0880000000000001</v>
      </c>
      <c r="P100" s="78">
        <v>7.1449999999999996</v>
      </c>
      <c r="Q100" s="78">
        <v>3.8407</v>
      </c>
      <c r="R100" s="78">
        <v>2.3273999999999999</v>
      </c>
      <c r="S100" s="78">
        <v>1.6509</v>
      </c>
      <c r="T100" s="78">
        <v>2.4609999999999999</v>
      </c>
      <c r="U100" s="78">
        <v>3.5369999999999999</v>
      </c>
      <c r="V100" s="78">
        <v>3.1930000000000001</v>
      </c>
      <c r="W100" s="78">
        <v>3.714</v>
      </c>
      <c r="X100" s="78">
        <v>3.77</v>
      </c>
      <c r="Y100" s="78">
        <v>3.0910000000000002</v>
      </c>
      <c r="Z100" s="78">
        <v>2.8769999999999998</v>
      </c>
      <c r="AA100" s="78">
        <v>3.0609999999999999</v>
      </c>
      <c r="AB100" s="80">
        <f>4008/1000</f>
        <v>4.008</v>
      </c>
      <c r="AC100" s="80">
        <f>3789/1000</f>
        <v>3.7890000000000001</v>
      </c>
      <c r="AD100" s="80">
        <f>4765/1000</f>
        <v>4.7649999999999997</v>
      </c>
      <c r="AE100" s="80">
        <f>3844/1000</f>
        <v>3.8439999999999999</v>
      </c>
      <c r="AF100" s="80">
        <f>4196/1000</f>
        <v>4.1959999999999997</v>
      </c>
      <c r="AG100" s="80">
        <f>4507/1000</f>
        <v>4.5069999999999997</v>
      </c>
    </row>
    <row r="101" spans="1:33">
      <c r="A101" s="103" t="s">
        <v>55</v>
      </c>
      <c r="B101" s="98" t="s">
        <v>34</v>
      </c>
      <c r="C101" s="98" t="s">
        <v>34</v>
      </c>
      <c r="D101" s="98" t="s">
        <v>34</v>
      </c>
      <c r="E101" s="98" t="s">
        <v>34</v>
      </c>
      <c r="F101" s="98" t="s">
        <v>34</v>
      </c>
      <c r="G101" s="98" t="s">
        <v>34</v>
      </c>
      <c r="H101" s="98" t="s">
        <v>34</v>
      </c>
      <c r="I101" s="105" t="s">
        <v>10</v>
      </c>
      <c r="J101" s="105" t="s">
        <v>10</v>
      </c>
      <c r="K101" s="105" t="s">
        <v>10</v>
      </c>
      <c r="L101" s="78">
        <v>0.14199999999999999</v>
      </c>
      <c r="M101" s="78">
        <v>0.14499999999999999</v>
      </c>
      <c r="N101" s="78">
        <v>7.0000000000000007E-2</v>
      </c>
      <c r="O101" s="78">
        <v>0.44500000000000001</v>
      </c>
      <c r="P101" s="78">
        <v>0.11</v>
      </c>
      <c r="Q101" s="78">
        <v>0.05</v>
      </c>
      <c r="R101" s="96">
        <v>0.27500000000000002</v>
      </c>
      <c r="S101" s="96">
        <v>0.03</v>
      </c>
      <c r="T101" s="96">
        <v>0.02</v>
      </c>
      <c r="U101" s="96">
        <v>0.38900000000000001</v>
      </c>
      <c r="V101" s="96">
        <v>0.15</v>
      </c>
      <c r="W101" s="96">
        <v>0.252</v>
      </c>
      <c r="X101" s="96">
        <v>0.16</v>
      </c>
      <c r="Y101" s="96">
        <v>0.2</v>
      </c>
      <c r="Z101" s="96">
        <v>0.17</v>
      </c>
      <c r="AA101" s="96">
        <v>0.05</v>
      </c>
      <c r="AB101" s="80">
        <f>676/1000</f>
        <v>0.67600000000000005</v>
      </c>
      <c r="AC101" s="80">
        <f>704/1000</f>
        <v>0.70399999999999996</v>
      </c>
      <c r="AD101" s="80">
        <f>200/1000</f>
        <v>0.2</v>
      </c>
      <c r="AE101" s="80">
        <f>30/1000</f>
        <v>0.03</v>
      </c>
      <c r="AF101" s="80">
        <f>3/1000</f>
        <v>3.0000000000000001E-3</v>
      </c>
      <c r="AG101" s="80" t="s">
        <v>10</v>
      </c>
    </row>
    <row r="102" spans="1:33">
      <c r="A102" s="76" t="s">
        <v>56</v>
      </c>
      <c r="B102" s="98" t="s">
        <v>34</v>
      </c>
      <c r="C102" s="98" t="s">
        <v>34</v>
      </c>
      <c r="D102" s="98" t="s">
        <v>34</v>
      </c>
      <c r="E102" s="98" t="s">
        <v>34</v>
      </c>
      <c r="F102" s="98" t="s">
        <v>34</v>
      </c>
      <c r="G102" s="98" t="s">
        <v>34</v>
      </c>
      <c r="H102" s="98" t="s">
        <v>34</v>
      </c>
      <c r="I102" s="98">
        <v>11.48</v>
      </c>
      <c r="J102" s="78">
        <v>11.7</v>
      </c>
      <c r="K102" s="78">
        <v>11.5</v>
      </c>
      <c r="L102" s="78">
        <v>16</v>
      </c>
      <c r="M102" s="78">
        <v>10.019</v>
      </c>
      <c r="N102" s="78">
        <v>9.516</v>
      </c>
      <c r="O102" s="78">
        <v>12.115</v>
      </c>
      <c r="P102" s="78">
        <v>13.13</v>
      </c>
      <c r="Q102" s="78">
        <v>14.849</v>
      </c>
      <c r="R102" s="78">
        <v>15.899700000000001</v>
      </c>
      <c r="S102" s="78">
        <v>18.923099999999998</v>
      </c>
      <c r="T102" s="78">
        <v>22.151700000000002</v>
      </c>
      <c r="U102" s="78">
        <v>27.448700000000002</v>
      </c>
      <c r="V102" s="78">
        <v>25.3218</v>
      </c>
      <c r="W102" s="78">
        <v>27.401</v>
      </c>
      <c r="X102" s="78">
        <v>26.993099999999998</v>
      </c>
      <c r="Y102" s="78">
        <v>26.7456</v>
      </c>
      <c r="Z102" s="78">
        <v>30.617099999999997</v>
      </c>
      <c r="AA102" s="78">
        <v>26.3154</v>
      </c>
      <c r="AB102" s="80">
        <f>28426.6/1000</f>
        <v>28.426599999999997</v>
      </c>
      <c r="AC102" s="80">
        <f>26670.2/1000</f>
        <v>26.670200000000001</v>
      </c>
      <c r="AD102" s="80">
        <f>34363.1/1000</f>
        <v>34.363099999999996</v>
      </c>
      <c r="AE102" s="80">
        <f>35733.6/1000</f>
        <v>35.733599999999996</v>
      </c>
      <c r="AF102" s="80">
        <f>31623.7/1000</f>
        <v>31.623699999999999</v>
      </c>
      <c r="AG102" s="80">
        <f>31382.5/1000</f>
        <v>31.3825</v>
      </c>
    </row>
    <row r="103" spans="1:33">
      <c r="A103" s="76" t="s">
        <v>57</v>
      </c>
      <c r="B103" s="98" t="s">
        <v>34</v>
      </c>
      <c r="C103" s="98" t="s">
        <v>34</v>
      </c>
      <c r="D103" s="98" t="s">
        <v>34</v>
      </c>
      <c r="E103" s="98" t="s">
        <v>34</v>
      </c>
      <c r="F103" s="98" t="s">
        <v>34</v>
      </c>
      <c r="G103" s="98" t="s">
        <v>34</v>
      </c>
      <c r="H103" s="98" t="s">
        <v>34</v>
      </c>
      <c r="I103" s="98">
        <v>21.245000000000001</v>
      </c>
      <c r="J103" s="78">
        <v>21.295000000000002</v>
      </c>
      <c r="K103" s="78">
        <v>42.075000000000003</v>
      </c>
      <c r="L103" s="78">
        <v>53.738999999999997</v>
      </c>
      <c r="M103" s="78">
        <v>39.433</v>
      </c>
      <c r="N103" s="78">
        <v>63.113</v>
      </c>
      <c r="O103" s="78">
        <v>81.911799999999999</v>
      </c>
      <c r="P103" s="78">
        <v>88.794899999999998</v>
      </c>
      <c r="Q103" s="78">
        <v>72.857199999999992</v>
      </c>
      <c r="R103" s="78">
        <v>54.762800000000006</v>
      </c>
      <c r="S103" s="78">
        <v>27.9146</v>
      </c>
      <c r="T103" s="78">
        <v>39.383000000000003</v>
      </c>
      <c r="U103" s="78">
        <v>66.763499999999993</v>
      </c>
      <c r="V103" s="78">
        <v>66.683800000000005</v>
      </c>
      <c r="W103" s="78">
        <v>80.242999999999995</v>
      </c>
      <c r="X103" s="78">
        <v>72.708300000000008</v>
      </c>
      <c r="Y103" s="78">
        <v>81.70389999999999</v>
      </c>
      <c r="Z103" s="78">
        <v>78.621009999999998</v>
      </c>
      <c r="AA103" s="78">
        <v>67.767499999999998</v>
      </c>
      <c r="AB103" s="80">
        <f>71739/1000</f>
        <v>71.739000000000004</v>
      </c>
      <c r="AC103" s="80">
        <f>76699.8/1000</f>
        <v>76.699799999999996</v>
      </c>
      <c r="AD103" s="80">
        <f>75502.4/1000</f>
        <v>75.502399999999994</v>
      </c>
      <c r="AE103" s="80">
        <f>72005.3/1000</f>
        <v>72.005300000000005</v>
      </c>
      <c r="AF103" s="80">
        <f>68515.99/1000</f>
        <v>68.515990000000002</v>
      </c>
      <c r="AG103" s="80">
        <f>69395.52/1000</f>
        <v>69.395520000000005</v>
      </c>
    </row>
    <row r="104" spans="1:33">
      <c r="A104" s="104" t="s">
        <v>58</v>
      </c>
      <c r="B104" s="108" t="s">
        <v>34</v>
      </c>
      <c r="C104" s="108" t="s">
        <v>34</v>
      </c>
      <c r="D104" s="108" t="s">
        <v>34</v>
      </c>
      <c r="E104" s="108" t="s">
        <v>34</v>
      </c>
      <c r="F104" s="108" t="s">
        <v>34</v>
      </c>
      <c r="G104" s="108" t="s">
        <v>34</v>
      </c>
      <c r="H104" s="108" t="s">
        <v>34</v>
      </c>
      <c r="I104" s="97">
        <v>13.236000000000001</v>
      </c>
      <c r="J104" s="97">
        <v>22.074000000000002</v>
      </c>
      <c r="K104" s="97">
        <v>25.265000000000001</v>
      </c>
      <c r="L104" s="97">
        <v>25.411999999999999</v>
      </c>
      <c r="M104" s="97">
        <v>15.752000000000001</v>
      </c>
      <c r="N104" s="97">
        <v>25.565000000000001</v>
      </c>
      <c r="O104" s="97">
        <v>32.948999999999998</v>
      </c>
      <c r="P104" s="97">
        <v>28.12</v>
      </c>
      <c r="Q104" s="97">
        <v>31.8</v>
      </c>
      <c r="R104" s="97">
        <v>35.249000000000002</v>
      </c>
      <c r="S104" s="97">
        <v>30.58</v>
      </c>
      <c r="T104" s="97">
        <v>35.347000000000001</v>
      </c>
      <c r="U104" s="97">
        <v>34.418999999999997</v>
      </c>
      <c r="V104" s="97">
        <v>36.220999999999997</v>
      </c>
      <c r="W104" s="97">
        <v>36.015000000000001</v>
      </c>
      <c r="X104" s="97">
        <v>36.052</v>
      </c>
      <c r="Y104" s="97">
        <v>40.478999999999999</v>
      </c>
      <c r="Z104" s="97">
        <v>37.954980000000006</v>
      </c>
      <c r="AA104" s="97">
        <v>35.1111</v>
      </c>
      <c r="AB104" s="81">
        <f>40419/1000</f>
        <v>40.418999999999997</v>
      </c>
      <c r="AC104" s="81">
        <f>36686.2/1000</f>
        <v>36.686199999999999</v>
      </c>
      <c r="AD104" s="81">
        <f>39351.7/1000</f>
        <v>39.351699999999994</v>
      </c>
      <c r="AE104" s="81">
        <f>45671.6/1000</f>
        <v>45.671599999999998</v>
      </c>
      <c r="AF104" s="81">
        <f>42666.6/1000</f>
        <v>42.666599999999995</v>
      </c>
      <c r="AG104" s="81">
        <f>50132.29/1000</f>
        <v>50.132289999999998</v>
      </c>
    </row>
    <row r="105" spans="1:33"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O105" s="120"/>
    </row>
    <row r="106" spans="1:33"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O106" s="120"/>
    </row>
    <row r="107" spans="1:33" ht="12.75" customHeight="1">
      <c r="A107" s="151" t="s">
        <v>23</v>
      </c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</row>
    <row r="108" spans="1:33" ht="12.75" customHeight="1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</row>
    <row r="109" spans="1:33" s="91" customFormat="1">
      <c r="A109" s="90"/>
      <c r="B109" s="90">
        <v>1990</v>
      </c>
      <c r="C109" s="90">
        <v>1991</v>
      </c>
      <c r="D109" s="90">
        <v>1992</v>
      </c>
      <c r="E109" s="90">
        <v>1993</v>
      </c>
      <c r="F109" s="90">
        <v>1994</v>
      </c>
      <c r="G109" s="90">
        <v>1995</v>
      </c>
      <c r="H109" s="90">
        <v>1996</v>
      </c>
      <c r="I109" s="90">
        <v>1997</v>
      </c>
      <c r="J109" s="90">
        <v>1998</v>
      </c>
      <c r="K109" s="90">
        <v>1999</v>
      </c>
      <c r="L109" s="90">
        <v>2000</v>
      </c>
      <c r="M109" s="90">
        <v>2001</v>
      </c>
      <c r="N109" s="90">
        <v>2002</v>
      </c>
      <c r="O109" s="90">
        <v>2003</v>
      </c>
      <c r="P109" s="90">
        <v>2004</v>
      </c>
      <c r="Q109" s="90">
        <v>2005</v>
      </c>
      <c r="R109" s="90">
        <v>2006</v>
      </c>
      <c r="S109" s="90">
        <v>2007</v>
      </c>
      <c r="T109" s="90">
        <v>2008</v>
      </c>
      <c r="U109" s="90">
        <v>2009</v>
      </c>
      <c r="V109" s="90">
        <v>2010</v>
      </c>
      <c r="W109" s="90">
        <v>2011</v>
      </c>
      <c r="X109" s="90">
        <v>2012</v>
      </c>
      <c r="Y109" s="90">
        <v>2013</v>
      </c>
      <c r="Z109" s="90">
        <v>2014</v>
      </c>
      <c r="AA109" s="90">
        <v>2015</v>
      </c>
      <c r="AB109" s="90">
        <v>2016</v>
      </c>
      <c r="AC109" s="90">
        <v>2017</v>
      </c>
      <c r="AD109" s="90">
        <v>2018</v>
      </c>
      <c r="AE109" s="90">
        <v>2019</v>
      </c>
      <c r="AF109" s="90">
        <v>2020</v>
      </c>
      <c r="AG109" s="90">
        <v>2021</v>
      </c>
    </row>
    <row r="110" spans="1:33" ht="25.5" customHeight="1">
      <c r="A110" s="134" t="s">
        <v>85</v>
      </c>
      <c r="B110" s="102">
        <v>34.4</v>
      </c>
      <c r="C110" s="102">
        <v>36</v>
      </c>
      <c r="D110" s="102">
        <v>36</v>
      </c>
      <c r="E110" s="102">
        <v>37.1</v>
      </c>
      <c r="F110" s="102">
        <v>35.1</v>
      </c>
      <c r="G110" s="102">
        <v>32</v>
      </c>
      <c r="H110" s="102">
        <v>29.7</v>
      </c>
      <c r="I110" s="102">
        <v>24.2</v>
      </c>
      <c r="J110" s="102">
        <v>26.4</v>
      </c>
      <c r="K110" s="102">
        <v>25.9</v>
      </c>
      <c r="L110" s="102">
        <v>26.9</v>
      </c>
      <c r="M110" s="102">
        <v>27.5</v>
      </c>
      <c r="N110" s="102">
        <v>27.6</v>
      </c>
      <c r="O110" s="102">
        <v>27.1</v>
      </c>
      <c r="P110" s="105">
        <v>26.9</v>
      </c>
      <c r="Q110" s="105">
        <v>25.7</v>
      </c>
      <c r="R110" s="93">
        <v>20.2</v>
      </c>
      <c r="S110" s="98">
        <v>21.8</v>
      </c>
      <c r="T110" s="105">
        <v>21.2</v>
      </c>
      <c r="U110" s="78">
        <v>23.5</v>
      </c>
      <c r="V110" s="78">
        <v>24.2</v>
      </c>
      <c r="W110" s="78">
        <v>24.2</v>
      </c>
      <c r="X110" s="78">
        <v>23.6005</v>
      </c>
      <c r="Y110" s="78">
        <v>24</v>
      </c>
      <c r="Z110" s="78">
        <v>24.1</v>
      </c>
      <c r="AA110" s="78">
        <v>24.2</v>
      </c>
      <c r="AB110" s="78">
        <v>21.1</v>
      </c>
      <c r="AC110" s="78">
        <v>20.34244</v>
      </c>
      <c r="AD110" s="78">
        <v>19.95702</v>
      </c>
      <c r="AE110" s="78">
        <v>19.532169999999997</v>
      </c>
      <c r="AF110" s="78">
        <v>19.333599999999997</v>
      </c>
      <c r="AG110" s="78">
        <v>19.748200000000001</v>
      </c>
    </row>
    <row r="111" spans="1:33">
      <c r="A111" s="76" t="s">
        <v>40</v>
      </c>
      <c r="B111" s="98" t="s">
        <v>34</v>
      </c>
      <c r="C111" s="98" t="s">
        <v>34</v>
      </c>
      <c r="D111" s="98" t="s">
        <v>34</v>
      </c>
      <c r="E111" s="98" t="s">
        <v>34</v>
      </c>
      <c r="F111" s="98" t="s">
        <v>34</v>
      </c>
      <c r="G111" s="98" t="s">
        <v>34</v>
      </c>
      <c r="H111" s="98" t="s">
        <v>34</v>
      </c>
      <c r="I111" s="102">
        <v>5.41</v>
      </c>
      <c r="J111" s="102">
        <v>5.7830000000000004</v>
      </c>
      <c r="K111" s="102">
        <v>3.8780000000000001</v>
      </c>
      <c r="L111" s="102">
        <v>2.7749999999999999</v>
      </c>
      <c r="M111" s="102">
        <v>2.3704999999999998</v>
      </c>
      <c r="N111" s="102">
        <v>2.2601999999999998</v>
      </c>
      <c r="O111" s="102">
        <v>2.3001999999999998</v>
      </c>
      <c r="P111" s="98">
        <v>2.3815999999999997</v>
      </c>
      <c r="Q111" s="98">
        <v>2.3684000000000003</v>
      </c>
      <c r="R111" s="98">
        <v>1.4630000000000001</v>
      </c>
      <c r="S111" s="98">
        <v>1.4239000000000002</v>
      </c>
      <c r="T111" s="98">
        <v>1.5715999999999999</v>
      </c>
      <c r="U111" s="98">
        <v>1.6471</v>
      </c>
      <c r="V111" s="98">
        <v>1.556</v>
      </c>
      <c r="W111" s="98">
        <v>1.6157999999999999</v>
      </c>
      <c r="X111" s="98">
        <v>1.6677999999999999</v>
      </c>
      <c r="Y111" s="98">
        <v>1.6562999999999999</v>
      </c>
      <c r="Z111" s="98">
        <v>1.4229000000000001</v>
      </c>
      <c r="AA111" s="98">
        <v>1.6454000000000002</v>
      </c>
      <c r="AB111" s="80">
        <f>1544.3/1000</f>
        <v>1.5443</v>
      </c>
      <c r="AC111" s="80">
        <f>1447.8/1000</f>
        <v>1.4478</v>
      </c>
      <c r="AD111" s="80">
        <f>1434.5/1000</f>
        <v>1.4345000000000001</v>
      </c>
      <c r="AE111" s="80">
        <f>1437/1000</f>
        <v>1.4370000000000001</v>
      </c>
      <c r="AF111" s="80">
        <f>1453.5/1000</f>
        <v>1.4535</v>
      </c>
      <c r="AG111" s="80">
        <f>1459.8/1000</f>
        <v>1.4598</v>
      </c>
    </row>
    <row r="112" spans="1:33">
      <c r="A112" s="76" t="s">
        <v>41</v>
      </c>
      <c r="B112" s="98" t="s">
        <v>34</v>
      </c>
      <c r="C112" s="98" t="s">
        <v>34</v>
      </c>
      <c r="D112" s="98" t="s">
        <v>34</v>
      </c>
      <c r="E112" s="98" t="s">
        <v>34</v>
      </c>
      <c r="F112" s="98" t="s">
        <v>34</v>
      </c>
      <c r="G112" s="98" t="s">
        <v>34</v>
      </c>
      <c r="H112" s="98" t="s">
        <v>34</v>
      </c>
      <c r="I112" s="102">
        <v>3.4049999999999998</v>
      </c>
      <c r="J112" s="102">
        <v>3.4060000000000001</v>
      </c>
      <c r="K112" s="102">
        <v>3.2040000000000002</v>
      </c>
      <c r="L112" s="102">
        <v>3.4544999999999999</v>
      </c>
      <c r="M112" s="102">
        <v>3.4569999999999999</v>
      </c>
      <c r="N112" s="102">
        <v>3.48</v>
      </c>
      <c r="O112" s="102">
        <v>3.0089999999999999</v>
      </c>
      <c r="P112" s="98">
        <v>3.0179999999999998</v>
      </c>
      <c r="Q112" s="98">
        <v>3.0209000000000001</v>
      </c>
      <c r="R112" s="98">
        <v>2.4159999999999999</v>
      </c>
      <c r="S112" s="98">
        <v>2.4815</v>
      </c>
      <c r="T112" s="98">
        <v>2.5289000000000001</v>
      </c>
      <c r="U112" s="98">
        <v>3.0129999999999999</v>
      </c>
      <c r="V112" s="98">
        <v>3.2515000000000001</v>
      </c>
      <c r="W112" s="98">
        <v>3.2908000000000004</v>
      </c>
      <c r="X112" s="98">
        <v>3.3</v>
      </c>
      <c r="Y112" s="98">
        <v>3.3</v>
      </c>
      <c r="Z112" s="98">
        <v>3.3094999999999999</v>
      </c>
      <c r="AA112" s="98">
        <v>3.5489000000000002</v>
      </c>
      <c r="AB112" s="80">
        <f>3361.1/1000</f>
        <v>3.3611</v>
      </c>
      <c r="AC112" s="80">
        <f>3445.9/1000</f>
        <v>3.4459</v>
      </c>
      <c r="AD112" s="80">
        <f>3401.93/1000</f>
        <v>3.4019299999999997</v>
      </c>
      <c r="AE112" s="80">
        <f>3215/1000</f>
        <v>3.2149999999999999</v>
      </c>
      <c r="AF112" s="80">
        <f>3104.7/1000</f>
        <v>3.1046999999999998</v>
      </c>
      <c r="AG112" s="80">
        <f>3598.2/1000</f>
        <v>3.5981999999999998</v>
      </c>
    </row>
    <row r="113" spans="1:35">
      <c r="A113" s="76" t="s">
        <v>42</v>
      </c>
      <c r="B113" s="98" t="s">
        <v>34</v>
      </c>
      <c r="C113" s="98" t="s">
        <v>34</v>
      </c>
      <c r="D113" s="98" t="s">
        <v>34</v>
      </c>
      <c r="E113" s="98" t="s">
        <v>34</v>
      </c>
      <c r="F113" s="98" t="s">
        <v>34</v>
      </c>
      <c r="G113" s="98" t="s">
        <v>34</v>
      </c>
      <c r="H113" s="98" t="s">
        <v>34</v>
      </c>
      <c r="I113" s="102">
        <v>0.95899999999999996</v>
      </c>
      <c r="J113" s="102">
        <v>1.3540000000000001</v>
      </c>
      <c r="K113" s="102">
        <v>1.4</v>
      </c>
      <c r="L113" s="102">
        <v>1.45</v>
      </c>
      <c r="M113" s="102">
        <v>1.5</v>
      </c>
      <c r="N113" s="102">
        <v>1.6</v>
      </c>
      <c r="O113" s="102">
        <v>1.613</v>
      </c>
      <c r="P113" s="98">
        <v>1.6</v>
      </c>
      <c r="Q113" s="98">
        <v>1.639</v>
      </c>
      <c r="R113" s="98">
        <v>0.93859999999999999</v>
      </c>
      <c r="S113" s="98">
        <v>0.95</v>
      </c>
      <c r="T113" s="98">
        <v>0.93200000000000005</v>
      </c>
      <c r="U113" s="98">
        <v>0.96479999999999999</v>
      </c>
      <c r="V113" s="98">
        <v>0.96479999999999999</v>
      </c>
      <c r="W113" s="98">
        <v>1</v>
      </c>
      <c r="X113" s="98">
        <v>1</v>
      </c>
      <c r="Y113" s="98">
        <v>1.1071</v>
      </c>
      <c r="Z113" s="98">
        <v>1.1155999999999999</v>
      </c>
      <c r="AA113" s="98">
        <v>1.175</v>
      </c>
      <c r="AB113" s="80">
        <f>1150/1000</f>
        <v>1.1499999999999999</v>
      </c>
      <c r="AC113" s="80">
        <f>1110/1000</f>
        <v>1.1100000000000001</v>
      </c>
      <c r="AD113" s="80">
        <f>1109.6/1000</f>
        <v>1.1095999999999999</v>
      </c>
      <c r="AE113" s="80">
        <f>1078/1000</f>
        <v>1.0780000000000001</v>
      </c>
      <c r="AF113" s="80">
        <f>1113.5/1000</f>
        <v>1.1134999999999999</v>
      </c>
      <c r="AG113" s="102">
        <v>1.095</v>
      </c>
      <c r="AI113" s="80"/>
    </row>
    <row r="114" spans="1:35">
      <c r="A114" s="76" t="s">
        <v>43</v>
      </c>
      <c r="B114" s="98" t="s">
        <v>34</v>
      </c>
      <c r="C114" s="98" t="s">
        <v>34</v>
      </c>
      <c r="D114" s="98" t="s">
        <v>34</v>
      </c>
      <c r="E114" s="98" t="s">
        <v>34</v>
      </c>
      <c r="F114" s="98" t="s">
        <v>34</v>
      </c>
      <c r="G114" s="98" t="s">
        <v>34</v>
      </c>
      <c r="H114" s="98" t="s">
        <v>34</v>
      </c>
      <c r="I114" s="102">
        <v>0.21</v>
      </c>
      <c r="J114" s="102">
        <v>0.255</v>
      </c>
      <c r="K114" s="102">
        <v>0.188</v>
      </c>
      <c r="L114" s="102">
        <v>0.14499999999999999</v>
      </c>
      <c r="M114" s="102">
        <v>0.14599999999999999</v>
      </c>
      <c r="N114" s="102">
        <v>0.13700000000000001</v>
      </c>
      <c r="O114" s="102">
        <v>0.13900000000000001</v>
      </c>
      <c r="P114" s="98">
        <v>8.7999999999999995E-2</v>
      </c>
      <c r="Q114" s="98">
        <v>8.7999999999999995E-2</v>
      </c>
      <c r="R114" s="98">
        <v>0.1128</v>
      </c>
      <c r="S114" s="98">
        <v>6.5799999999999997E-2</v>
      </c>
      <c r="T114" s="98">
        <v>8.1599999999999992E-2</v>
      </c>
      <c r="U114" s="98">
        <v>8.5599999999999996E-2</v>
      </c>
      <c r="V114" s="98">
        <v>8.3599999999999994E-2</v>
      </c>
      <c r="W114" s="98">
        <v>8.3000000000000004E-2</v>
      </c>
      <c r="X114" s="98">
        <v>8.8999999999999996E-2</v>
      </c>
      <c r="Y114" s="98">
        <v>8.7999999999999995E-2</v>
      </c>
      <c r="Z114" s="98">
        <v>8.8510000000000005E-2</v>
      </c>
      <c r="AA114" s="98">
        <v>8.6499999999999994E-2</v>
      </c>
      <c r="AB114" s="80">
        <f>85.3/1000</f>
        <v>8.5300000000000001E-2</v>
      </c>
      <c r="AC114" s="80">
        <f>86.3/1000</f>
        <v>8.6300000000000002E-2</v>
      </c>
      <c r="AD114" s="80">
        <f>87.3/1000</f>
        <v>8.7300000000000003E-2</v>
      </c>
      <c r="AE114" s="80">
        <f>87.35/1000</f>
        <v>8.7349999999999997E-2</v>
      </c>
      <c r="AF114" s="80">
        <f>87.85/1000</f>
        <v>8.7849999999999998E-2</v>
      </c>
      <c r="AG114" s="102">
        <v>8.5900000000000004E-2</v>
      </c>
      <c r="AI114" s="80"/>
    </row>
    <row r="115" spans="1:35">
      <c r="A115" s="76" t="s">
        <v>44</v>
      </c>
      <c r="B115" s="98" t="s">
        <v>34</v>
      </c>
      <c r="C115" s="98" t="s">
        <v>34</v>
      </c>
      <c r="D115" s="98" t="s">
        <v>34</v>
      </c>
      <c r="E115" s="98" t="s">
        <v>34</v>
      </c>
      <c r="F115" s="98" t="s">
        <v>34</v>
      </c>
      <c r="G115" s="98" t="s">
        <v>34</v>
      </c>
      <c r="H115" s="98" t="s">
        <v>34</v>
      </c>
      <c r="I115" s="102">
        <v>0.06</v>
      </c>
      <c r="J115" s="102">
        <v>0.154</v>
      </c>
      <c r="K115" s="102">
        <v>9.1999999999999998E-2</v>
      </c>
      <c r="L115" s="102">
        <v>0.1</v>
      </c>
      <c r="M115" s="102">
        <v>0.2</v>
      </c>
      <c r="N115" s="102">
        <v>0.16800000000000001</v>
      </c>
      <c r="O115" s="102">
        <v>0.16800000000000001</v>
      </c>
      <c r="P115" s="98">
        <v>0.11700000000000001</v>
      </c>
      <c r="Q115" s="98">
        <v>9.5000000000000001E-2</v>
      </c>
      <c r="R115" s="98">
        <v>1.5599999999999999E-2</v>
      </c>
      <c r="S115" s="98">
        <v>1.7999999999999999E-2</v>
      </c>
      <c r="T115" s="98">
        <v>1.9100000000000002E-2</v>
      </c>
      <c r="U115" s="98">
        <v>0.111</v>
      </c>
      <c r="V115" s="98">
        <v>7.0000000000000007E-2</v>
      </c>
      <c r="W115" s="98">
        <v>7.1999999999999995E-2</v>
      </c>
      <c r="X115" s="98">
        <v>8.14E-2</v>
      </c>
      <c r="Y115" s="98">
        <v>6.2700000000000006E-2</v>
      </c>
      <c r="Z115" s="98">
        <v>6.0409999999999998E-2</v>
      </c>
      <c r="AA115" s="98">
        <v>6.08E-2</v>
      </c>
      <c r="AB115" s="80">
        <f>60.4/1000</f>
        <v>6.0399999999999995E-2</v>
      </c>
      <c r="AC115" s="80">
        <f>60/1000</f>
        <v>0.06</v>
      </c>
      <c r="AD115" s="80">
        <f>59.2/1000</f>
        <v>5.9200000000000003E-2</v>
      </c>
      <c r="AE115" s="80">
        <f>50.2/1000</f>
        <v>5.0200000000000002E-2</v>
      </c>
      <c r="AF115" s="80">
        <f>50.14/1000</f>
        <v>5.0140000000000004E-2</v>
      </c>
      <c r="AG115" s="102">
        <v>5.0630000000000001E-2</v>
      </c>
      <c r="AI115" s="80"/>
    </row>
    <row r="116" spans="1:35">
      <c r="A116" s="76" t="s">
        <v>45</v>
      </c>
      <c r="B116" s="98" t="s">
        <v>34</v>
      </c>
      <c r="C116" s="98" t="s">
        <v>34</v>
      </c>
      <c r="D116" s="98" t="s">
        <v>34</v>
      </c>
      <c r="E116" s="98" t="s">
        <v>34</v>
      </c>
      <c r="F116" s="98" t="s">
        <v>34</v>
      </c>
      <c r="G116" s="98" t="s">
        <v>34</v>
      </c>
      <c r="H116" s="98" t="s">
        <v>34</v>
      </c>
      <c r="I116" s="102">
        <v>0.52600000000000002</v>
      </c>
      <c r="J116" s="102">
        <v>0.5</v>
      </c>
      <c r="K116" s="102">
        <v>0.501</v>
      </c>
      <c r="L116" s="102">
        <v>0.66</v>
      </c>
      <c r="M116" s="102">
        <v>0.7006</v>
      </c>
      <c r="N116" s="102">
        <v>0.70010000000000006</v>
      </c>
      <c r="O116" s="102">
        <v>0.7</v>
      </c>
      <c r="P116" s="98">
        <v>0.7</v>
      </c>
      <c r="Q116" s="98">
        <v>0.69989999999999997</v>
      </c>
      <c r="R116" s="98">
        <v>0.54879999999999995</v>
      </c>
      <c r="S116" s="98">
        <v>0.55549999999999999</v>
      </c>
      <c r="T116" s="98">
        <v>0.57329999999999992</v>
      </c>
      <c r="U116" s="98">
        <v>0.6</v>
      </c>
      <c r="V116" s="98">
        <v>0.7</v>
      </c>
      <c r="W116" s="98">
        <v>0.70299999999999996</v>
      </c>
      <c r="X116" s="98">
        <v>0.81399999999999995</v>
      </c>
      <c r="Y116" s="98">
        <v>0.7</v>
      </c>
      <c r="Z116" s="98">
        <v>0.70002999999999993</v>
      </c>
      <c r="AA116" s="98">
        <v>0.7</v>
      </c>
      <c r="AB116" s="80">
        <f>335/1000</f>
        <v>0.33500000000000002</v>
      </c>
      <c r="AC116" s="80">
        <f>350/1000</f>
        <v>0.35</v>
      </c>
      <c r="AD116" s="80">
        <f>350/1000</f>
        <v>0.35</v>
      </c>
      <c r="AE116" s="80">
        <f>357.92/1000</f>
        <v>0.35792000000000002</v>
      </c>
      <c r="AF116" s="80">
        <f>357.02/1000</f>
        <v>0.35702</v>
      </c>
      <c r="AG116" s="102">
        <v>0.32656000000000002</v>
      </c>
      <c r="AI116" s="80"/>
    </row>
    <row r="117" spans="1:35">
      <c r="A117" s="76" t="s">
        <v>46</v>
      </c>
      <c r="B117" s="98" t="s">
        <v>34</v>
      </c>
      <c r="C117" s="98" t="s">
        <v>34</v>
      </c>
      <c r="D117" s="98" t="s">
        <v>34</v>
      </c>
      <c r="E117" s="98" t="s">
        <v>34</v>
      </c>
      <c r="F117" s="98" t="s">
        <v>34</v>
      </c>
      <c r="G117" s="98" t="s">
        <v>34</v>
      </c>
      <c r="H117" s="98" t="s">
        <v>34</v>
      </c>
      <c r="I117" s="102">
        <v>1.276</v>
      </c>
      <c r="J117" s="102">
        <v>1.2669999999999999</v>
      </c>
      <c r="K117" s="102">
        <v>1.4330000000000001</v>
      </c>
      <c r="L117" s="102">
        <v>1.5315000000000001</v>
      </c>
      <c r="M117" s="102">
        <v>1.635</v>
      </c>
      <c r="N117" s="102">
        <v>1.0912999999999999</v>
      </c>
      <c r="O117" s="102">
        <v>1.3655999999999999</v>
      </c>
      <c r="P117" s="98">
        <v>1.3386</v>
      </c>
      <c r="Q117" s="98">
        <v>0.90879999999999994</v>
      </c>
      <c r="R117" s="98">
        <v>0.35320000000000001</v>
      </c>
      <c r="S117" s="98">
        <v>0.51370000000000005</v>
      </c>
      <c r="T117" s="98">
        <v>0.52549999999999997</v>
      </c>
      <c r="U117" s="98">
        <v>0.7167</v>
      </c>
      <c r="V117" s="98">
        <v>0.74770000000000003</v>
      </c>
      <c r="W117" s="98">
        <v>0.75579999999999992</v>
      </c>
      <c r="X117" s="98">
        <v>0.8337</v>
      </c>
      <c r="Y117" s="98">
        <v>0.80449999999999999</v>
      </c>
      <c r="Z117" s="98">
        <v>0.80040999999999995</v>
      </c>
      <c r="AA117" s="98">
        <v>0.80200000000000005</v>
      </c>
      <c r="AB117" s="80">
        <f>818.4/1000</f>
        <v>0.81840000000000002</v>
      </c>
      <c r="AC117" s="80">
        <f>805.61/1000</f>
        <v>0.80561000000000005</v>
      </c>
      <c r="AD117" s="80">
        <f>565.6/1000</f>
        <v>0.56559999999999999</v>
      </c>
      <c r="AE117" s="80">
        <f>460.12/1000</f>
        <v>0.46012000000000003</v>
      </c>
      <c r="AF117" s="80">
        <f>410.75/1000</f>
        <v>0.41075</v>
      </c>
      <c r="AG117" s="102">
        <v>0.48966000000000004</v>
      </c>
      <c r="AI117" s="80"/>
    </row>
    <row r="118" spans="1:35">
      <c r="A118" s="76" t="s">
        <v>47</v>
      </c>
      <c r="B118" s="98" t="s">
        <v>34</v>
      </c>
      <c r="C118" s="98" t="s">
        <v>34</v>
      </c>
      <c r="D118" s="98" t="s">
        <v>34</v>
      </c>
      <c r="E118" s="98" t="s">
        <v>34</v>
      </c>
      <c r="F118" s="98" t="s">
        <v>34</v>
      </c>
      <c r="G118" s="98" t="s">
        <v>34</v>
      </c>
      <c r="H118" s="98" t="s">
        <v>34</v>
      </c>
      <c r="I118" s="102">
        <v>1.651</v>
      </c>
      <c r="J118" s="102">
        <v>1.56</v>
      </c>
      <c r="K118" s="102">
        <v>1.65</v>
      </c>
      <c r="L118" s="102">
        <v>2</v>
      </c>
      <c r="M118" s="102">
        <v>2.1030000000000002</v>
      </c>
      <c r="N118" s="102">
        <v>2.1339999999999999</v>
      </c>
      <c r="O118" s="102">
        <v>2.113</v>
      </c>
      <c r="P118" s="98">
        <v>2.097</v>
      </c>
      <c r="Q118" s="98">
        <v>1.7298</v>
      </c>
      <c r="R118" s="98">
        <v>1.4064000000000001</v>
      </c>
      <c r="S118" s="98">
        <v>1.4642999999999999</v>
      </c>
      <c r="T118" s="98">
        <v>1.546</v>
      </c>
      <c r="U118" s="98">
        <v>1.704</v>
      </c>
      <c r="V118" s="98">
        <v>1.6573</v>
      </c>
      <c r="W118" s="98">
        <v>1.6797</v>
      </c>
      <c r="X118" s="98">
        <v>1.1512</v>
      </c>
      <c r="Y118" s="98">
        <v>1.1785000000000001</v>
      </c>
      <c r="Z118" s="98">
        <v>1.0882000000000001</v>
      </c>
      <c r="AA118" s="98">
        <v>1.0249000000000001</v>
      </c>
      <c r="AB118" s="80">
        <f>859.3/1000</f>
        <v>0.85929999999999995</v>
      </c>
      <c r="AC118" s="80">
        <f>784.12/1000</f>
        <v>0.78412000000000004</v>
      </c>
      <c r="AD118" s="80">
        <f>651.85/1000</f>
        <v>0.65185000000000004</v>
      </c>
      <c r="AE118" s="80">
        <f>507.6/1000</f>
        <v>0.50760000000000005</v>
      </c>
      <c r="AF118" s="80">
        <f>491.85/1000</f>
        <v>0.49185000000000001</v>
      </c>
      <c r="AG118" s="102">
        <v>0.51536999999999999</v>
      </c>
      <c r="AI118" s="80"/>
    </row>
    <row r="119" spans="1:35">
      <c r="A119" s="76" t="s">
        <v>48</v>
      </c>
      <c r="B119" s="98" t="s">
        <v>34</v>
      </c>
      <c r="C119" s="98" t="s">
        <v>34</v>
      </c>
      <c r="D119" s="98" t="s">
        <v>34</v>
      </c>
      <c r="E119" s="98" t="s">
        <v>34</v>
      </c>
      <c r="F119" s="98" t="s">
        <v>34</v>
      </c>
      <c r="G119" s="98" t="s">
        <v>34</v>
      </c>
      <c r="H119" s="98" t="s">
        <v>34</v>
      </c>
      <c r="I119" s="102">
        <v>2.3439999999999999</v>
      </c>
      <c r="J119" s="102">
        <v>2.3180000000000001</v>
      </c>
      <c r="K119" s="102">
        <v>2.3239999999999998</v>
      </c>
      <c r="L119" s="102">
        <v>2.5539999999999998</v>
      </c>
      <c r="M119" s="102">
        <v>2.5129999999999999</v>
      </c>
      <c r="N119" s="102">
        <v>2.4279000000000002</v>
      </c>
      <c r="O119" s="102">
        <v>2.4969999999999999</v>
      </c>
      <c r="P119" s="98">
        <v>2.3654999999999999</v>
      </c>
      <c r="Q119" s="98">
        <v>2.4230999999999998</v>
      </c>
      <c r="R119" s="98">
        <v>2.5291999999999999</v>
      </c>
      <c r="S119" s="98">
        <v>2.6740999999999997</v>
      </c>
      <c r="T119" s="98">
        <v>2.6504000000000003</v>
      </c>
      <c r="U119" s="98">
        <v>2.8025000000000002</v>
      </c>
      <c r="V119" s="98">
        <v>2.7075999999999998</v>
      </c>
      <c r="W119" s="98">
        <v>2.7306999999999997</v>
      </c>
      <c r="X119" s="98">
        <v>2.7738</v>
      </c>
      <c r="Y119" s="98">
        <v>2.8</v>
      </c>
      <c r="Z119" s="98">
        <v>2.6880999999999999</v>
      </c>
      <c r="AA119" s="98">
        <v>1.8708</v>
      </c>
      <c r="AB119" s="80">
        <f>1873.2/1000</f>
        <v>1.8732</v>
      </c>
      <c r="AC119" s="80">
        <f>1873.2/1000</f>
        <v>1.8732</v>
      </c>
      <c r="AD119" s="80">
        <f>1867.68/1000</f>
        <v>1.86768</v>
      </c>
      <c r="AE119" s="80">
        <f>1867.6/1000</f>
        <v>1.8675999999999999</v>
      </c>
      <c r="AF119" s="80">
        <f>1932.63/1000</f>
        <v>1.9326300000000001</v>
      </c>
      <c r="AG119" s="102">
        <v>1.8443399999999999</v>
      </c>
      <c r="AI119" s="80"/>
    </row>
    <row r="120" spans="1:35">
      <c r="A120" s="76" t="s">
        <v>49</v>
      </c>
      <c r="B120" s="98" t="s">
        <v>34</v>
      </c>
      <c r="C120" s="98" t="s">
        <v>34</v>
      </c>
      <c r="D120" s="98" t="s">
        <v>34</v>
      </c>
      <c r="E120" s="98" t="s">
        <v>34</v>
      </c>
      <c r="F120" s="98" t="s">
        <v>34</v>
      </c>
      <c r="G120" s="98" t="s">
        <v>34</v>
      </c>
      <c r="H120" s="98" t="s">
        <v>34</v>
      </c>
      <c r="I120" s="102">
        <v>0.56000000000000005</v>
      </c>
      <c r="J120" s="102">
        <v>0.47699999999999998</v>
      </c>
      <c r="K120" s="102">
        <v>0.495</v>
      </c>
      <c r="L120" s="102">
        <v>0.52049999999999996</v>
      </c>
      <c r="M120" s="102">
        <v>0.52800000000000002</v>
      </c>
      <c r="N120" s="102">
        <v>0.64249999999999996</v>
      </c>
      <c r="O120" s="102">
        <v>0.65549999999999997</v>
      </c>
      <c r="P120" s="98">
        <v>0.67500000000000004</v>
      </c>
      <c r="Q120" s="98">
        <v>0.67970000000000008</v>
      </c>
      <c r="R120" s="98">
        <v>0.245</v>
      </c>
      <c r="S120" s="98">
        <v>0.27</v>
      </c>
      <c r="T120" s="98">
        <v>0.3</v>
      </c>
      <c r="U120" s="98">
        <v>0.3</v>
      </c>
      <c r="V120" s="98">
        <v>0.41</v>
      </c>
      <c r="W120" s="98">
        <v>0.41</v>
      </c>
      <c r="X120" s="98">
        <v>0.41</v>
      </c>
      <c r="Y120" s="98">
        <v>0.43</v>
      </c>
      <c r="Z120" s="98">
        <v>0.56649000000000005</v>
      </c>
      <c r="AA120" s="98">
        <v>0.36680000000000001</v>
      </c>
      <c r="AB120" s="80">
        <f>306.2/1000</f>
        <v>0.30619999999999997</v>
      </c>
      <c r="AC120" s="80">
        <f>239.2/1000</f>
        <v>0.2392</v>
      </c>
      <c r="AD120" s="80">
        <f>185.52/1000</f>
        <v>0.18552000000000002</v>
      </c>
      <c r="AE120" s="80">
        <f>163.4/1000</f>
        <v>0.16340000000000002</v>
      </c>
      <c r="AF120" s="80">
        <f>163.85/1000</f>
        <v>0.16385</v>
      </c>
      <c r="AG120" s="102">
        <v>0.1623</v>
      </c>
      <c r="AI120" s="80"/>
    </row>
    <row r="121" spans="1:35">
      <c r="A121" s="76" t="s">
        <v>50</v>
      </c>
      <c r="B121" s="98" t="s">
        <v>34</v>
      </c>
      <c r="C121" s="98" t="s">
        <v>34</v>
      </c>
      <c r="D121" s="98" t="s">
        <v>34</v>
      </c>
      <c r="E121" s="98" t="s">
        <v>34</v>
      </c>
      <c r="F121" s="98" t="s">
        <v>34</v>
      </c>
      <c r="G121" s="98" t="s">
        <v>34</v>
      </c>
      <c r="H121" s="98" t="s">
        <v>34</v>
      </c>
      <c r="I121" s="102">
        <v>0.78300000000000003</v>
      </c>
      <c r="J121" s="102">
        <v>0.91200000000000003</v>
      </c>
      <c r="K121" s="102">
        <v>1.05</v>
      </c>
      <c r="L121" s="102">
        <v>1.4350000000000001</v>
      </c>
      <c r="M121" s="102">
        <v>1.7050000000000001</v>
      </c>
      <c r="N121" s="102">
        <v>1.8169999999999999</v>
      </c>
      <c r="O121" s="102">
        <v>2.1</v>
      </c>
      <c r="P121" s="98">
        <v>2.105</v>
      </c>
      <c r="Q121" s="98">
        <v>2.105</v>
      </c>
      <c r="R121" s="98">
        <v>2.1736</v>
      </c>
      <c r="S121" s="98">
        <v>2.1</v>
      </c>
      <c r="T121" s="98">
        <v>1.4358</v>
      </c>
      <c r="U121" s="98">
        <v>1.4514</v>
      </c>
      <c r="V121" s="98">
        <v>1.4722</v>
      </c>
      <c r="W121" s="98">
        <v>1.4327000000000001</v>
      </c>
      <c r="X121" s="98">
        <v>1.3360000000000001</v>
      </c>
      <c r="Y121" s="98">
        <v>1.514</v>
      </c>
      <c r="Z121" s="98">
        <v>1.5800999999999998</v>
      </c>
      <c r="AA121" s="98">
        <v>1.4334</v>
      </c>
      <c r="AB121" s="80">
        <f>1190/1000</f>
        <v>1.19</v>
      </c>
      <c r="AC121" s="80">
        <f>1094.5/1000</f>
        <v>1.0945</v>
      </c>
      <c r="AD121" s="80">
        <f>1154/1000</f>
        <v>1.1539999999999999</v>
      </c>
      <c r="AE121" s="80">
        <f>1203.7/1000</f>
        <v>1.2037</v>
      </c>
      <c r="AF121" s="80">
        <f>1220.85/1000</f>
        <v>1.22085</v>
      </c>
      <c r="AG121" s="102">
        <v>1.45882</v>
      </c>
      <c r="AI121" s="80"/>
    </row>
    <row r="122" spans="1:35">
      <c r="A122" s="76" t="s">
        <v>51</v>
      </c>
      <c r="B122" s="98" t="s">
        <v>34</v>
      </c>
      <c r="C122" s="98" t="s">
        <v>34</v>
      </c>
      <c r="D122" s="98" t="s">
        <v>34</v>
      </c>
      <c r="E122" s="98" t="s">
        <v>34</v>
      </c>
      <c r="F122" s="98" t="s">
        <v>34</v>
      </c>
      <c r="G122" s="98" t="s">
        <v>34</v>
      </c>
      <c r="H122" s="98" t="s">
        <v>34</v>
      </c>
      <c r="I122" s="102">
        <v>1.712</v>
      </c>
      <c r="J122" s="102">
        <v>2.351</v>
      </c>
      <c r="K122" s="102">
        <v>2.4550000000000001</v>
      </c>
      <c r="L122" s="102">
        <v>2.4780000000000002</v>
      </c>
      <c r="M122" s="102">
        <v>2.5</v>
      </c>
      <c r="N122" s="102">
        <v>2.5000999999999998</v>
      </c>
      <c r="O122" s="102">
        <v>1.8225</v>
      </c>
      <c r="P122" s="98">
        <v>1.8</v>
      </c>
      <c r="Q122" s="98">
        <v>1.6862999999999999</v>
      </c>
      <c r="R122" s="98">
        <v>1.6415</v>
      </c>
      <c r="S122" s="98">
        <v>1.8</v>
      </c>
      <c r="T122" s="98">
        <v>1.5817000000000001</v>
      </c>
      <c r="U122" s="98">
        <v>1.5564</v>
      </c>
      <c r="V122" s="98">
        <v>1.5523</v>
      </c>
      <c r="W122" s="98">
        <v>1.5412999999999999</v>
      </c>
      <c r="X122" s="98">
        <v>1.3215999999999999</v>
      </c>
      <c r="Y122" s="98">
        <v>1.444</v>
      </c>
      <c r="Z122" s="98">
        <v>1.5159</v>
      </c>
      <c r="AA122" s="98">
        <v>1.4370000000000001</v>
      </c>
      <c r="AB122" s="80">
        <f>1225.8/1000</f>
        <v>1.2258</v>
      </c>
      <c r="AC122" s="80">
        <f>1204/1000</f>
        <v>1.204</v>
      </c>
      <c r="AD122" s="80">
        <f>1234.3/1000</f>
        <v>1.2343</v>
      </c>
      <c r="AE122" s="80">
        <f>1278.3/1000</f>
        <v>1.2783</v>
      </c>
      <c r="AF122" s="80">
        <f>1210.7/1000</f>
        <v>1.2107000000000001</v>
      </c>
      <c r="AG122" s="102">
        <v>1.2150000000000001</v>
      </c>
      <c r="AI122" s="80"/>
    </row>
    <row r="123" spans="1:35">
      <c r="A123" s="76" t="s">
        <v>52</v>
      </c>
      <c r="B123" s="98" t="s">
        <v>34</v>
      </c>
      <c r="C123" s="98" t="s">
        <v>34</v>
      </c>
      <c r="D123" s="98" t="s">
        <v>34</v>
      </c>
      <c r="E123" s="98" t="s">
        <v>34</v>
      </c>
      <c r="F123" s="98" t="s">
        <v>34</v>
      </c>
      <c r="G123" s="98" t="s">
        <v>34</v>
      </c>
      <c r="H123" s="98" t="s">
        <v>34</v>
      </c>
      <c r="I123" s="102">
        <v>0.61499999999999999</v>
      </c>
      <c r="J123" s="102">
        <v>0.91300000000000003</v>
      </c>
      <c r="K123" s="102">
        <v>1.1459999999999999</v>
      </c>
      <c r="L123" s="102">
        <v>1.1068</v>
      </c>
      <c r="M123" s="102">
        <v>1.1445000000000001</v>
      </c>
      <c r="N123" s="102">
        <v>1.1034999999999999</v>
      </c>
      <c r="O123" s="102">
        <v>1.1094999999999999</v>
      </c>
      <c r="P123" s="98">
        <v>1.1725000000000001</v>
      </c>
      <c r="Q123" s="98">
        <v>1.2</v>
      </c>
      <c r="R123" s="98">
        <v>1.0562</v>
      </c>
      <c r="S123" s="98">
        <v>1.1083000000000001</v>
      </c>
      <c r="T123" s="98">
        <v>1.089</v>
      </c>
      <c r="U123" s="98">
        <v>1.2672000000000001</v>
      </c>
      <c r="V123" s="98">
        <v>1.333</v>
      </c>
      <c r="W123" s="98">
        <v>1.3712</v>
      </c>
      <c r="X123" s="98">
        <v>1.337</v>
      </c>
      <c r="Y123" s="98">
        <v>1.3547</v>
      </c>
      <c r="Z123" s="98">
        <v>1.3483000000000001</v>
      </c>
      <c r="AA123" s="98">
        <v>1.2778</v>
      </c>
      <c r="AB123" s="80">
        <f>771.13/1000</f>
        <v>0.77112999999999998</v>
      </c>
      <c r="AC123" s="80">
        <f>752.33/1000</f>
        <v>0.75233000000000005</v>
      </c>
      <c r="AD123" s="80">
        <f>1041.22/1000</f>
        <v>1.04122</v>
      </c>
      <c r="AE123" s="80">
        <f>1198.31/1000</f>
        <v>1.19831</v>
      </c>
      <c r="AF123" s="80">
        <f>1185.56/1000</f>
        <v>1.1855599999999999</v>
      </c>
      <c r="AG123" s="102">
        <v>1.1999500000000001</v>
      </c>
      <c r="AI123" s="80"/>
    </row>
    <row r="124" spans="1:35">
      <c r="A124" s="76" t="s">
        <v>53</v>
      </c>
      <c r="B124" s="98" t="s">
        <v>34</v>
      </c>
      <c r="C124" s="98" t="s">
        <v>34</v>
      </c>
      <c r="D124" s="98" t="s">
        <v>34</v>
      </c>
      <c r="E124" s="98" t="s">
        <v>34</v>
      </c>
      <c r="F124" s="98" t="s">
        <v>34</v>
      </c>
      <c r="G124" s="98" t="s">
        <v>34</v>
      </c>
      <c r="H124" s="98" t="s">
        <v>34</v>
      </c>
      <c r="I124" s="102">
        <v>0.60599999999999998</v>
      </c>
      <c r="J124" s="102">
        <v>0.68</v>
      </c>
      <c r="K124" s="102">
        <v>0.76900000000000002</v>
      </c>
      <c r="L124" s="102">
        <v>0.77049999999999996</v>
      </c>
      <c r="M124" s="102">
        <v>0.8</v>
      </c>
      <c r="N124" s="102">
        <v>0.80059999999999998</v>
      </c>
      <c r="O124" s="102">
        <v>0.80079999999999996</v>
      </c>
      <c r="P124" s="98">
        <v>0.8</v>
      </c>
      <c r="Q124" s="98">
        <v>0.8</v>
      </c>
      <c r="R124" s="98">
        <v>0.42199999999999999</v>
      </c>
      <c r="S124" s="98">
        <v>0.65</v>
      </c>
      <c r="T124" s="98">
        <v>0.68559999999999999</v>
      </c>
      <c r="U124" s="98">
        <v>0.65920000000000001</v>
      </c>
      <c r="V124" s="98">
        <v>0.66379999999999995</v>
      </c>
      <c r="W124" s="98">
        <v>0.7</v>
      </c>
      <c r="X124" s="98">
        <v>0.64700000000000002</v>
      </c>
      <c r="Y124" s="98">
        <v>0.7</v>
      </c>
      <c r="Z124" s="98">
        <v>0.62397000000000002</v>
      </c>
      <c r="AA124" s="98">
        <v>0.54</v>
      </c>
      <c r="AB124" s="80">
        <f>469/1000</f>
        <v>0.46899999999999997</v>
      </c>
      <c r="AC124" s="80">
        <f>461.11/1000</f>
        <v>0.46111000000000002</v>
      </c>
      <c r="AD124" s="80">
        <f>339.71/1000</f>
        <v>0.33970999999999996</v>
      </c>
      <c r="AE124" s="80">
        <f>285.93/1000</f>
        <v>0.28593000000000002</v>
      </c>
      <c r="AF124" s="80">
        <f>322.38/1000</f>
        <v>0.32238</v>
      </c>
      <c r="AG124" s="102">
        <v>0.31523000000000001</v>
      </c>
      <c r="AI124" s="80"/>
    </row>
    <row r="125" spans="1:35">
      <c r="A125" s="76" t="s">
        <v>54</v>
      </c>
      <c r="B125" s="98" t="s">
        <v>34</v>
      </c>
      <c r="C125" s="98" t="s">
        <v>34</v>
      </c>
      <c r="D125" s="98" t="s">
        <v>34</v>
      </c>
      <c r="E125" s="98" t="s">
        <v>34</v>
      </c>
      <c r="F125" s="98" t="s">
        <v>34</v>
      </c>
      <c r="G125" s="98" t="s">
        <v>34</v>
      </c>
      <c r="H125" s="98" t="s">
        <v>34</v>
      </c>
      <c r="I125" s="102">
        <v>1.0669999999999999</v>
      </c>
      <c r="J125" s="102">
        <v>1.175</v>
      </c>
      <c r="K125" s="102">
        <v>1.127</v>
      </c>
      <c r="L125" s="102">
        <v>1.145</v>
      </c>
      <c r="M125" s="102">
        <v>1.2886</v>
      </c>
      <c r="N125" s="102">
        <v>1.5147999999999999</v>
      </c>
      <c r="O125" s="102">
        <v>1.4954000000000001</v>
      </c>
      <c r="P125" s="98">
        <v>1.5062</v>
      </c>
      <c r="Q125" s="98">
        <v>1.3817000000000002</v>
      </c>
      <c r="R125" s="98">
        <v>0.62870000000000004</v>
      </c>
      <c r="S125" s="98">
        <v>0.62879999999999991</v>
      </c>
      <c r="T125" s="98">
        <v>0.60850000000000004</v>
      </c>
      <c r="U125" s="98">
        <v>0.69810000000000005</v>
      </c>
      <c r="V125" s="98">
        <v>0.70389999999999997</v>
      </c>
      <c r="W125" s="98">
        <v>0.72839999999999994</v>
      </c>
      <c r="X125" s="98">
        <v>0.74160000000000004</v>
      </c>
      <c r="Y125" s="98">
        <v>0.8871</v>
      </c>
      <c r="Z125" s="98">
        <v>1.0207999999999999</v>
      </c>
      <c r="AA125" s="98">
        <v>1.0695999999999999</v>
      </c>
      <c r="AB125" s="80">
        <f>1290/1000</f>
        <v>1.29</v>
      </c>
      <c r="AC125" s="80">
        <f>1347/1000</f>
        <v>1.347</v>
      </c>
      <c r="AD125" s="80">
        <f>1269/1000</f>
        <v>1.2689999999999999</v>
      </c>
      <c r="AE125" s="80">
        <f>1355.4/1000</f>
        <v>1.3554000000000002</v>
      </c>
      <c r="AF125" s="80">
        <f>1430.41/1000</f>
        <v>1.4304100000000002</v>
      </c>
      <c r="AG125" s="102">
        <v>1.51746</v>
      </c>
      <c r="AI125" s="80"/>
    </row>
    <row r="126" spans="1:35">
      <c r="A126" s="76" t="s">
        <v>55</v>
      </c>
      <c r="B126" s="98" t="s">
        <v>34</v>
      </c>
      <c r="C126" s="98" t="s">
        <v>34</v>
      </c>
      <c r="D126" s="98" t="s">
        <v>34</v>
      </c>
      <c r="E126" s="98" t="s">
        <v>34</v>
      </c>
      <c r="F126" s="98" t="s">
        <v>34</v>
      </c>
      <c r="G126" s="98" t="s">
        <v>34</v>
      </c>
      <c r="H126" s="98" t="s">
        <v>34</v>
      </c>
      <c r="I126" s="102">
        <v>0.46600000000000003</v>
      </c>
      <c r="J126" s="102">
        <v>0.59099999999999997</v>
      </c>
      <c r="K126" s="98">
        <v>0.69899999999999995</v>
      </c>
      <c r="L126" s="98">
        <v>0.70399999999999996</v>
      </c>
      <c r="M126" s="102">
        <v>0.71499999999999997</v>
      </c>
      <c r="N126" s="102">
        <v>0.56399999999999995</v>
      </c>
      <c r="O126" s="102">
        <v>0.63500000000000001</v>
      </c>
      <c r="P126" s="98">
        <v>0.52200000000000002</v>
      </c>
      <c r="Q126" s="98">
        <v>0.52600000000000002</v>
      </c>
      <c r="R126" s="98">
        <v>0.43510000000000004</v>
      </c>
      <c r="S126" s="98">
        <v>0.52500000000000002</v>
      </c>
      <c r="T126" s="98">
        <v>0.51339999999999997</v>
      </c>
      <c r="U126" s="98">
        <v>0.51500000000000001</v>
      </c>
      <c r="V126" s="98">
        <v>0.55400000000000005</v>
      </c>
      <c r="W126" s="98">
        <v>0.56699999999999995</v>
      </c>
      <c r="X126" s="98">
        <v>0.65800000000000003</v>
      </c>
      <c r="Y126" s="98">
        <v>0.56200000000000006</v>
      </c>
      <c r="Z126" s="98">
        <v>0.82099999999999995</v>
      </c>
      <c r="AA126" s="98">
        <v>1.4453</v>
      </c>
      <c r="AB126" s="80">
        <f>868.1/1000</f>
        <v>0.86809999999999998</v>
      </c>
      <c r="AC126" s="80">
        <f>616/1000</f>
        <v>0.61599999999999999</v>
      </c>
      <c r="AD126" s="80">
        <f>787/1000</f>
        <v>0.78700000000000003</v>
      </c>
      <c r="AE126" s="80">
        <f>812/1000</f>
        <v>0.81200000000000006</v>
      </c>
      <c r="AF126" s="80">
        <f>602/1000</f>
        <v>0.60199999999999998</v>
      </c>
      <c r="AG126" s="102">
        <v>0.61199999999999999</v>
      </c>
      <c r="AI126" s="80"/>
    </row>
    <row r="127" spans="1:35">
      <c r="A127" s="76" t="s">
        <v>56</v>
      </c>
      <c r="B127" s="98" t="s">
        <v>34</v>
      </c>
      <c r="C127" s="98" t="s">
        <v>34</v>
      </c>
      <c r="D127" s="98" t="s">
        <v>34</v>
      </c>
      <c r="E127" s="98" t="s">
        <v>34</v>
      </c>
      <c r="F127" s="98" t="s">
        <v>34</v>
      </c>
      <c r="G127" s="98" t="s">
        <v>34</v>
      </c>
      <c r="H127" s="98" t="s">
        <v>34</v>
      </c>
      <c r="I127" s="102">
        <v>0.59299999999999997</v>
      </c>
      <c r="J127" s="102">
        <v>0.6</v>
      </c>
      <c r="K127" s="102">
        <v>0.59399999999999997</v>
      </c>
      <c r="L127" s="102">
        <v>0.98370000000000002</v>
      </c>
      <c r="M127" s="102">
        <v>1</v>
      </c>
      <c r="N127" s="102">
        <v>1.08</v>
      </c>
      <c r="O127" s="102">
        <v>1.0760000000000001</v>
      </c>
      <c r="P127" s="98">
        <v>1.0029999999999999</v>
      </c>
      <c r="Q127" s="98">
        <v>0.85499999999999998</v>
      </c>
      <c r="R127" s="98">
        <v>0.66379999999999995</v>
      </c>
      <c r="S127" s="98">
        <v>0.95499999999999996</v>
      </c>
      <c r="T127" s="98">
        <v>1.0183</v>
      </c>
      <c r="U127" s="98">
        <v>1.0549000000000002</v>
      </c>
      <c r="V127" s="98">
        <v>1.0734999999999999</v>
      </c>
      <c r="W127" s="98">
        <v>1.1456</v>
      </c>
      <c r="X127" s="98">
        <v>1.2447999999999999</v>
      </c>
      <c r="Y127" s="98">
        <v>1.0745</v>
      </c>
      <c r="Z127" s="98">
        <v>1.04762</v>
      </c>
      <c r="AA127" s="98">
        <v>1.3842999999999999</v>
      </c>
      <c r="AB127" s="80">
        <f>1021.45/1000</f>
        <v>1.02145</v>
      </c>
      <c r="AC127" s="80">
        <f>876.61/1000</f>
        <v>0.87661</v>
      </c>
      <c r="AD127" s="80">
        <f>765.79/1000</f>
        <v>0.76578999999999997</v>
      </c>
      <c r="AE127" s="80">
        <f>624.6/1000</f>
        <v>0.62460000000000004</v>
      </c>
      <c r="AF127" s="80">
        <f>785.24/1000</f>
        <v>0.78524000000000005</v>
      </c>
      <c r="AG127" s="102">
        <v>0.53447</v>
      </c>
      <c r="AI127" s="80"/>
    </row>
    <row r="128" spans="1:35">
      <c r="A128" s="76" t="s">
        <v>57</v>
      </c>
      <c r="B128" s="98" t="s">
        <v>34</v>
      </c>
      <c r="C128" s="98" t="s">
        <v>34</v>
      </c>
      <c r="D128" s="98" t="s">
        <v>34</v>
      </c>
      <c r="E128" s="98" t="s">
        <v>34</v>
      </c>
      <c r="F128" s="98" t="s">
        <v>34</v>
      </c>
      <c r="G128" s="98" t="s">
        <v>34</v>
      </c>
      <c r="H128" s="98" t="s">
        <v>34</v>
      </c>
      <c r="I128" s="98">
        <v>1.1200000000000001</v>
      </c>
      <c r="J128" s="98">
        <v>1.2509999999999999</v>
      </c>
      <c r="K128" s="98">
        <v>1.3819999999999999</v>
      </c>
      <c r="L128" s="98">
        <v>1.5955999999999999</v>
      </c>
      <c r="M128" s="98">
        <v>1.5977000000000001</v>
      </c>
      <c r="N128" s="98">
        <v>1.9035</v>
      </c>
      <c r="O128" s="98">
        <v>1.8169999999999999</v>
      </c>
      <c r="P128" s="98">
        <v>1.9442999999999999</v>
      </c>
      <c r="Q128" s="98">
        <v>1.9770000000000001</v>
      </c>
      <c r="R128" s="98">
        <v>2.032</v>
      </c>
      <c r="S128" s="98">
        <v>2.2949999999999999</v>
      </c>
      <c r="T128" s="98">
        <v>2.2410000000000001</v>
      </c>
      <c r="U128" s="98">
        <v>2.7648000000000001</v>
      </c>
      <c r="V128" s="98">
        <v>3.04</v>
      </c>
      <c r="W128" s="98">
        <v>2.6983000000000001</v>
      </c>
      <c r="X128" s="98">
        <v>2.6948000000000003</v>
      </c>
      <c r="Y128" s="98">
        <v>2.7523</v>
      </c>
      <c r="Z128" s="98">
        <v>2.7585000000000002</v>
      </c>
      <c r="AA128" s="98">
        <v>2.7585000000000002</v>
      </c>
      <c r="AB128" s="80">
        <f>2502/1000</f>
        <v>2.5019999999999998</v>
      </c>
      <c r="AC128" s="80">
        <f>2477.5/1000</f>
        <v>2.4775</v>
      </c>
      <c r="AD128" s="80">
        <f>2393.62/1000</f>
        <v>2.3936199999999999</v>
      </c>
      <c r="AE128" s="80">
        <f>2401.57/1000</f>
        <v>2.40157</v>
      </c>
      <c r="AF128" s="80">
        <f>2358.26/1000</f>
        <v>2.35826</v>
      </c>
      <c r="AG128" s="102">
        <v>2.3408800000000003</v>
      </c>
      <c r="AI128" s="80"/>
    </row>
    <row r="129" spans="1:35">
      <c r="A129" s="104" t="s">
        <v>58</v>
      </c>
      <c r="B129" s="108" t="s">
        <v>34</v>
      </c>
      <c r="C129" s="108" t="s">
        <v>34</v>
      </c>
      <c r="D129" s="108" t="s">
        <v>34</v>
      </c>
      <c r="E129" s="108" t="s">
        <v>34</v>
      </c>
      <c r="F129" s="108" t="s">
        <v>34</v>
      </c>
      <c r="G129" s="108" t="s">
        <v>34</v>
      </c>
      <c r="H129" s="108" t="s">
        <v>34</v>
      </c>
      <c r="I129" s="110">
        <v>0.86899999999999999</v>
      </c>
      <c r="J129" s="110">
        <v>0.88300000000000001</v>
      </c>
      <c r="K129" s="110">
        <v>1.534</v>
      </c>
      <c r="L129" s="110">
        <v>1.452</v>
      </c>
      <c r="M129" s="110">
        <v>1.6379999999999999</v>
      </c>
      <c r="N129" s="110">
        <v>1.643</v>
      </c>
      <c r="O129" s="110">
        <v>1.6755</v>
      </c>
      <c r="P129" s="110">
        <v>1.65</v>
      </c>
      <c r="Q129" s="108">
        <v>1.5204000000000002</v>
      </c>
      <c r="R129" s="108">
        <v>1.1085</v>
      </c>
      <c r="S129" s="108">
        <v>1.3157000000000001</v>
      </c>
      <c r="T129" s="108">
        <v>1.3855</v>
      </c>
      <c r="U129" s="108">
        <v>1.5263</v>
      </c>
      <c r="V129" s="108">
        <v>1.6342000000000001</v>
      </c>
      <c r="W129" s="108">
        <v>1.645</v>
      </c>
      <c r="X129" s="108">
        <v>1.4987999999999999</v>
      </c>
      <c r="Y129" s="108">
        <v>1.6065999999999998</v>
      </c>
      <c r="Z129" s="108">
        <v>1.49519</v>
      </c>
      <c r="AA129" s="108">
        <v>1.5185999999999999</v>
      </c>
      <c r="AB129" s="81">
        <f>1421.43/1000</f>
        <v>1.42143</v>
      </c>
      <c r="AC129" s="81">
        <f>1311.26/1000</f>
        <v>1.3112600000000001</v>
      </c>
      <c r="AD129" s="81">
        <f>1259.2/1000</f>
        <v>1.2592000000000001</v>
      </c>
      <c r="AE129" s="81">
        <f>1164.7/1000</f>
        <v>1.1647000000000001</v>
      </c>
      <c r="AF129" s="81">
        <f>1052.4/1000</f>
        <v>1.0524</v>
      </c>
      <c r="AG129" s="110">
        <v>0.92659999999999998</v>
      </c>
      <c r="AI129" s="80"/>
    </row>
    <row r="130" spans="1:35">
      <c r="N130" s="93"/>
      <c r="Q130" s="105"/>
      <c r="R130" s="105"/>
      <c r="S130" s="105"/>
      <c r="T130" s="105"/>
      <c r="U130" s="105"/>
      <c r="V130" s="105"/>
      <c r="W130" s="105"/>
      <c r="X130" s="78"/>
      <c r="AG130" s="102"/>
    </row>
    <row r="131" spans="1:35">
      <c r="A131" s="152" t="s">
        <v>16</v>
      </c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S131" s="102"/>
    </row>
    <row r="132" spans="1:35" ht="37.5" customHeight="1">
      <c r="A132" s="152" t="s">
        <v>39</v>
      </c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</row>
    <row r="134" spans="1:35"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</row>
    <row r="135" spans="1:35"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</row>
    <row r="136" spans="1:35"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  <row r="154" spans="1:1">
      <c r="A154" s="76"/>
    </row>
    <row r="155" spans="1:1">
      <c r="A155" s="76"/>
    </row>
    <row r="156" spans="1:1">
      <c r="A156" s="76"/>
    </row>
    <row r="157" spans="1:1">
      <c r="A157" s="76"/>
    </row>
    <row r="158" spans="1:1">
      <c r="A158" s="76"/>
    </row>
    <row r="159" spans="1:1">
      <c r="A159" s="76"/>
    </row>
    <row r="160" spans="1:1">
      <c r="A160" s="76"/>
    </row>
    <row r="161" spans="1:1">
      <c r="A161" s="76"/>
    </row>
    <row r="162" spans="1:1">
      <c r="A162" s="76"/>
    </row>
    <row r="170" spans="1:1">
      <c r="A170" s="76"/>
    </row>
    <row r="171" spans="1:1">
      <c r="A171" s="76"/>
    </row>
    <row r="172" spans="1:1">
      <c r="A172" s="76"/>
    </row>
    <row r="173" spans="1:1">
      <c r="A173" s="76"/>
    </row>
    <row r="174" spans="1:1">
      <c r="A174" s="76"/>
    </row>
    <row r="175" spans="1:1">
      <c r="A175" s="76"/>
    </row>
    <row r="176" spans="1:1">
      <c r="A176" s="76"/>
    </row>
    <row r="177" spans="1:1">
      <c r="A177" s="76"/>
    </row>
    <row r="178" spans="1:1">
      <c r="A178" s="76"/>
    </row>
    <row r="179" spans="1:1">
      <c r="A179" s="76"/>
    </row>
    <row r="180" spans="1:1">
      <c r="A180" s="76"/>
    </row>
    <row r="181" spans="1:1">
      <c r="A181" s="76"/>
    </row>
    <row r="182" spans="1:1">
      <c r="A182" s="76"/>
    </row>
    <row r="183" spans="1:1">
      <c r="A183" s="76"/>
    </row>
    <row r="184" spans="1:1">
      <c r="A184" s="76"/>
    </row>
    <row r="185" spans="1:1">
      <c r="A185" s="76"/>
    </row>
    <row r="186" spans="1:1">
      <c r="A186" s="76"/>
    </row>
    <row r="188" spans="1:1">
      <c r="A188" s="76"/>
    </row>
    <row r="189" spans="1:1">
      <c r="A189" s="76"/>
    </row>
    <row r="190" spans="1:1">
      <c r="A190" s="76"/>
    </row>
    <row r="191" spans="1:1">
      <c r="A191" s="76"/>
    </row>
    <row r="192" spans="1:1">
      <c r="A192" s="76"/>
    </row>
    <row r="193" spans="1:1">
      <c r="A193" s="76"/>
    </row>
    <row r="194" spans="1:1">
      <c r="A194" s="76"/>
    </row>
    <row r="195" spans="1:1">
      <c r="A195" s="76"/>
    </row>
    <row r="196" spans="1:1">
      <c r="A196" s="76"/>
    </row>
    <row r="197" spans="1:1">
      <c r="A197" s="76"/>
    </row>
    <row r="198" spans="1:1">
      <c r="A198" s="76"/>
    </row>
  </sheetData>
  <mergeCells count="8">
    <mergeCell ref="A2:AG2"/>
    <mergeCell ref="A82:AG82"/>
    <mergeCell ref="A131:P131"/>
    <mergeCell ref="A132:P132"/>
    <mergeCell ref="A4:AG4"/>
    <mergeCell ref="A29:AG29"/>
    <mergeCell ref="A54:AG54"/>
    <mergeCell ref="A107:AG107"/>
  </mergeCells>
  <phoneticPr fontId="0" type="noConversion"/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2" manualBreakCount="2">
    <brk id="52" max="35" man="1"/>
    <brk id="77" max="35" man="1"/>
  </rowBreaks>
  <colBreaks count="1" manualBreakCount="1">
    <brk id="17" max="2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2012-279E-4039-94E0-BB5D236C6A86}">
  <dimension ref="A1:I164"/>
  <sheetViews>
    <sheetView workbookViewId="0">
      <selection activeCell="A68" sqref="A68"/>
    </sheetView>
  </sheetViews>
  <sheetFormatPr defaultRowHeight="11.25"/>
  <cols>
    <col min="1" max="1" width="20.85546875" style="1" customWidth="1"/>
    <col min="2" max="4" width="8" style="2" bestFit="1" customWidth="1"/>
    <col min="5" max="5" width="8" style="2" customWidth="1"/>
    <col min="6" max="16384" width="9.140625" style="2"/>
  </cols>
  <sheetData>
    <row r="1" spans="1:5">
      <c r="B1" s="8"/>
      <c r="C1" s="8"/>
      <c r="D1" s="8"/>
    </row>
    <row r="2" spans="1:5" ht="12.75">
      <c r="A2" s="62" t="s">
        <v>60</v>
      </c>
      <c r="B2" s="62"/>
      <c r="C2" s="62"/>
      <c r="D2" s="62"/>
    </row>
    <row r="3" spans="1:5" ht="9.75" customHeight="1">
      <c r="A3" s="23"/>
    </row>
    <row r="4" spans="1:5" ht="12.75">
      <c r="A4" s="155" t="s">
        <v>0</v>
      </c>
      <c r="B4" s="155"/>
      <c r="C4" s="155"/>
      <c r="D4" s="155"/>
      <c r="E4" s="155"/>
    </row>
    <row r="5" spans="1:5">
      <c r="A5" s="17"/>
      <c r="B5" s="4"/>
      <c r="C5" s="154" t="s">
        <v>7</v>
      </c>
      <c r="D5" s="154"/>
      <c r="E5" s="154"/>
    </row>
    <row r="6" spans="1:5" s="21" customFormat="1">
      <c r="A6" s="18"/>
      <c r="B6" s="18">
        <v>2022</v>
      </c>
      <c r="C6" s="18">
        <v>2023</v>
      </c>
      <c r="D6" s="18">
        <v>2024</v>
      </c>
      <c r="E6" s="19">
        <v>2025</v>
      </c>
    </row>
    <row r="7" spans="1:5" ht="24" customHeight="1">
      <c r="A7" s="134" t="s">
        <v>85</v>
      </c>
      <c r="B7" s="7">
        <v>189.3734</v>
      </c>
      <c r="C7" s="7">
        <v>188.16810000000001</v>
      </c>
      <c r="D7" s="7">
        <v>174.76952</v>
      </c>
      <c r="E7" s="8">
        <v>162.58010000000002</v>
      </c>
    </row>
    <row r="8" spans="1:5">
      <c r="A8" s="63" t="s">
        <v>40</v>
      </c>
      <c r="B8" s="7">
        <v>0.96799999999999997</v>
      </c>
      <c r="C8" s="7">
        <v>1.0206999999999999</v>
      </c>
      <c r="D8" s="7">
        <v>1.1556</v>
      </c>
      <c r="E8" s="8">
        <v>1.1020000000000001</v>
      </c>
    </row>
    <row r="9" spans="1:5">
      <c r="A9" s="63" t="s">
        <v>42</v>
      </c>
      <c r="B9" s="7">
        <v>0.31839999999999996</v>
      </c>
      <c r="C9" s="7">
        <v>0.23280000000000001</v>
      </c>
      <c r="D9" s="7">
        <v>0.42119999999999996</v>
      </c>
      <c r="E9" s="8">
        <v>0.12529999999999999</v>
      </c>
    </row>
    <row r="10" spans="1:5">
      <c r="A10" s="63" t="s">
        <v>48</v>
      </c>
      <c r="B10" s="7">
        <v>38.473599999999998</v>
      </c>
      <c r="C10" s="7">
        <v>36.241599999999998</v>
      </c>
      <c r="D10" s="7">
        <v>36.994999999999997</v>
      </c>
      <c r="E10" s="8">
        <v>32.6297</v>
      </c>
    </row>
    <row r="11" spans="1:5">
      <c r="A11" s="63" t="s">
        <v>50</v>
      </c>
      <c r="B11" s="7">
        <v>4.09</v>
      </c>
      <c r="C11" s="7">
        <v>3.6635</v>
      </c>
      <c r="D11" s="7">
        <v>1.75</v>
      </c>
      <c r="E11" s="8">
        <v>1.66</v>
      </c>
    </row>
    <row r="12" spans="1:5">
      <c r="A12" s="63" t="s">
        <v>61</v>
      </c>
      <c r="B12" s="7">
        <v>27.024799999999999</v>
      </c>
      <c r="C12" s="7">
        <v>27.2867</v>
      </c>
      <c r="D12" s="7">
        <v>24.9068</v>
      </c>
      <c r="E12" s="8">
        <v>22.726900000000001</v>
      </c>
    </row>
    <row r="13" spans="1:5">
      <c r="A13" s="63" t="s">
        <v>54</v>
      </c>
      <c r="B13" s="7">
        <v>1.0349999999999999</v>
      </c>
      <c r="C13" s="7">
        <v>1.363</v>
      </c>
      <c r="D13" s="7">
        <v>1.1020000000000001</v>
      </c>
      <c r="E13" s="8">
        <v>0.33300000000000002</v>
      </c>
    </row>
    <row r="14" spans="1:5">
      <c r="A14" s="63" t="s">
        <v>52</v>
      </c>
      <c r="B14" s="7">
        <v>12.1471</v>
      </c>
      <c r="C14" s="7">
        <v>13.644600000000001</v>
      </c>
      <c r="D14" s="7">
        <v>0.42299999999999999</v>
      </c>
      <c r="E14" s="8">
        <v>0.61599999999999999</v>
      </c>
    </row>
    <row r="15" spans="1:5">
      <c r="A15" s="63" t="s">
        <v>62</v>
      </c>
      <c r="B15" s="7">
        <v>0</v>
      </c>
      <c r="C15" s="7">
        <v>0</v>
      </c>
      <c r="D15" s="7">
        <v>0.56499999999999995</v>
      </c>
      <c r="E15" s="8">
        <v>0.51500000000000001</v>
      </c>
    </row>
    <row r="16" spans="1:5">
      <c r="A16" s="63" t="s">
        <v>63</v>
      </c>
      <c r="B16" s="7">
        <v>29.083299999999998</v>
      </c>
      <c r="C16" s="7">
        <v>24.997599999999998</v>
      </c>
      <c r="D16" s="7">
        <v>25.074300000000001</v>
      </c>
      <c r="E16" s="8">
        <v>20.327500000000001</v>
      </c>
    </row>
    <row r="17" spans="1:5">
      <c r="A17" s="63" t="s">
        <v>55</v>
      </c>
      <c r="B17" s="7">
        <v>0.24</v>
      </c>
      <c r="C17" s="7">
        <v>0.25600000000000001</v>
      </c>
      <c r="D17" s="7">
        <v>7.0999999999999994E-2</v>
      </c>
      <c r="E17" s="8">
        <v>9.6000000000000002E-2</v>
      </c>
    </row>
    <row r="18" spans="1:5">
      <c r="A18" s="63" t="s">
        <v>56</v>
      </c>
      <c r="B18" s="7">
        <v>28.670400000000001</v>
      </c>
      <c r="C18" s="7">
        <v>30.8873</v>
      </c>
      <c r="D18" s="7">
        <v>27.836400000000001</v>
      </c>
      <c r="E18" s="8">
        <v>30.072299999999998</v>
      </c>
    </row>
    <row r="19" spans="1:5">
      <c r="A19" s="63" t="s">
        <v>64</v>
      </c>
      <c r="B19" s="7">
        <v>0</v>
      </c>
      <c r="C19" s="7">
        <v>0</v>
      </c>
      <c r="D19" s="7">
        <v>15.1676</v>
      </c>
      <c r="E19" s="8">
        <v>13.4381</v>
      </c>
    </row>
    <row r="20" spans="1:5">
      <c r="A20" s="15" t="s">
        <v>58</v>
      </c>
      <c r="B20" s="58">
        <v>47.018099999999997</v>
      </c>
      <c r="C20" s="58">
        <v>43.542900000000003</v>
      </c>
      <c r="D20" s="58">
        <v>38.971599999999995</v>
      </c>
      <c r="E20" s="58">
        <v>38.938299999999998</v>
      </c>
    </row>
    <row r="21" spans="1:5">
      <c r="B21" s="11"/>
      <c r="C21" s="11"/>
      <c r="D21" s="11"/>
    </row>
    <row r="22" spans="1:5" ht="12.75" customHeight="1">
      <c r="A22" s="155" t="s">
        <v>1</v>
      </c>
      <c r="B22" s="155"/>
      <c r="C22" s="155"/>
      <c r="D22" s="155"/>
      <c r="E22" s="155"/>
    </row>
    <row r="23" spans="1:5" ht="12.75" customHeight="1">
      <c r="A23" s="23"/>
      <c r="C23" s="154" t="s">
        <v>7</v>
      </c>
      <c r="D23" s="154"/>
      <c r="E23" s="154"/>
    </row>
    <row r="24" spans="1:5" s="21" customFormat="1">
      <c r="A24" s="19"/>
      <c r="B24" s="19">
        <v>2022</v>
      </c>
      <c r="C24" s="19">
        <v>2023</v>
      </c>
      <c r="D24" s="19">
        <v>2024</v>
      </c>
      <c r="E24" s="19">
        <v>2025</v>
      </c>
    </row>
    <row r="25" spans="1:5" ht="22.5" customHeight="1">
      <c r="A25" s="134" t="s">
        <v>85</v>
      </c>
      <c r="B25" s="7">
        <v>59.95</v>
      </c>
      <c r="C25" s="7">
        <v>66.56</v>
      </c>
      <c r="D25" s="7">
        <v>52.09</v>
      </c>
      <c r="E25" s="11">
        <v>52.246699999999997</v>
      </c>
    </row>
    <row r="26" spans="1:5" ht="13.5" customHeight="1">
      <c r="A26" s="63" t="s">
        <v>40</v>
      </c>
      <c r="B26" s="7">
        <v>1.1599999999999999</v>
      </c>
      <c r="C26" s="7">
        <v>0.89600000000000002</v>
      </c>
      <c r="D26" s="7">
        <v>0.69640000000000002</v>
      </c>
      <c r="E26" s="11">
        <v>0.66</v>
      </c>
    </row>
    <row r="27" spans="1:5" ht="13.5" customHeight="1">
      <c r="A27" s="63" t="s">
        <v>42</v>
      </c>
      <c r="B27" s="7">
        <v>0.39700000000000002</v>
      </c>
      <c r="C27" s="7">
        <v>0.58520000000000005</v>
      </c>
      <c r="D27" s="7">
        <v>0.38969999999999999</v>
      </c>
      <c r="E27" s="11">
        <v>0.56950000000000001</v>
      </c>
    </row>
    <row r="28" spans="1:5" ht="13.5" customHeight="1">
      <c r="A28" s="63" t="s">
        <v>48</v>
      </c>
      <c r="B28" s="7">
        <v>12.231299999999999</v>
      </c>
      <c r="C28" s="7">
        <v>14.24783</v>
      </c>
      <c r="D28" s="7">
        <v>13.9826</v>
      </c>
      <c r="E28" s="11">
        <v>14.224600000000001</v>
      </c>
    </row>
    <row r="29" spans="1:5" ht="13.5" customHeight="1">
      <c r="A29" s="63" t="s">
        <v>50</v>
      </c>
      <c r="B29" s="7">
        <v>0.66100000000000003</v>
      </c>
      <c r="C29" s="7">
        <v>1.2070000000000001</v>
      </c>
      <c r="D29" s="7">
        <v>0.32900000000000001</v>
      </c>
      <c r="E29" s="11">
        <v>0.41399999999999998</v>
      </c>
    </row>
    <row r="30" spans="1:5" ht="13.5" customHeight="1">
      <c r="A30" s="63" t="s">
        <v>61</v>
      </c>
      <c r="B30" s="7">
        <v>8.6192999999999991</v>
      </c>
      <c r="C30" s="7">
        <v>9.2828999999999997</v>
      </c>
      <c r="D30" s="7">
        <v>5.5888</v>
      </c>
      <c r="E30" s="11">
        <v>5.5998999999999999</v>
      </c>
    </row>
    <row r="31" spans="1:5" ht="13.5" customHeight="1">
      <c r="A31" s="63" t="s">
        <v>54</v>
      </c>
      <c r="B31" s="7">
        <v>1.43</v>
      </c>
      <c r="C31" s="7">
        <v>1.7250000000000001</v>
      </c>
      <c r="D31" s="7">
        <v>0.90600000000000003</v>
      </c>
      <c r="E31" s="11">
        <v>0.59099999999999997</v>
      </c>
    </row>
    <row r="32" spans="1:5" ht="13.5" customHeight="1">
      <c r="A32" s="63" t="s">
        <v>52</v>
      </c>
      <c r="B32" s="7">
        <v>3.7068000000000003</v>
      </c>
      <c r="C32" s="7">
        <v>4.9207999999999998</v>
      </c>
      <c r="D32" s="7">
        <v>0.626</v>
      </c>
      <c r="E32" s="11">
        <v>0.37130000000000002</v>
      </c>
    </row>
    <row r="33" spans="1:5" ht="13.5" customHeight="1">
      <c r="A33" s="63" t="s">
        <v>62</v>
      </c>
      <c r="B33" s="7">
        <v>0</v>
      </c>
      <c r="C33" s="7"/>
      <c r="D33" s="7">
        <v>0.42499999999999999</v>
      </c>
      <c r="E33" s="11">
        <v>0.33200000000000002</v>
      </c>
    </row>
    <row r="34" spans="1:5" ht="13.5" customHeight="1">
      <c r="A34" s="63" t="s">
        <v>63</v>
      </c>
      <c r="B34" s="7">
        <v>4.6798999999999999</v>
      </c>
      <c r="C34" s="7">
        <v>5.5991999999999997</v>
      </c>
      <c r="D34" s="7">
        <v>4.8866000000000005</v>
      </c>
      <c r="E34" s="11">
        <v>4.6806000000000001</v>
      </c>
    </row>
    <row r="35" spans="1:5" ht="13.5" customHeight="1">
      <c r="A35" s="63" t="s">
        <v>55</v>
      </c>
      <c r="B35" s="7">
        <v>0.24199999999999999</v>
      </c>
      <c r="C35" s="7">
        <v>0.14000000000000001</v>
      </c>
      <c r="D35" s="7">
        <v>0.06</v>
      </c>
      <c r="E35" s="11">
        <v>0.05</v>
      </c>
    </row>
    <row r="36" spans="1:5" ht="13.5" customHeight="1">
      <c r="A36" s="63" t="s">
        <v>56</v>
      </c>
      <c r="B36" s="7">
        <v>8.7651000000000003</v>
      </c>
      <c r="C36" s="7">
        <v>7.9504999999999999</v>
      </c>
      <c r="D36" s="7">
        <v>6.9278000000000004</v>
      </c>
      <c r="E36" s="11">
        <v>6.5148000000000001</v>
      </c>
    </row>
    <row r="37" spans="1:5" ht="13.5" customHeight="1">
      <c r="A37" s="63" t="s">
        <v>64</v>
      </c>
      <c r="B37" s="7">
        <v>0</v>
      </c>
      <c r="C37" s="7"/>
      <c r="D37" s="7">
        <v>2.9676</v>
      </c>
      <c r="E37" s="11">
        <v>2.9445999999999999</v>
      </c>
    </row>
    <row r="38" spans="1:5" ht="13.5" customHeight="1">
      <c r="A38" s="15" t="s">
        <v>58</v>
      </c>
      <c r="B38" s="10">
        <v>17.772099999999998</v>
      </c>
      <c r="C38" s="10">
        <v>20.008320000000001</v>
      </c>
      <c r="D38" s="10">
        <v>14.309100000000001</v>
      </c>
      <c r="E38" s="57">
        <v>15.294499999999999</v>
      </c>
    </row>
    <row r="39" spans="1:5" ht="13.5" customHeight="1">
      <c r="B39" s="7"/>
      <c r="C39" s="7"/>
      <c r="D39" s="7"/>
      <c r="E39" s="11"/>
    </row>
    <row r="40" spans="1:5" ht="13.5" customHeight="1">
      <c r="A40" s="6"/>
      <c r="B40" s="7"/>
      <c r="C40" s="7"/>
      <c r="D40" s="7"/>
      <c r="E40" s="11"/>
    </row>
    <row r="41" spans="1:5" ht="13.5" customHeight="1">
      <c r="A41" s="6"/>
      <c r="B41" s="7"/>
      <c r="C41" s="7"/>
      <c r="D41" s="7"/>
      <c r="E41" s="11"/>
    </row>
    <row r="42" spans="1:5" ht="13.5" customHeight="1">
      <c r="A42" s="6"/>
      <c r="B42" s="7"/>
      <c r="C42" s="7"/>
      <c r="D42" s="7"/>
      <c r="E42" s="11"/>
    </row>
    <row r="43" spans="1:5" ht="13.5" customHeight="1">
      <c r="A43" s="6"/>
      <c r="B43" s="7"/>
      <c r="C43" s="7"/>
      <c r="D43" s="7"/>
      <c r="E43" s="11"/>
    </row>
    <row r="44" spans="1:5" ht="13.5" customHeight="1">
      <c r="A44" s="6"/>
      <c r="B44" s="7"/>
      <c r="C44" s="7"/>
      <c r="D44" s="7"/>
      <c r="E44" s="11"/>
    </row>
    <row r="46" spans="1:5">
      <c r="A46" s="6"/>
    </row>
    <row r="47" spans="1:5" ht="12.75" customHeight="1">
      <c r="A47" s="155" t="s">
        <v>2</v>
      </c>
      <c r="B47" s="155"/>
      <c r="C47" s="155"/>
      <c r="D47" s="155"/>
      <c r="E47" s="155"/>
    </row>
    <row r="48" spans="1:5" ht="12.75" customHeight="1">
      <c r="A48" s="23"/>
      <c r="C48" s="154" t="s">
        <v>7</v>
      </c>
      <c r="D48" s="154"/>
      <c r="E48" s="154"/>
    </row>
    <row r="49" spans="1:9" s="21" customFormat="1">
      <c r="A49" s="19"/>
      <c r="B49" s="19">
        <v>2022</v>
      </c>
      <c r="C49" s="19">
        <v>2023</v>
      </c>
      <c r="D49" s="19">
        <v>2024</v>
      </c>
      <c r="E49" s="19">
        <v>2025</v>
      </c>
    </row>
    <row r="50" spans="1:9" ht="22.5" customHeight="1">
      <c r="A50" s="134" t="s">
        <v>85</v>
      </c>
      <c r="B50" s="66">
        <v>2.5619999999999998</v>
      </c>
      <c r="C50" s="66">
        <v>2.5536999999999996</v>
      </c>
      <c r="D50" s="66">
        <v>2.5495000000000001</v>
      </c>
      <c r="E50" s="67">
        <v>3.7193000000000001</v>
      </c>
      <c r="G50" s="67"/>
      <c r="H50" s="11"/>
      <c r="I50" s="66"/>
    </row>
    <row r="51" spans="1:9">
      <c r="A51" s="68" t="s">
        <v>48</v>
      </c>
      <c r="B51" s="66">
        <v>0.44289999999999996</v>
      </c>
      <c r="C51" s="66">
        <v>0.33400000000000002</v>
      </c>
      <c r="D51" s="66">
        <v>0.49399999999999999</v>
      </c>
      <c r="E51" s="67">
        <v>0.505</v>
      </c>
      <c r="G51" s="67"/>
      <c r="H51" s="11"/>
      <c r="I51" s="66"/>
    </row>
    <row r="52" spans="1:9">
      <c r="A52" s="68" t="s">
        <v>65</v>
      </c>
      <c r="B52" s="66">
        <v>0</v>
      </c>
      <c r="C52" s="66">
        <v>0.19600000000000001</v>
      </c>
      <c r="D52" s="66">
        <v>0.19600000000000001</v>
      </c>
      <c r="E52" s="67">
        <v>1.2949999999999999</v>
      </c>
      <c r="G52" s="67"/>
      <c r="H52" s="11"/>
      <c r="I52" s="66"/>
    </row>
    <row r="53" spans="1:9">
      <c r="A53" s="68" t="s">
        <v>61</v>
      </c>
      <c r="B53" s="66">
        <v>0.53700000000000003</v>
      </c>
      <c r="C53" s="77" t="s">
        <v>10</v>
      </c>
      <c r="D53" s="66" t="s">
        <v>10</v>
      </c>
      <c r="E53" s="67">
        <v>0.93600000000000005</v>
      </c>
      <c r="G53" s="67"/>
      <c r="H53" s="11"/>
      <c r="I53" s="69"/>
    </row>
    <row r="54" spans="1:9">
      <c r="A54" s="68" t="s">
        <v>66</v>
      </c>
      <c r="B54" s="66">
        <v>0</v>
      </c>
      <c r="C54" s="66">
        <v>0</v>
      </c>
      <c r="D54" s="66">
        <v>2E-3</v>
      </c>
      <c r="E54" s="67">
        <v>2E-3</v>
      </c>
      <c r="G54" s="67"/>
      <c r="H54" s="11"/>
      <c r="I54" s="66"/>
    </row>
    <row r="55" spans="1:9">
      <c r="A55" s="68" t="s">
        <v>67</v>
      </c>
      <c r="B55" s="66">
        <v>0</v>
      </c>
      <c r="C55" s="66">
        <v>0</v>
      </c>
      <c r="D55" s="66">
        <v>6.0000000000000001E-3</v>
      </c>
      <c r="E55" s="78" t="s">
        <v>10</v>
      </c>
      <c r="G55" s="72"/>
      <c r="H55" s="11"/>
      <c r="I55" s="66"/>
    </row>
    <row r="56" spans="1:9">
      <c r="A56" s="68" t="s">
        <v>68</v>
      </c>
      <c r="B56" s="66">
        <v>0</v>
      </c>
      <c r="C56" s="66">
        <v>0</v>
      </c>
      <c r="D56" s="66">
        <v>0.01</v>
      </c>
      <c r="E56" s="78" t="s">
        <v>10</v>
      </c>
      <c r="G56" s="72"/>
      <c r="H56" s="11"/>
      <c r="I56" s="66"/>
    </row>
    <row r="57" spans="1:9">
      <c r="A57" s="68" t="s">
        <v>63</v>
      </c>
      <c r="B57" s="66">
        <v>0.3231</v>
      </c>
      <c r="C57" s="66">
        <v>0.63970000000000005</v>
      </c>
      <c r="D57" s="66">
        <v>6.25E-2</v>
      </c>
      <c r="E57" s="67">
        <v>6.25E-2</v>
      </c>
      <c r="G57" s="67"/>
      <c r="H57" s="11"/>
      <c r="I57" s="66"/>
    </row>
    <row r="58" spans="1:9">
      <c r="A58" s="68" t="s">
        <v>56</v>
      </c>
      <c r="B58" s="66">
        <v>0.16500000000000001</v>
      </c>
      <c r="C58" s="66">
        <v>0.249</v>
      </c>
      <c r="D58" s="66">
        <v>0.317</v>
      </c>
      <c r="E58" s="67">
        <v>9.1999999999999998E-2</v>
      </c>
      <c r="G58" s="67"/>
      <c r="H58" s="11"/>
      <c r="I58" s="66"/>
    </row>
    <row r="59" spans="1:9">
      <c r="A59" s="79" t="s">
        <v>58</v>
      </c>
      <c r="B59" s="70">
        <v>1.0940000000000001</v>
      </c>
      <c r="C59" s="70">
        <v>1.135</v>
      </c>
      <c r="D59" s="70">
        <v>1.462</v>
      </c>
      <c r="E59" s="71">
        <v>0.82679999999999998</v>
      </c>
      <c r="G59" s="67"/>
      <c r="H59" s="11"/>
      <c r="I59" s="66"/>
    </row>
    <row r="60" spans="1:9">
      <c r="A60" s="2"/>
    </row>
    <row r="61" spans="1:9">
      <c r="A61" s="6"/>
      <c r="B61" s="11"/>
      <c r="C61" s="11"/>
      <c r="D61" s="11"/>
    </row>
    <row r="62" spans="1:9" ht="12.75" customHeight="1">
      <c r="A62" s="155" t="s">
        <v>3</v>
      </c>
      <c r="B62" s="155"/>
      <c r="C62" s="155"/>
      <c r="D62" s="155"/>
      <c r="E62" s="155"/>
    </row>
    <row r="63" spans="1:9" ht="12.75" customHeight="1">
      <c r="A63" s="23"/>
      <c r="C63" s="154" t="s">
        <v>7</v>
      </c>
      <c r="D63" s="154"/>
      <c r="E63" s="154"/>
    </row>
    <row r="64" spans="1:9" s="21" customFormat="1">
      <c r="A64" s="19"/>
      <c r="B64" s="19">
        <v>2022</v>
      </c>
      <c r="C64" s="19">
        <v>2023</v>
      </c>
      <c r="D64" s="19">
        <v>2024</v>
      </c>
      <c r="E64" s="19">
        <v>2025</v>
      </c>
    </row>
    <row r="65" spans="1:7" ht="22.5">
      <c r="A65" s="126" t="s">
        <v>85</v>
      </c>
      <c r="B65" s="66">
        <v>189.68600000000001</v>
      </c>
      <c r="C65" s="66">
        <v>197.434</v>
      </c>
      <c r="D65" s="66">
        <v>204.1704</v>
      </c>
      <c r="E65" s="73">
        <v>235.84868</v>
      </c>
      <c r="G65" s="73"/>
    </row>
    <row r="66" spans="1:7" ht="14.25" customHeight="1">
      <c r="A66" s="68" t="s">
        <v>71</v>
      </c>
      <c r="B66" s="66">
        <v>0.8478</v>
      </c>
      <c r="C66" s="66">
        <v>1.4564000000000001</v>
      </c>
      <c r="D66" s="66">
        <v>0.98560000000000003</v>
      </c>
      <c r="E66" s="73">
        <v>1.91188</v>
      </c>
      <c r="G66" s="73"/>
    </row>
    <row r="67" spans="1:7">
      <c r="A67" s="68" t="s">
        <v>72</v>
      </c>
      <c r="B67" s="66">
        <v>0</v>
      </c>
      <c r="C67" s="66">
        <v>0</v>
      </c>
      <c r="D67" s="66">
        <v>0</v>
      </c>
      <c r="E67" s="73">
        <v>0.1832</v>
      </c>
      <c r="G67" s="73"/>
    </row>
    <row r="68" spans="1:7">
      <c r="A68" s="68" t="s">
        <v>48</v>
      </c>
      <c r="B68" s="66">
        <v>31.533000000000001</v>
      </c>
      <c r="C68" s="66">
        <v>32.558999999999997</v>
      </c>
      <c r="D68" s="66">
        <v>36.0702</v>
      </c>
      <c r="E68" s="73">
        <v>40.722569999999997</v>
      </c>
      <c r="G68" s="73"/>
    </row>
    <row r="69" spans="1:7">
      <c r="A69" s="68" t="s">
        <v>50</v>
      </c>
      <c r="B69" s="66">
        <v>1.02</v>
      </c>
      <c r="C69" s="66">
        <v>0.62</v>
      </c>
      <c r="D69" s="66">
        <v>0.47199999999999998</v>
      </c>
      <c r="E69" s="73">
        <v>0.75</v>
      </c>
      <c r="G69" s="73"/>
    </row>
    <row r="70" spans="1:7">
      <c r="A70" s="68" t="s">
        <v>61</v>
      </c>
      <c r="B70" s="66">
        <v>21.645599999999998</v>
      </c>
      <c r="C70" s="66">
        <v>22.6892</v>
      </c>
      <c r="D70" s="66">
        <v>25.914400000000001</v>
      </c>
      <c r="E70" s="73">
        <v>29.648139999999998</v>
      </c>
      <c r="G70" s="73"/>
    </row>
    <row r="71" spans="1:7">
      <c r="A71" s="68" t="s">
        <v>54</v>
      </c>
      <c r="B71" s="66">
        <v>1.94</v>
      </c>
      <c r="C71" s="66">
        <v>1.84</v>
      </c>
      <c r="D71" s="66">
        <v>0.1</v>
      </c>
      <c r="E71" s="73">
        <v>1.05</v>
      </c>
      <c r="G71" s="73"/>
    </row>
    <row r="72" spans="1:7">
      <c r="A72" s="68" t="s">
        <v>52</v>
      </c>
      <c r="B72" s="66">
        <v>22.446000000000002</v>
      </c>
      <c r="C72" s="66">
        <v>21.3826</v>
      </c>
      <c r="D72" s="66">
        <v>0.08</v>
      </c>
      <c r="E72" s="73">
        <v>0.36760000000000004</v>
      </c>
      <c r="G72" s="73"/>
    </row>
    <row r="73" spans="1:7">
      <c r="A73" s="68" t="s">
        <v>73</v>
      </c>
      <c r="B73" s="66">
        <v>0</v>
      </c>
      <c r="C73" s="66">
        <v>0</v>
      </c>
      <c r="D73" s="66">
        <v>0.78900000000000003</v>
      </c>
      <c r="E73" s="73">
        <v>0.4</v>
      </c>
      <c r="G73" s="73"/>
    </row>
    <row r="74" spans="1:7">
      <c r="A74" s="68" t="s">
        <v>63</v>
      </c>
      <c r="B74" s="66">
        <v>26.0886</v>
      </c>
      <c r="C74" s="66">
        <v>30.812200000000001</v>
      </c>
      <c r="D74" s="66">
        <v>28.9497</v>
      </c>
      <c r="E74" s="73">
        <v>35.236980000000003</v>
      </c>
      <c r="G74" s="73"/>
    </row>
    <row r="75" spans="1:7">
      <c r="A75" s="68" t="s">
        <v>56</v>
      </c>
      <c r="B75" s="66">
        <v>35.930900000000001</v>
      </c>
      <c r="C75" s="66">
        <v>34.1511</v>
      </c>
      <c r="D75" s="66">
        <v>38.391100000000002</v>
      </c>
      <c r="E75" s="73">
        <v>37.564109999999999</v>
      </c>
      <c r="G75" s="73"/>
    </row>
    <row r="76" spans="1:7">
      <c r="A76" s="68" t="s">
        <v>74</v>
      </c>
      <c r="B76" s="66">
        <v>0</v>
      </c>
      <c r="C76" s="66">
        <v>0</v>
      </c>
      <c r="D76" s="66">
        <v>19.125799999999998</v>
      </c>
      <c r="E76" s="73">
        <v>24.78153</v>
      </c>
      <c r="G76" s="73"/>
    </row>
    <row r="77" spans="1:7">
      <c r="A77" s="79" t="s">
        <v>58</v>
      </c>
      <c r="B77" s="70">
        <v>48.234199999999994</v>
      </c>
      <c r="C77" s="70">
        <v>51.923400000000001</v>
      </c>
      <c r="D77" s="70">
        <v>53.292699999999996</v>
      </c>
      <c r="E77" s="74">
        <v>63.232669999999999</v>
      </c>
      <c r="G77" s="73"/>
    </row>
    <row r="80" spans="1:7" ht="12.75" customHeight="1">
      <c r="A80" s="155" t="s">
        <v>23</v>
      </c>
      <c r="B80" s="155"/>
      <c r="C80" s="155"/>
      <c r="D80" s="155"/>
      <c r="E80" s="155"/>
    </row>
    <row r="81" spans="1:7" ht="12.75" customHeight="1">
      <c r="A81" s="23"/>
      <c r="C81" s="154" t="s">
        <v>7</v>
      </c>
      <c r="D81" s="154"/>
      <c r="E81" s="154"/>
    </row>
    <row r="82" spans="1:7" s="21" customFormat="1">
      <c r="A82" s="19"/>
      <c r="B82" s="19">
        <v>2022</v>
      </c>
      <c r="C82" s="19" t="s">
        <v>27</v>
      </c>
      <c r="D82" s="19">
        <v>2024</v>
      </c>
      <c r="E82" s="19">
        <v>2025</v>
      </c>
    </row>
    <row r="83" spans="1:7" ht="22.5">
      <c r="A83" s="126" t="s">
        <v>85</v>
      </c>
      <c r="B83" s="66">
        <v>11.8119</v>
      </c>
      <c r="C83" s="66">
        <v>10.809100000000001</v>
      </c>
      <c r="D83" s="80">
        <v>8.0618999999999996</v>
      </c>
      <c r="E83" s="75">
        <v>7.5001999999999995</v>
      </c>
      <c r="G83" s="67"/>
    </row>
    <row r="84" spans="1:7">
      <c r="A84" s="68" t="s">
        <v>71</v>
      </c>
      <c r="B84" s="66">
        <v>1.4582999999999999</v>
      </c>
      <c r="C84" s="66">
        <v>1.4701</v>
      </c>
      <c r="D84" s="80">
        <v>1.47</v>
      </c>
      <c r="E84" s="67">
        <v>1.46</v>
      </c>
      <c r="G84" s="67"/>
    </row>
    <row r="85" spans="1:7">
      <c r="A85" s="68" t="s">
        <v>72</v>
      </c>
      <c r="B85" s="66">
        <v>1.1202000000000001</v>
      </c>
      <c r="C85" s="66">
        <v>1.0124</v>
      </c>
      <c r="D85" s="80">
        <v>1.1456999999999999</v>
      </c>
      <c r="E85" s="67">
        <v>1.1457999999999999</v>
      </c>
      <c r="G85" s="67"/>
    </row>
    <row r="86" spans="1:7">
      <c r="A86" s="68" t="s">
        <v>48</v>
      </c>
      <c r="B86" s="66">
        <v>1.8466</v>
      </c>
      <c r="C86" s="66">
        <v>1.996</v>
      </c>
      <c r="D86" s="80">
        <v>1.4722</v>
      </c>
      <c r="E86" s="67">
        <v>1.39463</v>
      </c>
      <c r="G86" s="67"/>
    </row>
    <row r="87" spans="1:7">
      <c r="A87" s="68" t="s">
        <v>50</v>
      </c>
      <c r="B87" s="66">
        <v>1.5805</v>
      </c>
      <c r="C87" s="66">
        <v>1.1867999999999999</v>
      </c>
      <c r="D87" s="80">
        <v>0.27389999999999998</v>
      </c>
      <c r="E87" s="67">
        <v>0.26904</v>
      </c>
      <c r="G87" s="67"/>
    </row>
    <row r="88" spans="1:7">
      <c r="A88" s="68" t="s">
        <v>61</v>
      </c>
      <c r="B88" s="66">
        <v>1.2159</v>
      </c>
      <c r="C88" s="66">
        <v>1.2020999999999999</v>
      </c>
      <c r="D88" s="80">
        <v>1.1060999999999999</v>
      </c>
      <c r="E88" s="67">
        <v>0.67867999999999995</v>
      </c>
      <c r="G88" s="67"/>
    </row>
    <row r="89" spans="1:7">
      <c r="A89" s="68" t="s">
        <v>54</v>
      </c>
      <c r="B89" s="66">
        <v>1.5543</v>
      </c>
      <c r="C89" s="66">
        <v>1.3177000000000001</v>
      </c>
      <c r="D89" s="80">
        <v>0.2984</v>
      </c>
      <c r="E89" s="67">
        <v>0.51475000000000004</v>
      </c>
      <c r="G89" s="67"/>
    </row>
    <row r="90" spans="1:7">
      <c r="A90" s="68" t="s">
        <v>52</v>
      </c>
      <c r="B90" s="66">
        <v>1.1495</v>
      </c>
      <c r="C90" s="66">
        <v>0.93170000000000008</v>
      </c>
      <c r="D90" s="80">
        <v>0.38750000000000001</v>
      </c>
      <c r="E90" s="67">
        <v>0.32672000000000001</v>
      </c>
      <c r="G90" s="67"/>
    </row>
    <row r="91" spans="1:7">
      <c r="A91" s="68" t="s">
        <v>73</v>
      </c>
      <c r="B91" s="66">
        <v>0</v>
      </c>
      <c r="C91" s="66">
        <v>0</v>
      </c>
      <c r="D91" s="80">
        <v>0.26150000000000001</v>
      </c>
      <c r="E91" s="67">
        <v>0.19196000000000002</v>
      </c>
      <c r="G91" s="67"/>
    </row>
    <row r="92" spans="1:7">
      <c r="A92" s="68" t="s">
        <v>63</v>
      </c>
      <c r="B92" s="66">
        <v>0.189</v>
      </c>
      <c r="C92" s="66">
        <v>0.18469999999999998</v>
      </c>
      <c r="D92" s="80">
        <v>0.1231</v>
      </c>
      <c r="E92" s="67">
        <v>0.11773</v>
      </c>
      <c r="G92" s="67"/>
    </row>
    <row r="93" spans="1:7">
      <c r="A93" s="68" t="s">
        <v>55</v>
      </c>
      <c r="B93" s="66">
        <v>0.26750000000000002</v>
      </c>
      <c r="C93" s="66">
        <v>0.19850000000000001</v>
      </c>
      <c r="D93" s="80">
        <v>7.4200000000000002E-2</v>
      </c>
      <c r="E93" s="67">
        <v>8.3549999999999999E-2</v>
      </c>
      <c r="G93" s="67"/>
    </row>
    <row r="94" spans="1:7">
      <c r="A94" s="68" t="s">
        <v>56</v>
      </c>
      <c r="B94" s="66">
        <v>0.51829999999999998</v>
      </c>
      <c r="C94" s="66">
        <v>0.39560000000000001</v>
      </c>
      <c r="D94" s="80">
        <v>0.30030000000000001</v>
      </c>
      <c r="E94" s="67">
        <v>0.24434</v>
      </c>
      <c r="G94" s="67"/>
    </row>
    <row r="95" spans="1:7">
      <c r="A95" s="68" t="s">
        <v>74</v>
      </c>
      <c r="B95" s="66">
        <v>0</v>
      </c>
      <c r="C95" s="66">
        <v>0</v>
      </c>
      <c r="D95" s="80">
        <v>0.2462</v>
      </c>
      <c r="E95" s="67">
        <v>0.19941</v>
      </c>
      <c r="G95" s="67"/>
    </row>
    <row r="96" spans="1:7">
      <c r="A96" s="79" t="s">
        <v>58</v>
      </c>
      <c r="B96" s="70">
        <v>0.91189999999999993</v>
      </c>
      <c r="C96" s="70">
        <v>0.91359999999999997</v>
      </c>
      <c r="D96" s="81">
        <v>9.300000000000001E-3</v>
      </c>
      <c r="E96" s="71">
        <v>0.87358999999999998</v>
      </c>
      <c r="G96" s="67"/>
    </row>
    <row r="98" spans="1:7" ht="78.75" customHeight="1">
      <c r="A98" s="153" t="s">
        <v>39</v>
      </c>
      <c r="B98" s="153"/>
      <c r="C98" s="153"/>
      <c r="D98" s="153"/>
      <c r="E98" s="153"/>
      <c r="F98" s="153"/>
      <c r="G98" s="153"/>
    </row>
    <row r="100" spans="1:7">
      <c r="B100" s="11"/>
      <c r="C100" s="11"/>
      <c r="D100" s="11"/>
    </row>
    <row r="101" spans="1:7">
      <c r="B101" s="11"/>
      <c r="C101" s="11"/>
      <c r="D101" s="11"/>
    </row>
    <row r="102" spans="1:7">
      <c r="B102" s="11"/>
      <c r="C102" s="11"/>
      <c r="D102" s="11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</sheetData>
  <mergeCells count="11">
    <mergeCell ref="C5:E5"/>
    <mergeCell ref="C23:E23"/>
    <mergeCell ref="A4:E4"/>
    <mergeCell ref="A22:E22"/>
    <mergeCell ref="A47:E47"/>
    <mergeCell ref="A98:G98"/>
    <mergeCell ref="C48:E48"/>
    <mergeCell ref="C63:E63"/>
    <mergeCell ref="C81:E81"/>
    <mergeCell ref="A62:E62"/>
    <mergeCell ref="A80:E80"/>
  </mergeCells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1" manualBreakCount="1">
    <brk id="45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5"/>
  <sheetViews>
    <sheetView workbookViewId="0">
      <selection activeCell="G7" sqref="G7"/>
    </sheetView>
  </sheetViews>
  <sheetFormatPr defaultRowHeight="11.25"/>
  <cols>
    <col min="1" max="1" width="13.140625" style="2" customWidth="1"/>
    <col min="2" max="2" width="16.7109375" style="2" customWidth="1"/>
    <col min="3" max="3" width="15.42578125" style="2" customWidth="1"/>
    <col min="4" max="4" width="13.42578125" style="2" customWidth="1"/>
    <col min="5" max="5" width="15" style="2" customWidth="1"/>
    <col min="6" max="6" width="15.85546875" style="2" customWidth="1"/>
    <col min="7" max="7" width="15.42578125" style="2" customWidth="1"/>
    <col min="8" max="16384" width="9.140625" style="2"/>
  </cols>
  <sheetData>
    <row r="1" spans="1:7" s="20" customFormat="1" ht="12.75">
      <c r="A1" s="148" t="s">
        <v>35</v>
      </c>
      <c r="B1" s="148"/>
      <c r="C1" s="148"/>
      <c r="D1" s="148"/>
      <c r="E1" s="148"/>
      <c r="F1" s="148"/>
      <c r="G1" s="148"/>
    </row>
    <row r="2" spans="1:7">
      <c r="G2" s="13" t="s">
        <v>36</v>
      </c>
    </row>
    <row r="3" spans="1:7" ht="58.5" customHeight="1">
      <c r="A3" s="45"/>
      <c r="B3" s="41" t="s">
        <v>30</v>
      </c>
      <c r="C3" s="41" t="s">
        <v>31</v>
      </c>
      <c r="D3" s="41" t="s">
        <v>37</v>
      </c>
      <c r="E3" s="41" t="s">
        <v>23</v>
      </c>
      <c r="F3" s="41" t="s">
        <v>38</v>
      </c>
      <c r="G3" s="41" t="s">
        <v>33</v>
      </c>
    </row>
    <row r="4" spans="1:7">
      <c r="A4" s="26">
        <v>1997</v>
      </c>
      <c r="B4" s="25">
        <v>216.08500000000001</v>
      </c>
      <c r="C4" s="25">
        <v>42.49</v>
      </c>
      <c r="D4" s="25">
        <v>35.75</v>
      </c>
      <c r="E4" s="25">
        <v>161.22</v>
      </c>
      <c r="F4" s="25">
        <v>84.582999999999998</v>
      </c>
      <c r="G4" s="25" t="s">
        <v>34</v>
      </c>
    </row>
    <row r="5" spans="1:7">
      <c r="A5" s="26">
        <v>1998</v>
      </c>
      <c r="B5" s="25">
        <v>337.73500000000001</v>
      </c>
      <c r="C5" s="25">
        <v>77.748000000000005</v>
      </c>
      <c r="D5" s="25">
        <v>66.412999999999997</v>
      </c>
      <c r="E5" s="25">
        <v>191.262</v>
      </c>
      <c r="F5" s="25">
        <v>123.717</v>
      </c>
      <c r="G5" s="25" t="s">
        <v>34</v>
      </c>
    </row>
    <row r="6" spans="1:7">
      <c r="A6" s="26">
        <v>1999</v>
      </c>
      <c r="B6" s="25">
        <v>370.39600000000002</v>
      </c>
      <c r="C6" s="25">
        <v>75.808999999999997</v>
      </c>
      <c r="D6" s="25">
        <v>75.453000000000003</v>
      </c>
      <c r="E6" s="25">
        <v>258.47399999999999</v>
      </c>
      <c r="F6" s="25">
        <v>164.68199999999999</v>
      </c>
      <c r="G6" s="25" t="s">
        <v>34</v>
      </c>
    </row>
    <row r="7" spans="1:7">
      <c r="A7" s="26">
        <v>2000</v>
      </c>
      <c r="B7" s="25">
        <v>598.62300000000005</v>
      </c>
      <c r="C7" s="25">
        <v>65.064999999999998</v>
      </c>
      <c r="D7" s="25">
        <v>64.724999999999994</v>
      </c>
      <c r="E7" s="25">
        <v>290.27</v>
      </c>
      <c r="F7" s="25">
        <v>189.48</v>
      </c>
      <c r="G7" s="25">
        <v>29</v>
      </c>
    </row>
    <row r="8" spans="1:7">
      <c r="A8" s="26">
        <v>2001</v>
      </c>
      <c r="B8" s="25">
        <v>730.21600000000001</v>
      </c>
      <c r="C8" s="25">
        <v>98.742999999999995</v>
      </c>
      <c r="D8" s="25">
        <v>98.406000000000006</v>
      </c>
      <c r="E8" s="25">
        <v>342.84500000000003</v>
      </c>
      <c r="F8" s="25">
        <v>205.922</v>
      </c>
      <c r="G8" s="25">
        <v>28.4</v>
      </c>
    </row>
    <row r="9" spans="1:7">
      <c r="A9" s="26">
        <v>2002</v>
      </c>
      <c r="B9" s="25">
        <v>932.06899999999996</v>
      </c>
      <c r="C9" s="25">
        <v>120.25</v>
      </c>
      <c r="D9" s="25">
        <v>119.62</v>
      </c>
      <c r="E9" s="25">
        <v>373.07</v>
      </c>
      <c r="F9" s="25">
        <v>199.84</v>
      </c>
      <c r="G9" s="25">
        <v>31.863</v>
      </c>
    </row>
    <row r="10" spans="1:7">
      <c r="A10" s="26">
        <v>2003</v>
      </c>
      <c r="B10" s="25">
        <v>614.71799999999996</v>
      </c>
      <c r="C10" s="25">
        <v>197.25800000000001</v>
      </c>
      <c r="D10" s="25">
        <v>195.39500000000001</v>
      </c>
      <c r="E10" s="25">
        <v>382.63900000000001</v>
      </c>
      <c r="F10" s="25">
        <v>202.505</v>
      </c>
      <c r="G10" s="25">
        <v>34.683</v>
      </c>
    </row>
    <row r="11" spans="1:7">
      <c r="A11" s="26">
        <v>2004</v>
      </c>
      <c r="B11" s="25">
        <v>672.40800000000002</v>
      </c>
      <c r="C11" s="25">
        <v>179.70500000000001</v>
      </c>
      <c r="D11" s="25">
        <v>176.96700000000001</v>
      </c>
      <c r="E11" s="25">
        <v>365.14699999999999</v>
      </c>
      <c r="F11" s="25">
        <v>207.309</v>
      </c>
      <c r="G11" s="25">
        <v>41.2</v>
      </c>
    </row>
    <row r="12" spans="1:7">
      <c r="A12" s="26">
        <v>2005</v>
      </c>
      <c r="B12" s="25">
        <v>561.38599999999997</v>
      </c>
      <c r="C12" s="25">
        <v>170.77099999999999</v>
      </c>
      <c r="D12" s="25">
        <v>169.43</v>
      </c>
      <c r="E12" s="25">
        <v>364.44499999999999</v>
      </c>
      <c r="F12" s="25">
        <v>203.37299999999999</v>
      </c>
      <c r="G12" s="25">
        <v>43.281999999999996</v>
      </c>
    </row>
    <row r="13" spans="1:7">
      <c r="A13" s="26">
        <v>2006</v>
      </c>
      <c r="B13" s="25">
        <v>516.38099999999997</v>
      </c>
      <c r="C13" s="25">
        <v>159.43100000000001</v>
      </c>
      <c r="D13" s="25">
        <v>158.94</v>
      </c>
      <c r="E13" s="25">
        <v>312.79500000000002</v>
      </c>
      <c r="F13" s="25">
        <v>159.85900000000001</v>
      </c>
      <c r="G13" s="25">
        <v>37.981999999999999</v>
      </c>
    </row>
    <row r="14" spans="1:7">
      <c r="A14" s="26">
        <v>2007</v>
      </c>
      <c r="B14" s="25">
        <v>711.452</v>
      </c>
      <c r="C14" s="25">
        <v>114.94799999999999</v>
      </c>
      <c r="D14" s="25">
        <v>114.706</v>
      </c>
      <c r="E14" s="25">
        <v>307.87799999999999</v>
      </c>
      <c r="F14" s="25">
        <v>168.86600000000001</v>
      </c>
      <c r="G14" s="25">
        <v>37.195999999999998</v>
      </c>
    </row>
    <row r="15" spans="1:7">
      <c r="A15" s="39">
        <v>2008</v>
      </c>
      <c r="B15" s="25">
        <v>196.00299999999999</v>
      </c>
      <c r="C15" s="25">
        <v>85.605000000000004</v>
      </c>
      <c r="D15" s="25">
        <v>85.415999999999997</v>
      </c>
      <c r="E15" s="25">
        <v>251.43199999999999</v>
      </c>
      <c r="F15" s="25">
        <v>152.102</v>
      </c>
      <c r="G15" s="25">
        <v>30.547999999999998</v>
      </c>
    </row>
    <row r="16" spans="1:7">
      <c r="A16" s="26">
        <v>2009</v>
      </c>
      <c r="B16" s="25">
        <v>885.298</v>
      </c>
      <c r="C16" s="25">
        <v>191.11600000000001</v>
      </c>
      <c r="D16" s="25">
        <v>190.65</v>
      </c>
      <c r="E16" s="25">
        <v>352.017</v>
      </c>
      <c r="F16" s="25">
        <v>194.87100000000001</v>
      </c>
      <c r="G16" s="25">
        <v>39.555</v>
      </c>
    </row>
    <row r="17" spans="1:7">
      <c r="A17" s="26">
        <v>2010</v>
      </c>
      <c r="B17" s="27">
        <v>467.654</v>
      </c>
      <c r="C17" s="27">
        <v>193.78800000000001</v>
      </c>
      <c r="D17" s="27">
        <v>189.489</v>
      </c>
      <c r="E17" s="27">
        <v>374.74700000000001</v>
      </c>
      <c r="F17" s="40">
        <v>198.59700000000001</v>
      </c>
      <c r="G17" s="27">
        <v>41.145000000000003</v>
      </c>
    </row>
    <row r="18" spans="1:7">
      <c r="A18" s="26">
        <v>2011</v>
      </c>
      <c r="B18" s="27">
        <v>540.90700000000004</v>
      </c>
      <c r="C18" s="27">
        <v>216.51599999999999</v>
      </c>
      <c r="D18" s="27">
        <v>211.00200000000001</v>
      </c>
      <c r="E18" s="27">
        <v>374.73700000000002</v>
      </c>
      <c r="F18" s="27">
        <v>202.82400000000001</v>
      </c>
      <c r="G18" s="27">
        <v>45.575000000000003</v>
      </c>
    </row>
    <row r="19" spans="1:7">
      <c r="A19" s="26">
        <v>2012</v>
      </c>
      <c r="B19" s="27">
        <v>580.92200000000003</v>
      </c>
      <c r="C19" s="27">
        <v>274.85599999999999</v>
      </c>
      <c r="D19" s="27">
        <v>264.779</v>
      </c>
      <c r="E19" s="27">
        <v>393.858</v>
      </c>
      <c r="F19" s="27">
        <v>219.78200000000001</v>
      </c>
      <c r="G19" s="27">
        <v>51.587000000000003</v>
      </c>
    </row>
    <row r="20" spans="1:7">
      <c r="A20" s="26">
        <v>2013</v>
      </c>
      <c r="B20" s="27">
        <v>790.24599999999998</v>
      </c>
      <c r="C20" s="27">
        <v>325.40980000000002</v>
      </c>
      <c r="D20" s="27">
        <v>308.80799999999999</v>
      </c>
      <c r="E20" s="27">
        <v>442.03899999999999</v>
      </c>
      <c r="F20" s="27">
        <v>228.24299999999999</v>
      </c>
      <c r="G20" s="27">
        <v>76.451999999999998</v>
      </c>
    </row>
    <row r="21" spans="1:7">
      <c r="A21" s="26">
        <v>2014</v>
      </c>
      <c r="B21" s="27">
        <v>713.38599999999997</v>
      </c>
      <c r="C21" s="27">
        <v>301.291</v>
      </c>
      <c r="D21" s="27">
        <v>278.38099999999997</v>
      </c>
      <c r="E21" s="27">
        <v>458.48700000000002</v>
      </c>
      <c r="F21" s="27">
        <v>242.798</v>
      </c>
      <c r="G21" s="27">
        <v>75.66</v>
      </c>
    </row>
    <row r="22" spans="1:7">
      <c r="A22" s="26">
        <v>2015</v>
      </c>
      <c r="B22" s="27">
        <v>646.72299999999996</v>
      </c>
      <c r="C22" s="27">
        <v>324.11700000000002</v>
      </c>
      <c r="D22" s="27">
        <v>301.79700000000003</v>
      </c>
      <c r="E22" s="27">
        <v>453.27600000000001</v>
      </c>
      <c r="F22" s="27">
        <v>232.059</v>
      </c>
      <c r="G22" s="27">
        <v>90.984999999999999</v>
      </c>
    </row>
    <row r="23" spans="1:7">
      <c r="A23" s="26">
        <v>2016</v>
      </c>
      <c r="B23" s="27">
        <v>782.9</v>
      </c>
      <c r="C23" s="27">
        <v>440</v>
      </c>
      <c r="D23" s="27">
        <v>421.5</v>
      </c>
      <c r="E23" s="27">
        <v>425.71300000000002</v>
      </c>
      <c r="F23" s="27">
        <v>236.089</v>
      </c>
      <c r="G23" s="27">
        <v>134.6</v>
      </c>
    </row>
    <row r="24" spans="1:7">
      <c r="A24" s="26">
        <v>2017</v>
      </c>
      <c r="B24" s="27">
        <v>657.1</v>
      </c>
      <c r="C24" s="27">
        <v>530.70000000000005</v>
      </c>
      <c r="D24" s="27">
        <v>494.8</v>
      </c>
      <c r="E24" s="27">
        <v>417.08</v>
      </c>
      <c r="F24" s="27">
        <v>236.44399999999999</v>
      </c>
      <c r="G24" s="27">
        <v>136.696</v>
      </c>
    </row>
    <row r="25" spans="1:7">
      <c r="A25" s="26">
        <v>2018</v>
      </c>
      <c r="B25" s="27">
        <v>816.8</v>
      </c>
      <c r="C25" s="27">
        <v>549.85500000000002</v>
      </c>
      <c r="D25" s="27">
        <v>502.7</v>
      </c>
      <c r="E25" s="27">
        <v>427.66899999999998</v>
      </c>
      <c r="F25" s="27">
        <v>259.09300000000002</v>
      </c>
      <c r="G25" s="27">
        <v>119.218</v>
      </c>
    </row>
    <row r="26" spans="1:7">
      <c r="A26" s="26">
        <v>2019</v>
      </c>
      <c r="B26" s="27">
        <v>930.3</v>
      </c>
      <c r="C26" s="27">
        <v>596.29100000000005</v>
      </c>
      <c r="D26" s="27">
        <v>556.6</v>
      </c>
      <c r="E26" s="27">
        <v>425.33280000000002</v>
      </c>
      <c r="F26" s="27">
        <v>241.47200000000001</v>
      </c>
      <c r="G26" s="27">
        <v>181.00890000000001</v>
      </c>
    </row>
    <row r="27" spans="1:7">
      <c r="A27" s="26">
        <v>2020</v>
      </c>
      <c r="B27" s="27">
        <v>773.9</v>
      </c>
      <c r="C27" s="27">
        <v>615.66999999999996</v>
      </c>
      <c r="D27" s="27">
        <v>583.05999999999995</v>
      </c>
      <c r="E27" s="27">
        <v>435.80599999999998</v>
      </c>
      <c r="F27" s="27">
        <v>269.89600000000002</v>
      </c>
      <c r="G27" s="27">
        <v>149.92400000000001</v>
      </c>
    </row>
    <row r="28" spans="1:7">
      <c r="A28" s="26">
        <v>2021</v>
      </c>
      <c r="B28" s="27">
        <v>980.7</v>
      </c>
      <c r="C28" s="27">
        <v>667.80499999999995</v>
      </c>
      <c r="D28" s="27">
        <v>633.24</v>
      </c>
      <c r="E28" s="27">
        <v>445.58199999999999</v>
      </c>
      <c r="F28" s="27">
        <v>284.99299999999999</v>
      </c>
      <c r="G28" s="27">
        <v>142.64400000000001</v>
      </c>
    </row>
    <row r="29" spans="1:7">
      <c r="A29" s="26">
        <v>2022</v>
      </c>
      <c r="B29" s="27">
        <v>528.5</v>
      </c>
      <c r="C29" s="27">
        <v>390.7</v>
      </c>
      <c r="D29" s="27">
        <v>358.4</v>
      </c>
      <c r="E29" s="27">
        <v>279.3</v>
      </c>
      <c r="F29" s="27">
        <v>155.30000000000001</v>
      </c>
      <c r="G29" s="27">
        <v>33.200000000000003</v>
      </c>
    </row>
    <row r="30" spans="1:7">
      <c r="A30" s="26" t="s">
        <v>27</v>
      </c>
      <c r="B30" s="27">
        <v>386.8</v>
      </c>
      <c r="C30" s="27">
        <v>355.99</v>
      </c>
      <c r="D30" s="27">
        <v>334.678</v>
      </c>
      <c r="E30" s="27">
        <v>258.89999999999998</v>
      </c>
      <c r="F30" s="27">
        <v>154</v>
      </c>
      <c r="G30" s="27">
        <v>41.6</v>
      </c>
    </row>
    <row r="31" spans="1:7">
      <c r="A31" s="26">
        <v>2024</v>
      </c>
      <c r="B31" s="27">
        <v>581.9</v>
      </c>
      <c r="C31" s="27">
        <v>423.3</v>
      </c>
      <c r="D31" s="27">
        <v>384.52499999999998</v>
      </c>
      <c r="E31" s="27">
        <v>191.4</v>
      </c>
      <c r="F31" s="27">
        <v>130.69999999999999</v>
      </c>
      <c r="G31" s="27">
        <v>18.7</v>
      </c>
    </row>
    <row r="32" spans="1:7">
      <c r="A32" s="26">
        <v>2025</v>
      </c>
      <c r="B32" s="27">
        <v>526.4</v>
      </c>
      <c r="C32" s="27">
        <v>491.14499999999998</v>
      </c>
      <c r="D32" s="27">
        <v>446.3</v>
      </c>
      <c r="E32" s="27">
        <v>178.3</v>
      </c>
      <c r="F32" s="27">
        <v>112.8</v>
      </c>
      <c r="G32" s="27">
        <v>21.2</v>
      </c>
    </row>
    <row r="34" spans="1:7" ht="48.75" customHeight="1">
      <c r="A34" s="149" t="s">
        <v>39</v>
      </c>
      <c r="B34" s="149"/>
      <c r="C34" s="149"/>
      <c r="D34" s="149"/>
      <c r="E34" s="149"/>
      <c r="F34" s="149"/>
      <c r="G34" s="149"/>
    </row>
    <row r="35" spans="1:7">
      <c r="E35" s="46"/>
    </row>
  </sheetData>
  <mergeCells count="2">
    <mergeCell ref="A1:G1"/>
    <mergeCell ref="A34:G34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S186"/>
  <sheetViews>
    <sheetView workbookViewId="0">
      <pane xSplit="1" topLeftCell="K1" activePane="topRight" state="frozen"/>
      <selection activeCell="A103" sqref="A103"/>
      <selection pane="topRight" activeCell="G36" sqref="G36"/>
    </sheetView>
  </sheetViews>
  <sheetFormatPr defaultColWidth="19.5703125" defaultRowHeight="11.25"/>
  <cols>
    <col min="1" max="1" width="20.140625" style="1" customWidth="1"/>
    <col min="2" max="2" width="8.140625" style="2" bestFit="1" customWidth="1"/>
    <col min="3" max="3" width="8" style="2" customWidth="1"/>
    <col min="4" max="5" width="8.140625" style="2" bestFit="1" customWidth="1"/>
    <col min="6" max="6" width="8.5703125" style="2" customWidth="1"/>
    <col min="7" max="7" width="8.85546875" style="2" customWidth="1"/>
    <col min="8" max="9" width="8.28515625" style="2" customWidth="1"/>
    <col min="10" max="10" width="7.140625" style="2" bestFit="1" customWidth="1"/>
    <col min="11" max="11" width="8.140625" style="2" bestFit="1" customWidth="1"/>
    <col min="12" max="12" width="7.140625" style="2" bestFit="1" customWidth="1"/>
    <col min="13" max="13" width="8.140625" style="2" bestFit="1" customWidth="1"/>
    <col min="14" max="14" width="8.140625" style="3" bestFit="1" customWidth="1"/>
    <col min="15" max="15" width="8.140625" style="2" bestFit="1" customWidth="1"/>
    <col min="16" max="16" width="7.140625" style="2" bestFit="1" customWidth="1"/>
    <col min="17" max="21" width="8.28515625" style="2" bestFit="1" customWidth="1"/>
    <col min="22" max="22" width="7.85546875" style="2" bestFit="1" customWidth="1"/>
    <col min="23" max="23" width="8.28515625" style="2" bestFit="1" customWidth="1"/>
    <col min="24" max="24" width="7.5703125" style="2" bestFit="1" customWidth="1"/>
    <col min="25" max="27" width="8.28515625" style="2" bestFit="1" customWidth="1"/>
    <col min="28" max="33" width="8.140625" style="2" bestFit="1" customWidth="1"/>
    <col min="34" max="34" width="12.28515625" style="2" customWidth="1"/>
    <col min="35" max="16384" width="19.5703125" style="2"/>
  </cols>
  <sheetData>
    <row r="2" spans="1:36" ht="12.75">
      <c r="A2" s="158" t="s">
        <v>14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</row>
    <row r="3" spans="1:36" ht="12.7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6" ht="12.75" customHeight="1">
      <c r="A4" s="148" t="s">
        <v>13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</row>
    <row r="5" spans="1:36" ht="12.7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4" t="s">
        <v>8</v>
      </c>
    </row>
    <row r="6" spans="1:36" s="91" customFormat="1">
      <c r="A6" s="90"/>
      <c r="B6" s="90">
        <v>1990</v>
      </c>
      <c r="C6" s="90">
        <v>1991</v>
      </c>
      <c r="D6" s="90">
        <v>1992</v>
      </c>
      <c r="E6" s="90">
        <v>1993</v>
      </c>
      <c r="F6" s="90">
        <v>1994</v>
      </c>
      <c r="G6" s="90">
        <v>1995</v>
      </c>
      <c r="H6" s="90">
        <v>1996</v>
      </c>
      <c r="I6" s="90">
        <v>1997</v>
      </c>
      <c r="J6" s="90">
        <v>1998</v>
      </c>
      <c r="K6" s="90">
        <v>1999</v>
      </c>
      <c r="L6" s="90">
        <v>2000</v>
      </c>
      <c r="M6" s="90">
        <v>2001</v>
      </c>
      <c r="N6" s="90">
        <v>2002</v>
      </c>
      <c r="O6" s="90">
        <v>2003</v>
      </c>
      <c r="P6" s="90">
        <v>2004</v>
      </c>
      <c r="Q6" s="90">
        <v>2005</v>
      </c>
      <c r="R6" s="90">
        <v>2006</v>
      </c>
      <c r="S6" s="90">
        <v>2007</v>
      </c>
      <c r="T6" s="90">
        <v>2008</v>
      </c>
      <c r="U6" s="90">
        <v>2009</v>
      </c>
      <c r="V6" s="90">
        <v>2010</v>
      </c>
      <c r="W6" s="90">
        <v>2011</v>
      </c>
      <c r="X6" s="90">
        <v>2012</v>
      </c>
      <c r="Y6" s="90">
        <v>2013</v>
      </c>
      <c r="Z6" s="90">
        <v>2014</v>
      </c>
      <c r="AA6" s="90">
        <v>2015</v>
      </c>
      <c r="AB6" s="90">
        <v>2016</v>
      </c>
      <c r="AC6" s="90">
        <v>2017</v>
      </c>
      <c r="AD6" s="90">
        <v>2018</v>
      </c>
      <c r="AE6" s="90">
        <v>2019</v>
      </c>
      <c r="AF6" s="90">
        <v>2020</v>
      </c>
      <c r="AG6" s="90">
        <v>2021</v>
      </c>
      <c r="AI6" s="98"/>
      <c r="AJ6" s="92"/>
    </row>
    <row r="7" spans="1:36" s="93" customFormat="1" ht="23.25" customHeight="1">
      <c r="A7" s="134" t="s">
        <v>85</v>
      </c>
      <c r="B7" s="78">
        <v>500.9</v>
      </c>
      <c r="C7" s="78">
        <v>282.8</v>
      </c>
      <c r="D7" s="78">
        <v>559.79999999999995</v>
      </c>
      <c r="E7" s="78">
        <v>716.5</v>
      </c>
      <c r="F7" s="78">
        <v>301.3</v>
      </c>
      <c r="G7" s="78">
        <v>364.5</v>
      </c>
      <c r="H7" s="78">
        <v>224.1</v>
      </c>
      <c r="I7" s="78">
        <v>162.50450000000001</v>
      </c>
      <c r="J7" s="78">
        <v>240.93189999999998</v>
      </c>
      <c r="K7" s="78">
        <v>255.82670000000002</v>
      </c>
      <c r="L7" s="78">
        <v>379.85309999999998</v>
      </c>
      <c r="M7" s="78">
        <v>509.01959999999997</v>
      </c>
      <c r="N7" s="78">
        <v>676.19449999999995</v>
      </c>
      <c r="O7" s="78">
        <v>439.40259999999995</v>
      </c>
      <c r="P7" s="78">
        <v>488.6952</v>
      </c>
      <c r="Q7" s="78">
        <v>398.44</v>
      </c>
      <c r="R7" s="78">
        <v>342.97</v>
      </c>
      <c r="S7" s="78">
        <v>461.16</v>
      </c>
      <c r="T7" s="78">
        <v>131.94999999999999</v>
      </c>
      <c r="U7" s="78">
        <v>626.79999999999995</v>
      </c>
      <c r="V7" s="78">
        <v>316.60000000000002</v>
      </c>
      <c r="W7" s="78">
        <v>380.2</v>
      </c>
      <c r="X7" s="78">
        <v>376.6</v>
      </c>
      <c r="Y7" s="78">
        <v>507.7</v>
      </c>
      <c r="Z7" s="78">
        <v>458.5</v>
      </c>
      <c r="AA7" s="78">
        <v>411.6</v>
      </c>
      <c r="AB7" s="78">
        <v>487.6</v>
      </c>
      <c r="AC7" s="78">
        <v>398.2</v>
      </c>
      <c r="AD7" s="78">
        <v>497.0872</v>
      </c>
      <c r="AE7" s="78">
        <v>590.80897000000004</v>
      </c>
      <c r="AF7" s="78">
        <v>520.23244999999997</v>
      </c>
      <c r="AG7" s="78">
        <v>669.61991</v>
      </c>
      <c r="AH7" s="73"/>
      <c r="AI7" s="99"/>
      <c r="AJ7" s="92"/>
    </row>
    <row r="8" spans="1:36" s="93" customFormat="1">
      <c r="A8" s="76" t="s">
        <v>40</v>
      </c>
      <c r="B8" s="78" t="s">
        <v>34</v>
      </c>
      <c r="C8" s="78" t="s">
        <v>34</v>
      </c>
      <c r="D8" s="78" t="s">
        <v>34</v>
      </c>
      <c r="E8" s="78" t="s">
        <v>34</v>
      </c>
      <c r="F8" s="78" t="s">
        <v>34</v>
      </c>
      <c r="G8" s="78" t="s">
        <v>34</v>
      </c>
      <c r="H8" s="78" t="s">
        <v>34</v>
      </c>
      <c r="I8" s="78">
        <v>1.6647000000000001</v>
      </c>
      <c r="J8" s="78">
        <v>0.28439999999999999</v>
      </c>
      <c r="K8" s="78">
        <v>0.65039999999999998</v>
      </c>
      <c r="L8" s="78">
        <v>1.679</v>
      </c>
      <c r="M8" s="78">
        <v>1.0283</v>
      </c>
      <c r="N8" s="78">
        <v>1.5680000000000001</v>
      </c>
      <c r="O8" s="78">
        <v>1.0697000000000001</v>
      </c>
      <c r="P8" s="78">
        <v>1.9975999999999998</v>
      </c>
      <c r="Q8" s="98">
        <v>2.2183999999999999</v>
      </c>
      <c r="R8" s="99">
        <v>1.1482000000000001</v>
      </c>
      <c r="S8" s="98">
        <v>1.8991</v>
      </c>
      <c r="T8" s="99">
        <v>0.84150000000000003</v>
      </c>
      <c r="U8" s="98">
        <v>2.9365000000000001</v>
      </c>
      <c r="V8" s="100">
        <v>1.6668000000000001</v>
      </c>
      <c r="W8" s="101">
        <v>1.4790000000000001</v>
      </c>
      <c r="X8" s="98">
        <v>1.0839000000000001</v>
      </c>
      <c r="Y8" s="102">
        <v>1.2942</v>
      </c>
      <c r="Z8" s="102">
        <v>1.7129000000000001</v>
      </c>
      <c r="AA8" s="102">
        <v>0.66700000000000004</v>
      </c>
      <c r="AB8" s="80">
        <v>0.82200000000000006</v>
      </c>
      <c r="AC8" s="94">
        <v>0.73099999999999998</v>
      </c>
      <c r="AD8" s="95">
        <v>1.1910000000000001</v>
      </c>
      <c r="AE8" s="96">
        <v>0.85899999999999999</v>
      </c>
      <c r="AF8" s="96">
        <v>0.97440000000000004</v>
      </c>
      <c r="AG8" s="96">
        <v>1.555342</v>
      </c>
      <c r="AH8" s="73"/>
      <c r="AI8" s="96"/>
      <c r="AJ8" s="92"/>
    </row>
    <row r="9" spans="1:36" s="93" customFormat="1">
      <c r="A9" s="76" t="s">
        <v>41</v>
      </c>
      <c r="B9" s="78" t="s">
        <v>34</v>
      </c>
      <c r="C9" s="78" t="s">
        <v>34</v>
      </c>
      <c r="D9" s="78" t="s">
        <v>34</v>
      </c>
      <c r="E9" s="78" t="s">
        <v>34</v>
      </c>
      <c r="F9" s="78" t="s">
        <v>34</v>
      </c>
      <c r="G9" s="78" t="s">
        <v>34</v>
      </c>
      <c r="H9" s="78" t="s">
        <v>34</v>
      </c>
      <c r="I9" s="78">
        <v>0.93140000000000001</v>
      </c>
      <c r="J9" s="78">
        <v>2.34</v>
      </c>
      <c r="K9" s="78">
        <v>0.90670000000000006</v>
      </c>
      <c r="L9" s="78">
        <v>1.1815</v>
      </c>
      <c r="M9" s="78">
        <v>3.8879999999999999</v>
      </c>
      <c r="N9" s="78">
        <v>3.2465999999999999</v>
      </c>
      <c r="O9" s="78">
        <v>2.9830999999999999</v>
      </c>
      <c r="P9" s="78">
        <v>2.1560000000000001</v>
      </c>
      <c r="Q9" s="99">
        <v>1.887</v>
      </c>
      <c r="R9" s="98">
        <v>0.20200000000000001</v>
      </c>
      <c r="S9" s="99">
        <v>0.06</v>
      </c>
      <c r="T9" s="98">
        <v>1E-3</v>
      </c>
      <c r="U9" s="98" t="s">
        <v>10</v>
      </c>
      <c r="V9" s="98" t="s">
        <v>10</v>
      </c>
      <c r="W9" s="98" t="s">
        <v>10</v>
      </c>
      <c r="X9" s="98">
        <v>8.9999999999999993E-3</v>
      </c>
      <c r="Y9" s="98" t="s">
        <v>10</v>
      </c>
      <c r="Z9" s="98" t="s">
        <v>10</v>
      </c>
      <c r="AA9" s="102">
        <v>4.1000000000000002E-2</v>
      </c>
      <c r="AB9" s="80">
        <v>0.2</v>
      </c>
      <c r="AC9" s="94">
        <v>0.04</v>
      </c>
      <c r="AD9" s="95">
        <v>0.128</v>
      </c>
      <c r="AE9" s="96">
        <v>0.11700000000000001</v>
      </c>
      <c r="AF9" s="96">
        <v>0.12</v>
      </c>
      <c r="AG9" s="96">
        <v>0.22</v>
      </c>
      <c r="AH9" s="73"/>
      <c r="AI9" s="96"/>
      <c r="AJ9" s="92"/>
    </row>
    <row r="10" spans="1:36" s="93" customFormat="1">
      <c r="A10" s="76" t="s">
        <v>42</v>
      </c>
      <c r="B10" s="78" t="s">
        <v>34</v>
      </c>
      <c r="C10" s="78" t="s">
        <v>34</v>
      </c>
      <c r="D10" s="78" t="s">
        <v>34</v>
      </c>
      <c r="E10" s="78" t="s">
        <v>34</v>
      </c>
      <c r="F10" s="78" t="s">
        <v>34</v>
      </c>
      <c r="G10" s="78" t="s">
        <v>34</v>
      </c>
      <c r="H10" s="78" t="s">
        <v>34</v>
      </c>
      <c r="I10" s="78">
        <v>0.47</v>
      </c>
      <c r="J10" s="78">
        <v>0.60399999999999998</v>
      </c>
      <c r="K10" s="78">
        <v>0.1701</v>
      </c>
      <c r="L10" s="78">
        <v>0.77300000000000002</v>
      </c>
      <c r="M10" s="78">
        <v>0.82499999999999996</v>
      </c>
      <c r="N10" s="78">
        <v>1.07</v>
      </c>
      <c r="O10" s="78">
        <v>1.2469000000000001</v>
      </c>
      <c r="P10" s="78">
        <v>0.51800000000000002</v>
      </c>
      <c r="Q10" s="98">
        <v>0.59699999999999998</v>
      </c>
      <c r="R10" s="98">
        <v>0.61990000000000001</v>
      </c>
      <c r="S10" s="98">
        <v>0.85439999999999994</v>
      </c>
      <c r="T10" s="98">
        <v>0.66</v>
      </c>
      <c r="U10" s="98">
        <v>0.39700000000000002</v>
      </c>
      <c r="V10" s="100">
        <v>0.54966999999999999</v>
      </c>
      <c r="W10" s="101">
        <v>0.62109999999999999</v>
      </c>
      <c r="X10" s="98">
        <v>0.93300000000000005</v>
      </c>
      <c r="Y10" s="78">
        <v>1.1405999999999998</v>
      </c>
      <c r="Z10" s="102">
        <v>1.1359999999999999</v>
      </c>
      <c r="AA10" s="102">
        <v>0.84899999999999998</v>
      </c>
      <c r="AB10" s="80">
        <v>0.94900000000000007</v>
      </c>
      <c r="AC10" s="94">
        <v>0.28799999999999998</v>
      </c>
      <c r="AD10" s="95">
        <v>0.80592000000000008</v>
      </c>
      <c r="AE10" s="96">
        <v>0.76249999999999996</v>
      </c>
      <c r="AF10" s="96">
        <v>0.75928000000000007</v>
      </c>
      <c r="AG10" s="96">
        <v>1.5246500000000001</v>
      </c>
      <c r="AH10" s="73"/>
      <c r="AI10" s="96"/>
      <c r="AJ10" s="92"/>
    </row>
    <row r="11" spans="1:36" s="93" customFormat="1">
      <c r="A11" s="76" t="s">
        <v>43</v>
      </c>
      <c r="B11" s="78" t="s">
        <v>34</v>
      </c>
      <c r="C11" s="78" t="s">
        <v>34</v>
      </c>
      <c r="D11" s="78" t="s">
        <v>34</v>
      </c>
      <c r="E11" s="78" t="s">
        <v>34</v>
      </c>
      <c r="F11" s="78" t="s">
        <v>34</v>
      </c>
      <c r="G11" s="78" t="s">
        <v>34</v>
      </c>
      <c r="H11" s="78" t="s">
        <v>34</v>
      </c>
      <c r="I11" s="78" t="s">
        <v>10</v>
      </c>
      <c r="J11" s="78" t="s">
        <v>10</v>
      </c>
      <c r="K11" s="78" t="s">
        <v>10</v>
      </c>
      <c r="L11" s="78" t="s">
        <v>10</v>
      </c>
      <c r="M11" s="78" t="s">
        <v>10</v>
      </c>
      <c r="N11" s="78" t="s">
        <v>10</v>
      </c>
      <c r="O11" s="78" t="s">
        <v>10</v>
      </c>
      <c r="P11" s="78" t="s">
        <v>10</v>
      </c>
      <c r="Q11" s="78" t="s">
        <v>10</v>
      </c>
      <c r="R11" s="78" t="s">
        <v>10</v>
      </c>
      <c r="S11" s="78" t="s">
        <v>10</v>
      </c>
      <c r="T11" s="78" t="s">
        <v>10</v>
      </c>
      <c r="U11" s="78" t="s">
        <v>10</v>
      </c>
      <c r="V11" s="78" t="s">
        <v>10</v>
      </c>
      <c r="W11" s="78" t="s">
        <v>10</v>
      </c>
      <c r="X11" s="78" t="s">
        <v>10</v>
      </c>
      <c r="Y11" s="78" t="s">
        <v>10</v>
      </c>
      <c r="Z11" s="78" t="s">
        <v>10</v>
      </c>
      <c r="AA11" s="78" t="s">
        <v>10</v>
      </c>
      <c r="AB11" s="78" t="s">
        <v>10</v>
      </c>
      <c r="AC11" s="78" t="s">
        <v>10</v>
      </c>
      <c r="AD11" s="78" t="s">
        <v>10</v>
      </c>
      <c r="AE11" s="78" t="s">
        <v>10</v>
      </c>
      <c r="AF11" s="78" t="s">
        <v>10</v>
      </c>
      <c r="AG11" s="78" t="s">
        <v>10</v>
      </c>
      <c r="AH11" s="73"/>
      <c r="AI11" s="78"/>
      <c r="AJ11" s="92"/>
    </row>
    <row r="12" spans="1:36" s="93" customFormat="1">
      <c r="A12" s="76" t="s">
        <v>44</v>
      </c>
      <c r="B12" s="78" t="s">
        <v>34</v>
      </c>
      <c r="C12" s="78" t="s">
        <v>34</v>
      </c>
      <c r="D12" s="78" t="s">
        <v>34</v>
      </c>
      <c r="E12" s="78" t="s">
        <v>34</v>
      </c>
      <c r="F12" s="78" t="s">
        <v>34</v>
      </c>
      <c r="G12" s="78" t="s">
        <v>34</v>
      </c>
      <c r="H12" s="78" t="s">
        <v>34</v>
      </c>
      <c r="I12" s="78">
        <v>0.13500000000000001</v>
      </c>
      <c r="J12" s="78">
        <v>0.251</v>
      </c>
      <c r="K12" s="78">
        <v>0.33200000000000002</v>
      </c>
      <c r="L12" s="78">
        <v>0.50600000000000001</v>
      </c>
      <c r="M12" s="78">
        <v>0.95799999999999996</v>
      </c>
      <c r="N12" s="78">
        <v>9.2999999999999999E-2</v>
      </c>
      <c r="O12" s="78" t="s">
        <v>10</v>
      </c>
      <c r="P12" s="78" t="s">
        <v>10</v>
      </c>
      <c r="Q12" s="78" t="s">
        <v>10</v>
      </c>
      <c r="R12" s="78" t="s">
        <v>10</v>
      </c>
      <c r="S12" s="78" t="s">
        <v>10</v>
      </c>
      <c r="T12" s="78" t="s">
        <v>10</v>
      </c>
      <c r="U12" s="78" t="s">
        <v>10</v>
      </c>
      <c r="V12" s="78" t="s">
        <v>10</v>
      </c>
      <c r="W12" s="78" t="s">
        <v>10</v>
      </c>
      <c r="X12" s="78" t="s">
        <v>10</v>
      </c>
      <c r="Y12" s="78" t="s">
        <v>10</v>
      </c>
      <c r="Z12" s="78" t="s">
        <v>10</v>
      </c>
      <c r="AA12" s="78" t="s">
        <v>10</v>
      </c>
      <c r="AB12" s="78" t="s">
        <v>10</v>
      </c>
      <c r="AC12" s="78" t="s">
        <v>10</v>
      </c>
      <c r="AD12" s="78" t="s">
        <v>10</v>
      </c>
      <c r="AE12" s="78" t="s">
        <v>10</v>
      </c>
      <c r="AF12" s="78" t="s">
        <v>10</v>
      </c>
      <c r="AG12" s="78" t="s">
        <v>10</v>
      </c>
      <c r="AH12" s="73"/>
      <c r="AI12" s="78"/>
      <c r="AJ12" s="92"/>
    </row>
    <row r="13" spans="1:36" s="93" customFormat="1">
      <c r="A13" s="76" t="s">
        <v>45</v>
      </c>
      <c r="B13" s="78" t="s">
        <v>34</v>
      </c>
      <c r="C13" s="78" t="s">
        <v>34</v>
      </c>
      <c r="D13" s="78" t="s">
        <v>34</v>
      </c>
      <c r="E13" s="78" t="s">
        <v>34</v>
      </c>
      <c r="F13" s="78" t="s">
        <v>34</v>
      </c>
      <c r="G13" s="78" t="s">
        <v>34</v>
      </c>
      <c r="H13" s="78" t="s">
        <v>34</v>
      </c>
      <c r="I13" s="78">
        <v>9.5850000000000009</v>
      </c>
      <c r="J13" s="78">
        <v>8.7642000000000007</v>
      </c>
      <c r="K13" s="78">
        <v>4.6631999999999998</v>
      </c>
      <c r="L13" s="78">
        <v>5.4131999999999998</v>
      </c>
      <c r="M13" s="78">
        <v>6.4252000000000002</v>
      </c>
      <c r="N13" s="78">
        <v>13.4976</v>
      </c>
      <c r="O13" s="78">
        <v>18.001000000000001</v>
      </c>
      <c r="P13" s="78">
        <v>13.7011</v>
      </c>
      <c r="Q13" s="98">
        <v>6.54</v>
      </c>
      <c r="R13" s="98">
        <v>7.1524999999999999</v>
      </c>
      <c r="S13" s="98">
        <v>6.6538000000000004</v>
      </c>
      <c r="T13" s="98">
        <v>0.89179999999999993</v>
      </c>
      <c r="U13" s="98">
        <v>5.2320000000000002</v>
      </c>
      <c r="V13" s="100">
        <v>5.7596999999999996</v>
      </c>
      <c r="W13" s="101">
        <v>5.6941000000000006</v>
      </c>
      <c r="X13" s="98">
        <v>7.4290000000000003</v>
      </c>
      <c r="Y13" s="78">
        <v>6.641</v>
      </c>
      <c r="Z13" s="102">
        <v>2.702</v>
      </c>
      <c r="AA13" s="102">
        <v>2.012</v>
      </c>
      <c r="AB13" s="80">
        <v>3.8009999999999997</v>
      </c>
      <c r="AC13" s="94">
        <v>3.0529999999999999</v>
      </c>
      <c r="AD13" s="95">
        <v>3.1040000000000001</v>
      </c>
      <c r="AE13" s="96">
        <v>3.5219999999999998</v>
      </c>
      <c r="AF13" s="96">
        <v>3.4729999999999999</v>
      </c>
      <c r="AG13" s="96">
        <v>0.80400000000000005</v>
      </c>
      <c r="AH13" s="73"/>
      <c r="AI13" s="96"/>
      <c r="AJ13" s="92"/>
    </row>
    <row r="14" spans="1:36" s="93" customFormat="1">
      <c r="A14" s="76" t="s">
        <v>46</v>
      </c>
      <c r="B14" s="78" t="s">
        <v>34</v>
      </c>
      <c r="C14" s="78" t="s">
        <v>34</v>
      </c>
      <c r="D14" s="78" t="s">
        <v>34</v>
      </c>
      <c r="E14" s="78" t="s">
        <v>34</v>
      </c>
      <c r="F14" s="78" t="s">
        <v>34</v>
      </c>
      <c r="G14" s="78" t="s">
        <v>34</v>
      </c>
      <c r="H14" s="78" t="s">
        <v>34</v>
      </c>
      <c r="I14" s="78">
        <v>1.5637999999999999</v>
      </c>
      <c r="J14" s="78">
        <v>6.7723000000000004</v>
      </c>
      <c r="K14" s="78">
        <v>7.3368000000000002</v>
      </c>
      <c r="L14" s="78">
        <v>17.8062</v>
      </c>
      <c r="M14" s="78">
        <v>26.5778</v>
      </c>
      <c r="N14" s="78">
        <v>45.385199999999998</v>
      </c>
      <c r="O14" s="78">
        <v>14.7539</v>
      </c>
      <c r="P14" s="78">
        <v>24.8035</v>
      </c>
      <c r="Q14" s="98">
        <v>9.7252999999999989</v>
      </c>
      <c r="R14" s="98">
        <v>10.073700000000001</v>
      </c>
      <c r="S14" s="98">
        <v>21.907</v>
      </c>
      <c r="T14" s="98">
        <v>1.47</v>
      </c>
      <c r="U14" s="98">
        <v>21.643000000000001</v>
      </c>
      <c r="V14" s="100">
        <v>6.8604599999999998</v>
      </c>
      <c r="W14" s="101">
        <v>7.617</v>
      </c>
      <c r="X14" s="98">
        <v>8.7859999999999996</v>
      </c>
      <c r="Y14" s="78">
        <v>11.891999999999999</v>
      </c>
      <c r="Z14" s="102">
        <v>9.3089999999999993</v>
      </c>
      <c r="AA14" s="102">
        <v>6.6619999999999999</v>
      </c>
      <c r="AB14" s="80">
        <v>10.202999999999999</v>
      </c>
      <c r="AC14" s="94">
        <v>9.2729999999999997</v>
      </c>
      <c r="AD14" s="95">
        <v>7.0129000000000001</v>
      </c>
      <c r="AE14" s="96">
        <v>8.4925999999999995</v>
      </c>
      <c r="AF14" s="96">
        <v>12.744899999999999</v>
      </c>
      <c r="AG14" s="96">
        <v>17.3902</v>
      </c>
      <c r="AH14" s="73"/>
      <c r="AI14" s="96"/>
      <c r="AJ14" s="92"/>
    </row>
    <row r="15" spans="1:36" s="93" customFormat="1">
      <c r="A15" s="76" t="s">
        <v>47</v>
      </c>
      <c r="B15" s="78" t="s">
        <v>34</v>
      </c>
      <c r="C15" s="78" t="s">
        <v>34</v>
      </c>
      <c r="D15" s="78" t="s">
        <v>34</v>
      </c>
      <c r="E15" s="78" t="s">
        <v>34</v>
      </c>
      <c r="F15" s="78" t="s">
        <v>34</v>
      </c>
      <c r="G15" s="78" t="s">
        <v>34</v>
      </c>
      <c r="H15" s="78" t="s">
        <v>34</v>
      </c>
      <c r="I15" s="78">
        <v>11.898</v>
      </c>
      <c r="J15" s="78">
        <v>29.0105</v>
      </c>
      <c r="K15" s="78">
        <v>27.522099999999998</v>
      </c>
      <c r="L15" s="78">
        <v>37.816900000000004</v>
      </c>
      <c r="M15" s="78">
        <v>61.221299999999999</v>
      </c>
      <c r="N15" s="78">
        <v>89.343100000000007</v>
      </c>
      <c r="O15" s="78">
        <v>52.891199999999998</v>
      </c>
      <c r="P15" s="78">
        <v>53.670499999999997</v>
      </c>
      <c r="Q15" s="98">
        <v>40.2911</v>
      </c>
      <c r="R15" s="98">
        <v>48.161099999999998</v>
      </c>
      <c r="S15" s="98">
        <v>67.007499999999993</v>
      </c>
      <c r="T15" s="98">
        <v>15.183999999999999</v>
      </c>
      <c r="U15" s="98">
        <v>133.95239999999998</v>
      </c>
      <c r="V15" s="100">
        <v>57.149800000000006</v>
      </c>
      <c r="W15" s="101">
        <v>73.751999999999995</v>
      </c>
      <c r="X15" s="98">
        <v>89.016000000000005</v>
      </c>
      <c r="Y15" s="78">
        <v>126.22410000000001</v>
      </c>
      <c r="Z15" s="102">
        <v>121.226</v>
      </c>
      <c r="AA15" s="102">
        <v>94.357679999999988</v>
      </c>
      <c r="AB15" s="80">
        <v>95.017619999999994</v>
      </c>
      <c r="AC15" s="94">
        <v>83.188000000000002</v>
      </c>
      <c r="AD15" s="95">
        <v>117.84543999999998</v>
      </c>
      <c r="AE15" s="96">
        <v>115.20687</v>
      </c>
      <c r="AF15" s="96">
        <v>116.412098</v>
      </c>
      <c r="AG15" s="96">
        <v>187.08709999999999</v>
      </c>
      <c r="AH15" s="73"/>
      <c r="AI15" s="96"/>
      <c r="AJ15" s="92"/>
    </row>
    <row r="16" spans="1:36" s="93" customFormat="1">
      <c r="A16" s="76" t="s">
        <v>48</v>
      </c>
      <c r="B16" s="78" t="s">
        <v>34</v>
      </c>
      <c r="C16" s="78" t="s">
        <v>34</v>
      </c>
      <c r="D16" s="78" t="s">
        <v>34</v>
      </c>
      <c r="E16" s="78" t="s">
        <v>34</v>
      </c>
      <c r="F16" s="78" t="s">
        <v>34</v>
      </c>
      <c r="G16" s="78" t="s">
        <v>34</v>
      </c>
      <c r="H16" s="78" t="s">
        <v>34</v>
      </c>
      <c r="I16" s="78">
        <v>18.002500000000001</v>
      </c>
      <c r="J16" s="78">
        <v>17.280200000000001</v>
      </c>
      <c r="K16" s="78">
        <v>23.836400000000001</v>
      </c>
      <c r="L16" s="78">
        <v>40.482199999999999</v>
      </c>
      <c r="M16" s="78">
        <v>53.6541</v>
      </c>
      <c r="N16" s="78">
        <v>68.865100000000012</v>
      </c>
      <c r="O16" s="78">
        <v>45.550199999999997</v>
      </c>
      <c r="P16" s="78">
        <v>51.747300000000003</v>
      </c>
      <c r="Q16" s="98">
        <v>46.581400000000002</v>
      </c>
      <c r="R16" s="98">
        <v>42.750800000000005</v>
      </c>
      <c r="S16" s="98">
        <v>43.443400000000004</v>
      </c>
      <c r="T16" s="98">
        <v>22.2912</v>
      </c>
      <c r="U16" s="98">
        <v>79.341899999999995</v>
      </c>
      <c r="V16" s="100">
        <v>47.069139999999997</v>
      </c>
      <c r="W16" s="101">
        <v>54.548300000000005</v>
      </c>
      <c r="X16" s="98">
        <v>50.656599999999997</v>
      </c>
      <c r="Y16" s="78">
        <v>71.580199999999991</v>
      </c>
      <c r="Z16" s="102">
        <v>64.392499999999998</v>
      </c>
      <c r="AA16" s="102">
        <v>59.985519999999994</v>
      </c>
      <c r="AB16" s="80">
        <v>59.162400000000005</v>
      </c>
      <c r="AC16" s="94">
        <v>55.481619999999999</v>
      </c>
      <c r="AD16" s="95">
        <v>73.863759999999999</v>
      </c>
      <c r="AE16" s="96">
        <v>94.678030000000007</v>
      </c>
      <c r="AF16" s="96">
        <v>47.70946</v>
      </c>
      <c r="AG16" s="96">
        <v>93.604579999999999</v>
      </c>
      <c r="AH16" s="73"/>
      <c r="AI16" s="96"/>
      <c r="AJ16" s="92"/>
    </row>
    <row r="17" spans="1:36" s="93" customFormat="1">
      <c r="A17" s="76" t="s">
        <v>49</v>
      </c>
      <c r="B17" s="78" t="s">
        <v>34</v>
      </c>
      <c r="C17" s="78" t="s">
        <v>34</v>
      </c>
      <c r="D17" s="78" t="s">
        <v>34</v>
      </c>
      <c r="E17" s="78" t="s">
        <v>34</v>
      </c>
      <c r="F17" s="78" t="s">
        <v>34</v>
      </c>
      <c r="G17" s="78" t="s">
        <v>34</v>
      </c>
      <c r="H17" s="78" t="s">
        <v>34</v>
      </c>
      <c r="I17" s="78">
        <v>5.0918999999999999</v>
      </c>
      <c r="J17" s="78">
        <v>3.3786999999999998</v>
      </c>
      <c r="K17" s="78">
        <v>3.5808</v>
      </c>
      <c r="L17" s="78">
        <v>3.62</v>
      </c>
      <c r="M17" s="78">
        <v>7.6044</v>
      </c>
      <c r="N17" s="78">
        <v>8.7545000000000002</v>
      </c>
      <c r="O17" s="78">
        <v>5.5084999999999997</v>
      </c>
      <c r="P17" s="78">
        <v>6.1551999999999998</v>
      </c>
      <c r="Q17" s="98">
        <v>4.2648000000000001</v>
      </c>
      <c r="R17" s="98">
        <v>8.6942000000000004</v>
      </c>
      <c r="S17" s="98">
        <v>10.96</v>
      </c>
      <c r="T17" s="98">
        <v>2.4711999999999996</v>
      </c>
      <c r="U17" s="98">
        <v>17.664400000000001</v>
      </c>
      <c r="V17" s="100">
        <v>5.7380000000000004</v>
      </c>
      <c r="W17" s="101">
        <v>6.149</v>
      </c>
      <c r="X17" s="98">
        <v>5.2729999999999997</v>
      </c>
      <c r="Y17" s="78">
        <v>10.367000000000001</v>
      </c>
      <c r="Z17" s="102">
        <v>6.3840000000000003</v>
      </c>
      <c r="AA17" s="102">
        <v>3.7511999999999999</v>
      </c>
      <c r="AB17" s="80">
        <v>8.2956000000000003</v>
      </c>
      <c r="AC17" s="94">
        <v>7.0810000000000004</v>
      </c>
      <c r="AD17" s="95">
        <v>3.8302</v>
      </c>
      <c r="AE17" s="96">
        <v>3.0417000000000001</v>
      </c>
      <c r="AF17" s="96">
        <v>4.2949999999999999</v>
      </c>
      <c r="AG17" s="96">
        <v>4.3630000000000004</v>
      </c>
      <c r="AH17" s="73"/>
      <c r="AI17" s="96"/>
      <c r="AJ17" s="92"/>
    </row>
    <row r="18" spans="1:36" s="93" customFormat="1">
      <c r="A18" s="76" t="s">
        <v>50</v>
      </c>
      <c r="B18" s="78" t="s">
        <v>34</v>
      </c>
      <c r="C18" s="78" t="s">
        <v>34</v>
      </c>
      <c r="D18" s="78" t="s">
        <v>34</v>
      </c>
      <c r="E18" s="78" t="s">
        <v>34</v>
      </c>
      <c r="F18" s="78" t="s">
        <v>34</v>
      </c>
      <c r="G18" s="78" t="s">
        <v>34</v>
      </c>
      <c r="H18" s="78" t="s">
        <v>34</v>
      </c>
      <c r="I18" s="78">
        <v>3.1924000000000001</v>
      </c>
      <c r="J18" s="78">
        <v>5.79</v>
      </c>
      <c r="K18" s="78">
        <v>8.0980000000000008</v>
      </c>
      <c r="L18" s="78">
        <v>8.2073999999999998</v>
      </c>
      <c r="M18" s="78">
        <v>11.753299999999999</v>
      </c>
      <c r="N18" s="78">
        <v>10.978</v>
      </c>
      <c r="O18" s="78">
        <v>6.5179</v>
      </c>
      <c r="P18" s="78">
        <v>7.86</v>
      </c>
      <c r="Q18" s="98">
        <v>8.52</v>
      </c>
      <c r="R18" s="98">
        <v>5.2011000000000003</v>
      </c>
      <c r="S18" s="98">
        <v>5.6191000000000004</v>
      </c>
      <c r="T18" s="98">
        <v>1.7587000000000002</v>
      </c>
      <c r="U18" s="98">
        <v>4.6408000000000005</v>
      </c>
      <c r="V18" s="100">
        <v>4.9099799999999991</v>
      </c>
      <c r="W18" s="101">
        <v>6.8247</v>
      </c>
      <c r="X18" s="98">
        <v>4.3286000000000007</v>
      </c>
      <c r="Y18" s="78">
        <v>8.8607999999999993</v>
      </c>
      <c r="Z18" s="102">
        <v>6.0570000000000004</v>
      </c>
      <c r="AA18" s="102">
        <v>7.0331999999999999</v>
      </c>
      <c r="AB18" s="80">
        <v>6.2858999999999998</v>
      </c>
      <c r="AC18" s="94">
        <v>5.9380000000000006</v>
      </c>
      <c r="AD18" s="95">
        <v>5.431</v>
      </c>
      <c r="AE18" s="96">
        <v>5.2454000000000001</v>
      </c>
      <c r="AF18" s="96">
        <v>7.9744999999999999</v>
      </c>
      <c r="AG18" s="96">
        <v>8.3505000000000003</v>
      </c>
      <c r="AH18" s="73"/>
      <c r="AI18" s="96"/>
      <c r="AJ18" s="92"/>
    </row>
    <row r="19" spans="1:36" s="93" customFormat="1">
      <c r="A19" s="76" t="s">
        <v>51</v>
      </c>
      <c r="B19" s="78" t="s">
        <v>34</v>
      </c>
      <c r="C19" s="78" t="s">
        <v>34</v>
      </c>
      <c r="D19" s="78" t="s">
        <v>34</v>
      </c>
      <c r="E19" s="78" t="s">
        <v>34</v>
      </c>
      <c r="F19" s="78" t="s">
        <v>34</v>
      </c>
      <c r="G19" s="78" t="s">
        <v>34</v>
      </c>
      <c r="H19" s="78" t="s">
        <v>34</v>
      </c>
      <c r="I19" s="78">
        <v>22.7532</v>
      </c>
      <c r="J19" s="78">
        <v>31.294400000000003</v>
      </c>
      <c r="K19" s="78">
        <v>35.148499999999999</v>
      </c>
      <c r="L19" s="78">
        <v>43.93</v>
      </c>
      <c r="M19" s="78">
        <v>50.143099999999997</v>
      </c>
      <c r="N19" s="78">
        <v>55.695399999999999</v>
      </c>
      <c r="O19" s="78">
        <v>44.718800000000002</v>
      </c>
      <c r="P19" s="78">
        <v>52.232500000000002</v>
      </c>
      <c r="Q19" s="98">
        <v>46.930300000000003</v>
      </c>
      <c r="R19" s="98">
        <v>41.866300000000003</v>
      </c>
      <c r="S19" s="98">
        <v>46.624499999999998</v>
      </c>
      <c r="T19" s="98">
        <v>17.618200000000002</v>
      </c>
      <c r="U19" s="98">
        <v>64.815699999999993</v>
      </c>
      <c r="V19" s="100">
        <v>35.927500000000002</v>
      </c>
      <c r="W19" s="98">
        <v>46.524500000000003</v>
      </c>
      <c r="X19" s="98">
        <v>36.073500000000003</v>
      </c>
      <c r="Y19" s="78">
        <v>47.8872</v>
      </c>
      <c r="Z19" s="98">
        <v>51.2654</v>
      </c>
      <c r="AA19" s="98">
        <v>42.924289999999999</v>
      </c>
      <c r="AB19" s="80">
        <v>41.414180000000002</v>
      </c>
      <c r="AC19" s="94">
        <v>36.4771</v>
      </c>
      <c r="AD19" s="95">
        <v>44.758800000000001</v>
      </c>
      <c r="AE19" s="96">
        <v>63.675669999999997</v>
      </c>
      <c r="AF19" s="96">
        <v>60.580649999999999</v>
      </c>
      <c r="AG19" s="96">
        <v>59.109480000000005</v>
      </c>
      <c r="AH19" s="73"/>
      <c r="AI19" s="96"/>
      <c r="AJ19" s="92"/>
    </row>
    <row r="20" spans="1:36" s="93" customFormat="1">
      <c r="A20" s="76" t="s">
        <v>52</v>
      </c>
      <c r="B20" s="78" t="s">
        <v>34</v>
      </c>
      <c r="C20" s="78" t="s">
        <v>34</v>
      </c>
      <c r="D20" s="78" t="s">
        <v>34</v>
      </c>
      <c r="E20" s="78" t="s">
        <v>34</v>
      </c>
      <c r="F20" s="78" t="s">
        <v>34</v>
      </c>
      <c r="G20" s="78" t="s">
        <v>34</v>
      </c>
      <c r="H20" s="78" t="s">
        <v>34</v>
      </c>
      <c r="I20" s="78">
        <v>7.3318999999999992</v>
      </c>
      <c r="J20" s="78">
        <v>16.164200000000001</v>
      </c>
      <c r="K20" s="78">
        <v>15.433200000000001</v>
      </c>
      <c r="L20" s="78">
        <v>17.9193</v>
      </c>
      <c r="M20" s="78">
        <v>31.218799999999998</v>
      </c>
      <c r="N20" s="78">
        <v>27.1065</v>
      </c>
      <c r="O20" s="78">
        <v>16.994700000000002</v>
      </c>
      <c r="P20" s="78">
        <v>22.3384</v>
      </c>
      <c r="Q20" s="98">
        <v>22.182200000000002</v>
      </c>
      <c r="R20" s="98">
        <v>15.338700000000001</v>
      </c>
      <c r="S20" s="98">
        <v>20.744700000000002</v>
      </c>
      <c r="T20" s="98">
        <v>5.0827999999999998</v>
      </c>
      <c r="U20" s="98">
        <v>35.863300000000002</v>
      </c>
      <c r="V20" s="100">
        <v>11.84146</v>
      </c>
      <c r="W20" s="101">
        <v>15.478999999999999</v>
      </c>
      <c r="X20" s="98">
        <v>9.1630000000000003</v>
      </c>
      <c r="Y20" s="78">
        <v>15.456299999999999</v>
      </c>
      <c r="Z20" s="102">
        <v>12.604700000000001</v>
      </c>
      <c r="AA20" s="102">
        <v>13.2262</v>
      </c>
      <c r="AB20" s="80">
        <v>21.726320000000001</v>
      </c>
      <c r="AC20" s="94">
        <v>19.171481</v>
      </c>
      <c r="AD20" s="95">
        <v>19.778500000000001</v>
      </c>
      <c r="AE20" s="96">
        <v>26.8842</v>
      </c>
      <c r="AF20" s="96">
        <v>30.822900000000001</v>
      </c>
      <c r="AG20" s="96">
        <v>23.756868000000001</v>
      </c>
      <c r="AH20" s="73"/>
      <c r="AI20" s="96"/>
      <c r="AJ20" s="92"/>
    </row>
    <row r="21" spans="1:36" s="93" customFormat="1">
      <c r="A21" s="76" t="s">
        <v>53</v>
      </c>
      <c r="B21" s="78" t="s">
        <v>34</v>
      </c>
      <c r="C21" s="78" t="s">
        <v>34</v>
      </c>
      <c r="D21" s="78" t="s">
        <v>34</v>
      </c>
      <c r="E21" s="78" t="s">
        <v>34</v>
      </c>
      <c r="F21" s="78" t="s">
        <v>34</v>
      </c>
      <c r="G21" s="78" t="s">
        <v>34</v>
      </c>
      <c r="H21" s="78" t="s">
        <v>34</v>
      </c>
      <c r="I21" s="78">
        <v>18.832099999999997</v>
      </c>
      <c r="J21" s="78">
        <v>21.43</v>
      </c>
      <c r="K21" s="78">
        <v>24.3489</v>
      </c>
      <c r="L21" s="78">
        <v>29.901199999999999</v>
      </c>
      <c r="M21" s="78">
        <v>39.320999999999998</v>
      </c>
      <c r="N21" s="78">
        <v>66.893600000000006</v>
      </c>
      <c r="O21" s="78">
        <v>39.9998</v>
      </c>
      <c r="P21" s="78">
        <v>43.710500000000003</v>
      </c>
      <c r="Q21" s="98">
        <v>43.937199999999997</v>
      </c>
      <c r="R21" s="98">
        <v>27.759799999999998</v>
      </c>
      <c r="S21" s="98">
        <v>65.411500000000004</v>
      </c>
      <c r="T21" s="98">
        <v>9.982899999999999</v>
      </c>
      <c r="U21" s="98">
        <v>64.486199999999997</v>
      </c>
      <c r="V21" s="100">
        <v>29.949369999999998</v>
      </c>
      <c r="W21" s="101">
        <v>42.426300000000005</v>
      </c>
      <c r="X21" s="98">
        <v>46.439099999999996</v>
      </c>
      <c r="Y21" s="78">
        <v>60.099800000000002</v>
      </c>
      <c r="Z21" s="102">
        <v>31.622599999999998</v>
      </c>
      <c r="AA21" s="102">
        <v>48.912849999999999</v>
      </c>
      <c r="AB21" s="80">
        <v>71.392889999999994</v>
      </c>
      <c r="AC21" s="94">
        <v>46.777810000000002</v>
      </c>
      <c r="AD21" s="95">
        <v>53.704499999999996</v>
      </c>
      <c r="AE21" s="96">
        <v>73.502799999999993</v>
      </c>
      <c r="AF21" s="96">
        <v>88.891180000000006</v>
      </c>
      <c r="AG21" s="96">
        <v>60.552349999999997</v>
      </c>
      <c r="AH21" s="73"/>
      <c r="AI21" s="96"/>
      <c r="AJ21" s="92"/>
    </row>
    <row r="22" spans="1:36" s="93" customFormat="1">
      <c r="A22" s="76" t="s">
        <v>54</v>
      </c>
      <c r="B22" s="78" t="s">
        <v>34</v>
      </c>
      <c r="C22" s="78" t="s">
        <v>34</v>
      </c>
      <c r="D22" s="78" t="s">
        <v>34</v>
      </c>
      <c r="E22" s="78" t="s">
        <v>34</v>
      </c>
      <c r="F22" s="78" t="s">
        <v>34</v>
      </c>
      <c r="G22" s="78" t="s">
        <v>34</v>
      </c>
      <c r="H22" s="78" t="s">
        <v>34</v>
      </c>
      <c r="I22" s="78">
        <v>3.8838000000000004</v>
      </c>
      <c r="J22" s="78">
        <v>4.8108000000000004</v>
      </c>
      <c r="K22" s="78">
        <v>3.8159999999999998</v>
      </c>
      <c r="L22" s="78">
        <v>6.8831999999999995</v>
      </c>
      <c r="M22" s="78">
        <v>9.0468999999999991</v>
      </c>
      <c r="N22" s="78">
        <v>9.3838999999999988</v>
      </c>
      <c r="O22" s="78">
        <v>6.4287999999999998</v>
      </c>
      <c r="P22" s="78">
        <v>3.7234000000000003</v>
      </c>
      <c r="Q22" s="98">
        <v>1.7649000000000001</v>
      </c>
      <c r="R22" s="98">
        <v>0.44330000000000003</v>
      </c>
      <c r="S22" s="98">
        <v>1.2984</v>
      </c>
      <c r="T22" s="98">
        <v>0.3261</v>
      </c>
      <c r="U22" s="98">
        <v>3.8684000000000003</v>
      </c>
      <c r="V22" s="100">
        <v>2.5194000000000001</v>
      </c>
      <c r="W22" s="101">
        <v>1.6372</v>
      </c>
      <c r="X22" s="98">
        <v>0.88239999999999996</v>
      </c>
      <c r="Y22" s="102">
        <v>2.3879000000000001</v>
      </c>
      <c r="Z22" s="102">
        <v>1.5866</v>
      </c>
      <c r="AA22" s="102">
        <v>2.3521900000000002</v>
      </c>
      <c r="AB22" s="80">
        <v>2.8559999999999999</v>
      </c>
      <c r="AC22" s="94">
        <v>1.5119799999999999</v>
      </c>
      <c r="AD22" s="95">
        <v>1.6105499999999999</v>
      </c>
      <c r="AE22" s="96">
        <v>2.1958000000000002</v>
      </c>
      <c r="AF22" s="96">
        <v>1.6329799999999999</v>
      </c>
      <c r="AG22" s="96">
        <v>1.1496999999999999</v>
      </c>
      <c r="AH22" s="73"/>
      <c r="AI22" s="96"/>
      <c r="AJ22" s="92"/>
    </row>
    <row r="23" spans="1:36" s="93" customFormat="1">
      <c r="A23" s="76" t="s">
        <v>55</v>
      </c>
      <c r="B23" s="78" t="s">
        <v>34</v>
      </c>
      <c r="C23" s="78" t="s">
        <v>34</v>
      </c>
      <c r="D23" s="78" t="s">
        <v>34</v>
      </c>
      <c r="E23" s="78" t="s">
        <v>34</v>
      </c>
      <c r="F23" s="78" t="s">
        <v>34</v>
      </c>
      <c r="G23" s="78" t="s">
        <v>34</v>
      </c>
      <c r="H23" s="78" t="s">
        <v>34</v>
      </c>
      <c r="I23" s="78">
        <v>4.8921000000000001</v>
      </c>
      <c r="J23" s="78">
        <v>5.8961999999999994</v>
      </c>
      <c r="K23" s="78">
        <v>6.2738999999999994</v>
      </c>
      <c r="L23" s="78">
        <v>7.2119999999999997</v>
      </c>
      <c r="M23" s="78">
        <v>9.1152999999999995</v>
      </c>
      <c r="N23" s="78">
        <v>8.9725999999999999</v>
      </c>
      <c r="O23" s="78">
        <v>5.3452999999999999</v>
      </c>
      <c r="P23" s="78">
        <v>7.8763000000000005</v>
      </c>
      <c r="Q23" s="98">
        <v>4.2856999999999994</v>
      </c>
      <c r="R23" s="98">
        <v>3.0815000000000001</v>
      </c>
      <c r="S23" s="98">
        <v>2.1235999999999997</v>
      </c>
      <c r="T23" s="98">
        <v>1.8615999999999999</v>
      </c>
      <c r="U23" s="98">
        <v>3.5085000000000002</v>
      </c>
      <c r="V23" s="100">
        <v>3.4510000000000001</v>
      </c>
      <c r="W23" s="101">
        <v>3.944</v>
      </c>
      <c r="X23" s="98">
        <v>3.9695</v>
      </c>
      <c r="Y23" s="102">
        <v>3.8918000000000004</v>
      </c>
      <c r="Z23" s="102">
        <v>4.3331</v>
      </c>
      <c r="AA23" s="102">
        <v>1.16926</v>
      </c>
      <c r="AB23" s="80">
        <v>2.15293</v>
      </c>
      <c r="AC23" s="94">
        <v>1.1804000000000001</v>
      </c>
      <c r="AD23" s="95">
        <v>2.5545</v>
      </c>
      <c r="AE23" s="96">
        <v>1.7351000000000001</v>
      </c>
      <c r="AF23" s="96">
        <v>2.4196</v>
      </c>
      <c r="AG23" s="96">
        <v>1.8315999999999999</v>
      </c>
      <c r="AH23" s="73"/>
      <c r="AI23" s="96"/>
      <c r="AJ23" s="92"/>
    </row>
    <row r="24" spans="1:36" s="93" customFormat="1">
      <c r="A24" s="76" t="s">
        <v>56</v>
      </c>
      <c r="B24" s="78" t="s">
        <v>34</v>
      </c>
      <c r="C24" s="78" t="s">
        <v>34</v>
      </c>
      <c r="D24" s="78" t="s">
        <v>34</v>
      </c>
      <c r="E24" s="78" t="s">
        <v>34</v>
      </c>
      <c r="F24" s="78" t="s">
        <v>34</v>
      </c>
      <c r="G24" s="78" t="s">
        <v>34</v>
      </c>
      <c r="H24" s="78" t="s">
        <v>34</v>
      </c>
      <c r="I24" s="78">
        <v>4.1532999999999998</v>
      </c>
      <c r="J24" s="78">
        <v>12.018000000000001</v>
      </c>
      <c r="K24" s="78">
        <v>10.971</v>
      </c>
      <c r="L24" s="78">
        <v>21.199200000000001</v>
      </c>
      <c r="M24" s="78">
        <v>28.323</v>
      </c>
      <c r="N24" s="78">
        <v>47.392900000000004</v>
      </c>
      <c r="O24" s="78">
        <v>28.1</v>
      </c>
      <c r="P24" s="78">
        <v>26.7074</v>
      </c>
      <c r="Q24" s="98">
        <v>25.4893</v>
      </c>
      <c r="R24" s="98">
        <v>27.516200000000001</v>
      </c>
      <c r="S24" s="98">
        <v>30.264400000000002</v>
      </c>
      <c r="T24" s="98">
        <v>9.0550999999999995</v>
      </c>
      <c r="U24" s="98">
        <v>56.292199999999994</v>
      </c>
      <c r="V24" s="100">
        <v>23.176650000000002</v>
      </c>
      <c r="W24" s="101">
        <v>25.134799999999998</v>
      </c>
      <c r="X24" s="98">
        <v>22.690900000000003</v>
      </c>
      <c r="Y24" s="78">
        <v>29.5611</v>
      </c>
      <c r="Z24" s="102">
        <v>29.479800000000001</v>
      </c>
      <c r="AA24" s="102">
        <v>20.763200000000001</v>
      </c>
      <c r="AB24" s="80">
        <v>33.816000000000003</v>
      </c>
      <c r="AC24" s="94">
        <v>21.533000000000001</v>
      </c>
      <c r="AD24" s="95">
        <v>25.517800000000001</v>
      </c>
      <c r="AE24" s="96">
        <v>32.370100000000001</v>
      </c>
      <c r="AF24" s="96">
        <v>21.645600000000002</v>
      </c>
      <c r="AG24" s="96">
        <v>30.0837</v>
      </c>
      <c r="AH24" s="73"/>
      <c r="AI24" s="96"/>
      <c r="AJ24" s="92"/>
    </row>
    <row r="25" spans="1:36" s="93" customFormat="1">
      <c r="A25" s="76" t="s">
        <v>57</v>
      </c>
      <c r="B25" s="78" t="s">
        <v>34</v>
      </c>
      <c r="C25" s="78" t="s">
        <v>34</v>
      </c>
      <c r="D25" s="78" t="s">
        <v>34</v>
      </c>
      <c r="E25" s="78" t="s">
        <v>34</v>
      </c>
      <c r="F25" s="78" t="s">
        <v>34</v>
      </c>
      <c r="G25" s="78" t="s">
        <v>34</v>
      </c>
      <c r="H25" s="78" t="s">
        <v>34</v>
      </c>
      <c r="I25" s="78">
        <v>22.163799999999998</v>
      </c>
      <c r="J25" s="78">
        <v>26.201799999999999</v>
      </c>
      <c r="K25" s="78">
        <v>34.712300000000006</v>
      </c>
      <c r="L25" s="78">
        <v>49.031800000000004</v>
      </c>
      <c r="M25" s="78">
        <v>56.385599999999997</v>
      </c>
      <c r="N25" s="78">
        <v>110.12649999999999</v>
      </c>
      <c r="O25" s="78">
        <v>76.088800000000006</v>
      </c>
      <c r="P25" s="78">
        <v>94.464699999999993</v>
      </c>
      <c r="Q25" s="98">
        <v>72.207800000000006</v>
      </c>
      <c r="R25" s="98">
        <v>46.138199999999998</v>
      </c>
      <c r="S25" s="98">
        <v>70.692800000000005</v>
      </c>
      <c r="T25" s="98">
        <v>7.6678000000000006</v>
      </c>
      <c r="U25" s="98">
        <v>35.787099999999995</v>
      </c>
      <c r="V25" s="100">
        <v>16.6632</v>
      </c>
      <c r="W25" s="101">
        <v>27.502200000000002</v>
      </c>
      <c r="X25" s="98">
        <v>26.102799999999998</v>
      </c>
      <c r="Y25" s="78">
        <v>48.219199999999994</v>
      </c>
      <c r="Z25" s="102">
        <v>41.378500000000003</v>
      </c>
      <c r="AA25" s="102">
        <v>49.741999999999997</v>
      </c>
      <c r="AB25" s="80">
        <v>74.522900000000007</v>
      </c>
      <c r="AC25" s="94">
        <v>52.991999999999997</v>
      </c>
      <c r="AD25" s="95">
        <v>62.368830000000003</v>
      </c>
      <c r="AE25" s="96">
        <v>77.315899999999999</v>
      </c>
      <c r="AF25" s="96">
        <v>79.478800000000007</v>
      </c>
      <c r="AG25" s="96">
        <v>76.630840000000006</v>
      </c>
      <c r="AH25" s="73"/>
      <c r="AI25" s="96"/>
      <c r="AJ25" s="92"/>
    </row>
    <row r="26" spans="1:36" s="93" customFormat="1">
      <c r="A26" s="104" t="s">
        <v>58</v>
      </c>
      <c r="B26" s="97" t="s">
        <v>34</v>
      </c>
      <c r="C26" s="97" t="s">
        <v>34</v>
      </c>
      <c r="D26" s="97" t="s">
        <v>34</v>
      </c>
      <c r="E26" s="97" t="s">
        <v>34</v>
      </c>
      <c r="F26" s="97" t="s">
        <v>34</v>
      </c>
      <c r="G26" s="97" t="s">
        <v>34</v>
      </c>
      <c r="H26" s="97" t="s">
        <v>34</v>
      </c>
      <c r="I26" s="97">
        <v>25.959599999999998</v>
      </c>
      <c r="J26" s="97">
        <v>48.641199999999998</v>
      </c>
      <c r="K26" s="97">
        <v>48.026400000000002</v>
      </c>
      <c r="L26" s="97">
        <v>86.290999999999997</v>
      </c>
      <c r="M26" s="97">
        <v>111.5305</v>
      </c>
      <c r="N26" s="97">
        <v>107.822</v>
      </c>
      <c r="O26" s="97">
        <v>73.203999999999994</v>
      </c>
      <c r="P26" s="97">
        <v>75.032800000000009</v>
      </c>
      <c r="Q26" s="108">
        <v>61.021999999999998</v>
      </c>
      <c r="R26" s="108">
        <v>56.817999999999998</v>
      </c>
      <c r="S26" s="108">
        <v>65.588399999999993</v>
      </c>
      <c r="T26" s="108">
        <v>34.796999999999997</v>
      </c>
      <c r="U26" s="108">
        <v>96.358000000000004</v>
      </c>
      <c r="V26" s="123">
        <v>63.356499999999997</v>
      </c>
      <c r="W26" s="109">
        <v>60.847499999999997</v>
      </c>
      <c r="X26" s="108">
        <v>63.736599999999996</v>
      </c>
      <c r="Y26" s="97">
        <v>62.207500000000003</v>
      </c>
      <c r="Z26" s="110">
        <v>73.2821</v>
      </c>
      <c r="AA26" s="110">
        <v>57.163739999999997</v>
      </c>
      <c r="AB26" s="81">
        <v>55.001999999999995</v>
      </c>
      <c r="AC26" s="124">
        <v>53.503</v>
      </c>
      <c r="AD26" s="125">
        <v>73.581500000000005</v>
      </c>
      <c r="AE26" s="113">
        <v>81.204300000000003</v>
      </c>
      <c r="AF26" s="113">
        <v>40.298099999999998</v>
      </c>
      <c r="AG26" s="113">
        <v>101.60599999999999</v>
      </c>
      <c r="AH26" s="73"/>
      <c r="AI26" s="96"/>
      <c r="AJ26" s="92"/>
    </row>
    <row r="27" spans="1:36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9" spans="1:36" ht="12.75" customHeight="1">
      <c r="A29" s="155" t="s">
        <v>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</row>
    <row r="30" spans="1:36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4" t="s">
        <v>8</v>
      </c>
    </row>
    <row r="31" spans="1:36" s="91" customFormat="1">
      <c r="A31" s="90"/>
      <c r="B31" s="90">
        <v>1990</v>
      </c>
      <c r="C31" s="90">
        <v>1991</v>
      </c>
      <c r="D31" s="90">
        <v>1992</v>
      </c>
      <c r="E31" s="90">
        <v>1993</v>
      </c>
      <c r="F31" s="90">
        <v>1994</v>
      </c>
      <c r="G31" s="90">
        <v>1995</v>
      </c>
      <c r="H31" s="90">
        <v>1996</v>
      </c>
      <c r="I31" s="90">
        <v>1997</v>
      </c>
      <c r="J31" s="90">
        <v>1998</v>
      </c>
      <c r="K31" s="90">
        <v>1999</v>
      </c>
      <c r="L31" s="90">
        <v>2000</v>
      </c>
      <c r="M31" s="90">
        <v>2001</v>
      </c>
      <c r="N31" s="90">
        <v>2002</v>
      </c>
      <c r="O31" s="90">
        <v>2003</v>
      </c>
      <c r="P31" s="90">
        <v>2004</v>
      </c>
      <c r="Q31" s="90">
        <v>2005</v>
      </c>
      <c r="R31" s="90">
        <v>2006</v>
      </c>
      <c r="S31" s="90">
        <v>2007</v>
      </c>
      <c r="T31" s="90">
        <v>2008</v>
      </c>
      <c r="U31" s="90">
        <v>2009</v>
      </c>
      <c r="V31" s="90">
        <v>2010</v>
      </c>
      <c r="W31" s="90">
        <v>2011</v>
      </c>
      <c r="X31" s="90">
        <v>2012</v>
      </c>
      <c r="Y31" s="90">
        <v>2013</v>
      </c>
      <c r="Z31" s="90">
        <v>2014</v>
      </c>
      <c r="AA31" s="90">
        <v>2015</v>
      </c>
      <c r="AB31" s="90">
        <v>2016</v>
      </c>
      <c r="AC31" s="90">
        <v>2017</v>
      </c>
      <c r="AD31" s="90">
        <v>2018</v>
      </c>
      <c r="AE31" s="90">
        <v>2019</v>
      </c>
      <c r="AF31" s="90">
        <v>2020</v>
      </c>
      <c r="AG31" s="90">
        <v>2021</v>
      </c>
    </row>
    <row r="32" spans="1:36" s="93" customFormat="1" ht="27.75" customHeight="1">
      <c r="A32" s="134" t="s">
        <v>85</v>
      </c>
      <c r="B32" s="78">
        <v>393.7</v>
      </c>
      <c r="C32" s="78">
        <v>161.5</v>
      </c>
      <c r="D32" s="78">
        <v>213.2</v>
      </c>
      <c r="E32" s="78">
        <v>446.4</v>
      </c>
      <c r="F32" s="78">
        <v>133.4</v>
      </c>
      <c r="G32" s="78">
        <v>137.1</v>
      </c>
      <c r="H32" s="78">
        <v>65.537800000000004</v>
      </c>
      <c r="I32" s="78">
        <v>27.4</v>
      </c>
      <c r="J32" s="78">
        <v>59.6</v>
      </c>
      <c r="K32" s="78">
        <v>70.2</v>
      </c>
      <c r="L32" s="78">
        <v>122.6</v>
      </c>
      <c r="M32" s="78">
        <v>135.80000000000001</v>
      </c>
      <c r="N32" s="78">
        <v>154.80000000000001</v>
      </c>
      <c r="O32" s="78">
        <v>99.7</v>
      </c>
      <c r="P32" s="78">
        <v>102.84</v>
      </c>
      <c r="Q32" s="78">
        <v>89.8</v>
      </c>
      <c r="R32" s="78">
        <v>89.5</v>
      </c>
      <c r="S32" s="78">
        <v>127.48</v>
      </c>
      <c r="T32" s="78">
        <v>32.24</v>
      </c>
      <c r="U32" s="78">
        <v>149.80000000000001</v>
      </c>
      <c r="V32" s="78">
        <v>69.8</v>
      </c>
      <c r="W32" s="78">
        <v>84.3</v>
      </c>
      <c r="X32" s="78">
        <v>110.7</v>
      </c>
      <c r="Y32" s="78">
        <v>159.6</v>
      </c>
      <c r="Z32" s="78">
        <v>148.19999999999999</v>
      </c>
      <c r="AA32" s="78">
        <v>152.6</v>
      </c>
      <c r="AB32" s="78">
        <v>189.8</v>
      </c>
      <c r="AC32" s="78">
        <v>149.69999999999999</v>
      </c>
      <c r="AD32" s="78">
        <v>216</v>
      </c>
      <c r="AE32" s="78">
        <v>252.1</v>
      </c>
      <c r="AF32" s="78">
        <v>182.1</v>
      </c>
      <c r="AG32" s="78">
        <v>212</v>
      </c>
    </row>
    <row r="33" spans="1:36" s="93" customFormat="1">
      <c r="A33" s="76" t="s">
        <v>40</v>
      </c>
      <c r="B33" s="78" t="s">
        <v>34</v>
      </c>
      <c r="C33" s="78" t="s">
        <v>34</v>
      </c>
      <c r="D33" s="78" t="s">
        <v>34</v>
      </c>
      <c r="E33" s="78" t="s">
        <v>34</v>
      </c>
      <c r="F33" s="78" t="s">
        <v>34</v>
      </c>
      <c r="G33" s="78" t="s">
        <v>34</v>
      </c>
      <c r="H33" s="78">
        <v>0.38980000000000004</v>
      </c>
      <c r="I33" s="78">
        <v>0.1663</v>
      </c>
      <c r="J33" s="78">
        <v>0.35869999999999996</v>
      </c>
      <c r="K33" s="78">
        <v>0.24159999999999998</v>
      </c>
      <c r="L33" s="78">
        <v>1.1899000000000002</v>
      </c>
      <c r="M33" s="78">
        <v>0.61429999999999996</v>
      </c>
      <c r="N33" s="78">
        <v>0.38439999999999996</v>
      </c>
      <c r="O33" s="78">
        <v>0.57929999999999993</v>
      </c>
      <c r="P33" s="78">
        <v>0.4904</v>
      </c>
      <c r="Q33" s="98">
        <v>0.95689999999999997</v>
      </c>
      <c r="R33" s="98">
        <v>0.49060000000000004</v>
      </c>
      <c r="S33" s="98">
        <v>0.85409999999999997</v>
      </c>
      <c r="T33" s="98">
        <v>0.59</v>
      </c>
      <c r="U33" s="98">
        <v>0.98639999999999994</v>
      </c>
      <c r="V33" s="98">
        <v>0.30474000000000001</v>
      </c>
      <c r="W33" s="101">
        <v>0.4733</v>
      </c>
      <c r="X33" s="102">
        <v>0.22180000000000002</v>
      </c>
      <c r="Y33" s="98">
        <v>1.2835000000000001</v>
      </c>
      <c r="Z33" s="98">
        <v>1.1311</v>
      </c>
      <c r="AA33" s="98">
        <v>0.77579999999999993</v>
      </c>
      <c r="AB33" s="106">
        <v>0.81743999999999994</v>
      </c>
      <c r="AC33" s="82">
        <v>0.71241999999999994</v>
      </c>
      <c r="AD33" s="83">
        <v>0.97160000000000002</v>
      </c>
      <c r="AE33" s="84">
        <v>1.5082</v>
      </c>
      <c r="AF33" s="84">
        <v>0.97086000000000006</v>
      </c>
      <c r="AG33" s="84">
        <v>1.1534899999999999</v>
      </c>
      <c r="AI33" s="84"/>
      <c r="AJ33" s="102"/>
    </row>
    <row r="34" spans="1:36" s="93" customFormat="1">
      <c r="A34" s="76" t="s">
        <v>41</v>
      </c>
      <c r="B34" s="78" t="s">
        <v>34</v>
      </c>
      <c r="C34" s="78" t="s">
        <v>34</v>
      </c>
      <c r="D34" s="78" t="s">
        <v>34</v>
      </c>
      <c r="E34" s="78" t="s">
        <v>34</v>
      </c>
      <c r="F34" s="78" t="s">
        <v>34</v>
      </c>
      <c r="G34" s="78" t="s">
        <v>34</v>
      </c>
      <c r="H34" s="78">
        <v>0.85109999999999997</v>
      </c>
      <c r="I34" s="78">
        <v>0.1051</v>
      </c>
      <c r="J34" s="78">
        <v>0.27929999999999999</v>
      </c>
      <c r="K34" s="78">
        <v>0.2505</v>
      </c>
      <c r="L34" s="78">
        <v>0.2989</v>
      </c>
      <c r="M34" s="78">
        <v>1.1451</v>
      </c>
      <c r="N34" s="78">
        <v>1.5759000000000001</v>
      </c>
      <c r="O34" s="78">
        <v>1.075</v>
      </c>
      <c r="P34" s="78">
        <v>1.2470000000000001</v>
      </c>
      <c r="Q34" s="98">
        <v>0.97599999999999998</v>
      </c>
      <c r="R34" s="99">
        <v>0.36419999999999997</v>
      </c>
      <c r="S34" s="98">
        <v>0.2969</v>
      </c>
      <c r="T34" s="99">
        <v>9.0200000000000002E-2</v>
      </c>
      <c r="U34" s="98">
        <v>0.35249999999999998</v>
      </c>
      <c r="V34" s="98">
        <v>0.62829999999999997</v>
      </c>
      <c r="W34" s="101">
        <v>0.83660000000000001</v>
      </c>
      <c r="X34" s="102">
        <v>0.53110000000000002</v>
      </c>
      <c r="Y34" s="98">
        <v>1.0127000000000002</v>
      </c>
      <c r="Z34" s="98">
        <v>4.2299999999999997E-2</v>
      </c>
      <c r="AA34" s="98">
        <v>0.15490000000000001</v>
      </c>
      <c r="AB34" s="106">
        <v>0.28699999999999998</v>
      </c>
      <c r="AC34" s="82">
        <v>2.5000000000000001E-2</v>
      </c>
      <c r="AD34" s="83">
        <v>0.4718</v>
      </c>
      <c r="AE34" s="84">
        <v>0.4889</v>
      </c>
      <c r="AF34" s="84">
        <v>0.51590000000000003</v>
      </c>
      <c r="AG34" s="84">
        <v>0.1109</v>
      </c>
      <c r="AI34" s="84"/>
      <c r="AJ34" s="102"/>
    </row>
    <row r="35" spans="1:36" s="93" customFormat="1">
      <c r="A35" s="76" t="s">
        <v>42</v>
      </c>
      <c r="B35" s="78" t="s">
        <v>34</v>
      </c>
      <c r="C35" s="78" t="s">
        <v>34</v>
      </c>
      <c r="D35" s="78" t="s">
        <v>34</v>
      </c>
      <c r="E35" s="78" t="s">
        <v>34</v>
      </c>
      <c r="F35" s="78" t="s">
        <v>34</v>
      </c>
      <c r="G35" s="78" t="s">
        <v>34</v>
      </c>
      <c r="H35" s="78">
        <v>6.5500000000000003E-2</v>
      </c>
      <c r="I35" s="78">
        <v>7.0000000000000007E-2</v>
      </c>
      <c r="J35" s="78" t="s">
        <v>10</v>
      </c>
      <c r="K35" s="78">
        <v>0.45900000000000002</v>
      </c>
      <c r="L35" s="78">
        <v>0.16550000000000001</v>
      </c>
      <c r="M35" s="78">
        <v>0.20399999999999999</v>
      </c>
      <c r="N35" s="78">
        <v>0.192</v>
      </c>
      <c r="O35" s="78">
        <v>0.1434</v>
      </c>
      <c r="P35" s="78">
        <v>0.17399999999999999</v>
      </c>
      <c r="Q35" s="98">
        <v>0.29899999999999999</v>
      </c>
      <c r="R35" s="98">
        <v>0.33300000000000002</v>
      </c>
      <c r="S35" s="98">
        <v>6.9199999999999998E-2</v>
      </c>
      <c r="T35" s="98">
        <v>3.1E-2</v>
      </c>
      <c r="U35" s="98">
        <v>0</v>
      </c>
      <c r="V35" s="98">
        <v>0.26750999999999997</v>
      </c>
      <c r="W35" s="101">
        <v>0.2049</v>
      </c>
      <c r="X35" s="102">
        <v>0.29799999999999999</v>
      </c>
      <c r="Y35" s="98">
        <v>0.2611</v>
      </c>
      <c r="Z35" s="98">
        <v>0.57150000000000001</v>
      </c>
      <c r="AA35" s="98">
        <v>0.76</v>
      </c>
      <c r="AB35" s="106">
        <v>0.69199999999999995</v>
      </c>
      <c r="AC35" s="82">
        <v>1.0940000000000001</v>
      </c>
      <c r="AD35" s="83">
        <v>1.3398000000000001</v>
      </c>
      <c r="AE35" s="84">
        <v>1.5061440000000001</v>
      </c>
      <c r="AF35" s="84">
        <v>1.0092099999999999</v>
      </c>
      <c r="AG35" s="84">
        <v>1.0165999999999999</v>
      </c>
      <c r="AI35" s="84"/>
      <c r="AJ35" s="102"/>
    </row>
    <row r="36" spans="1:36" s="93" customFormat="1">
      <c r="A36" s="76" t="s">
        <v>43</v>
      </c>
      <c r="B36" s="78" t="s">
        <v>34</v>
      </c>
      <c r="C36" s="78" t="s">
        <v>34</v>
      </c>
      <c r="D36" s="78" t="s">
        <v>34</v>
      </c>
      <c r="E36" s="78" t="s">
        <v>34</v>
      </c>
      <c r="F36" s="78" t="s">
        <v>34</v>
      </c>
      <c r="G36" s="78" t="s">
        <v>34</v>
      </c>
      <c r="H36" s="78" t="s">
        <v>10</v>
      </c>
      <c r="I36" s="78" t="s">
        <v>10</v>
      </c>
      <c r="J36" s="78" t="s">
        <v>10</v>
      </c>
      <c r="K36" s="78" t="s">
        <v>10</v>
      </c>
      <c r="L36" s="78" t="s">
        <v>10</v>
      </c>
      <c r="M36" s="78" t="s">
        <v>10</v>
      </c>
      <c r="N36" s="78" t="s">
        <v>10</v>
      </c>
      <c r="O36" s="78" t="s">
        <v>10</v>
      </c>
      <c r="P36" s="78" t="s">
        <v>10</v>
      </c>
      <c r="Q36" s="98">
        <v>0</v>
      </c>
      <c r="R36" s="98">
        <v>0</v>
      </c>
      <c r="S36" s="98">
        <v>0</v>
      </c>
      <c r="T36" s="98">
        <v>0</v>
      </c>
      <c r="U36" s="98" t="s">
        <v>10</v>
      </c>
      <c r="V36" s="98" t="s">
        <v>10</v>
      </c>
      <c r="W36" s="98" t="s">
        <v>10</v>
      </c>
      <c r="X36" s="98" t="s">
        <v>10</v>
      </c>
      <c r="Y36" s="98" t="s">
        <v>10</v>
      </c>
      <c r="Z36" s="98" t="s">
        <v>10</v>
      </c>
      <c r="AA36" s="98" t="s">
        <v>10</v>
      </c>
      <c r="AB36" s="98" t="s">
        <v>10</v>
      </c>
      <c r="AC36" s="98" t="s">
        <v>10</v>
      </c>
      <c r="AD36" s="98" t="s">
        <v>10</v>
      </c>
      <c r="AE36" s="98" t="s">
        <v>10</v>
      </c>
      <c r="AF36" s="98" t="s">
        <v>10</v>
      </c>
      <c r="AG36" s="98" t="s">
        <v>10</v>
      </c>
      <c r="AI36" s="78"/>
      <c r="AJ36" s="102"/>
    </row>
    <row r="37" spans="1:36" s="93" customFormat="1">
      <c r="A37" s="76" t="s">
        <v>44</v>
      </c>
      <c r="B37" s="78" t="s">
        <v>34</v>
      </c>
      <c r="C37" s="78" t="s">
        <v>34</v>
      </c>
      <c r="D37" s="78" t="s">
        <v>34</v>
      </c>
      <c r="E37" s="78" t="s">
        <v>34</v>
      </c>
      <c r="F37" s="78" t="s">
        <v>34</v>
      </c>
      <c r="G37" s="78" t="s">
        <v>34</v>
      </c>
      <c r="H37" s="78" t="s">
        <v>10</v>
      </c>
      <c r="I37" s="78">
        <v>0.05</v>
      </c>
      <c r="J37" s="78" t="s">
        <v>10</v>
      </c>
      <c r="K37" s="78">
        <v>2.3100000000000002E-2</v>
      </c>
      <c r="L37" s="78" t="s">
        <v>10</v>
      </c>
      <c r="M37" s="78" t="s">
        <v>10</v>
      </c>
      <c r="N37" s="78" t="s">
        <v>10</v>
      </c>
      <c r="O37" s="78" t="s">
        <v>10</v>
      </c>
      <c r="P37" s="78" t="s">
        <v>10</v>
      </c>
      <c r="Q37" s="98">
        <v>0</v>
      </c>
      <c r="R37" s="98">
        <v>0</v>
      </c>
      <c r="S37" s="98">
        <v>0</v>
      </c>
      <c r="T37" s="98">
        <v>0</v>
      </c>
      <c r="U37" s="98" t="s">
        <v>10</v>
      </c>
      <c r="V37" s="98" t="s">
        <v>10</v>
      </c>
      <c r="W37" s="98" t="s">
        <v>10</v>
      </c>
      <c r="X37" s="98" t="s">
        <v>10</v>
      </c>
      <c r="Y37" s="98" t="s">
        <v>10</v>
      </c>
      <c r="Z37" s="98" t="s">
        <v>10</v>
      </c>
      <c r="AA37" s="98" t="s">
        <v>10</v>
      </c>
      <c r="AB37" s="98" t="s">
        <v>10</v>
      </c>
      <c r="AC37" s="98" t="s">
        <v>10</v>
      </c>
      <c r="AD37" s="98" t="s">
        <v>10</v>
      </c>
      <c r="AE37" s="98" t="s">
        <v>10</v>
      </c>
      <c r="AF37" s="98" t="s">
        <v>10</v>
      </c>
      <c r="AG37" s="98" t="s">
        <v>10</v>
      </c>
      <c r="AI37" s="78"/>
      <c r="AJ37" s="102"/>
    </row>
    <row r="38" spans="1:36" s="93" customFormat="1">
      <c r="A38" s="76" t="s">
        <v>45</v>
      </c>
      <c r="B38" s="78" t="s">
        <v>34</v>
      </c>
      <c r="C38" s="78" t="s">
        <v>34</v>
      </c>
      <c r="D38" s="78" t="s">
        <v>34</v>
      </c>
      <c r="E38" s="78" t="s">
        <v>34</v>
      </c>
      <c r="F38" s="78" t="s">
        <v>34</v>
      </c>
      <c r="G38" s="78" t="s">
        <v>34</v>
      </c>
      <c r="H38" s="78">
        <v>2.3675999999999999</v>
      </c>
      <c r="I38" s="78">
        <v>1.3049999999999999</v>
      </c>
      <c r="J38" s="78">
        <v>0.4914</v>
      </c>
      <c r="K38" s="78">
        <v>0.15330000000000002</v>
      </c>
      <c r="L38" s="78">
        <v>0.60020000000000007</v>
      </c>
      <c r="M38" s="78">
        <v>0.5323</v>
      </c>
      <c r="N38" s="78">
        <v>1.0274000000000001</v>
      </c>
      <c r="O38" s="78">
        <v>1.034</v>
      </c>
      <c r="P38" s="78">
        <v>1.1878</v>
      </c>
      <c r="Q38" s="98">
        <v>0.27</v>
      </c>
      <c r="R38" s="98">
        <v>0.44210000000000005</v>
      </c>
      <c r="S38" s="98">
        <v>0.65</v>
      </c>
      <c r="T38" s="98">
        <v>0.17649999999999999</v>
      </c>
      <c r="U38" s="98">
        <v>1.5517999999999998</v>
      </c>
      <c r="V38" s="98">
        <v>2.0438000000000001</v>
      </c>
      <c r="W38" s="101">
        <v>1.4302000000000001</v>
      </c>
      <c r="X38" s="102">
        <v>2.3479999999999999</v>
      </c>
      <c r="Y38" s="98">
        <v>4.8029999999999999</v>
      </c>
      <c r="Z38" s="98">
        <v>3.762</v>
      </c>
      <c r="AA38" s="98">
        <v>2.5640000000000001</v>
      </c>
      <c r="AB38" s="106">
        <v>7.0990000000000002</v>
      </c>
      <c r="AC38" s="82">
        <v>3.59</v>
      </c>
      <c r="AD38" s="83">
        <v>4.2110000000000003</v>
      </c>
      <c r="AE38" s="84">
        <v>4.0350000000000001</v>
      </c>
      <c r="AF38" s="84">
        <v>2.3450000000000002</v>
      </c>
      <c r="AG38" s="84">
        <v>0.24959999999999999</v>
      </c>
      <c r="AI38" s="84"/>
      <c r="AJ38" s="102"/>
    </row>
    <row r="39" spans="1:36" s="93" customFormat="1">
      <c r="A39" s="76" t="s">
        <v>46</v>
      </c>
      <c r="B39" s="78" t="s">
        <v>34</v>
      </c>
      <c r="C39" s="78" t="s">
        <v>34</v>
      </c>
      <c r="D39" s="78" t="s">
        <v>34</v>
      </c>
      <c r="E39" s="78" t="s">
        <v>34</v>
      </c>
      <c r="F39" s="78" t="s">
        <v>34</v>
      </c>
      <c r="G39" s="78" t="s">
        <v>34</v>
      </c>
      <c r="H39" s="78">
        <v>2.0547</v>
      </c>
      <c r="I39" s="78">
        <v>0.11259999999999999</v>
      </c>
      <c r="J39" s="78">
        <v>0.38389999999999996</v>
      </c>
      <c r="K39" s="78">
        <v>0.34670000000000001</v>
      </c>
      <c r="L39" s="78">
        <v>0.72150000000000003</v>
      </c>
      <c r="M39" s="78">
        <v>2.4039000000000001</v>
      </c>
      <c r="N39" s="78">
        <v>3.2096</v>
      </c>
      <c r="O39" s="78">
        <v>0.55589999999999995</v>
      </c>
      <c r="P39" s="78">
        <v>0.4768</v>
      </c>
      <c r="Q39" s="98">
        <v>0.2387</v>
      </c>
      <c r="R39" s="98">
        <v>0.28860000000000002</v>
      </c>
      <c r="S39" s="98">
        <v>0.82299999999999995</v>
      </c>
      <c r="T39" s="98">
        <v>9.5400000000000013E-2</v>
      </c>
      <c r="U39" s="98">
        <v>1.1364000000000001</v>
      </c>
      <c r="V39" s="98">
        <v>0.42699999999999999</v>
      </c>
      <c r="W39" s="101">
        <v>0.71799999999999997</v>
      </c>
      <c r="X39" s="102">
        <v>1.6719999999999999</v>
      </c>
      <c r="Y39" s="98">
        <v>3.53</v>
      </c>
      <c r="Z39" s="98">
        <v>4.8868</v>
      </c>
      <c r="AA39" s="98">
        <v>2.4329999999999998</v>
      </c>
      <c r="AB39" s="106">
        <v>5.1040000000000001</v>
      </c>
      <c r="AC39" s="82">
        <v>3.1110000000000002</v>
      </c>
      <c r="AD39" s="83">
        <v>3.5400999999999998</v>
      </c>
      <c r="AE39" s="84">
        <v>2.2315999999999998</v>
      </c>
      <c r="AF39" s="84">
        <v>2.0893000000000002</v>
      </c>
      <c r="AG39" s="84">
        <v>0.95420000000000005</v>
      </c>
      <c r="AI39" s="84"/>
      <c r="AJ39" s="102"/>
    </row>
    <row r="40" spans="1:36" s="93" customFormat="1">
      <c r="A40" s="76" t="s">
        <v>47</v>
      </c>
      <c r="B40" s="78" t="s">
        <v>34</v>
      </c>
      <c r="C40" s="78" t="s">
        <v>34</v>
      </c>
      <c r="D40" s="78" t="s">
        <v>34</v>
      </c>
      <c r="E40" s="78" t="s">
        <v>34</v>
      </c>
      <c r="F40" s="78" t="s">
        <v>34</v>
      </c>
      <c r="G40" s="78" t="s">
        <v>34</v>
      </c>
      <c r="H40" s="78">
        <v>5.1808000000000005</v>
      </c>
      <c r="I40" s="78">
        <v>1.1619000000000002</v>
      </c>
      <c r="J40" s="78">
        <v>7.4592999999999998</v>
      </c>
      <c r="K40" s="78">
        <v>7.5167999999999999</v>
      </c>
      <c r="L40" s="78">
        <v>17.834199999999999</v>
      </c>
      <c r="M40" s="78">
        <v>21.138900000000003</v>
      </c>
      <c r="N40" s="78">
        <v>24.160400000000003</v>
      </c>
      <c r="O40" s="78">
        <v>12.6839</v>
      </c>
      <c r="P40" s="78">
        <v>12.994999999999999</v>
      </c>
      <c r="Q40" s="98">
        <v>10.908899999999999</v>
      </c>
      <c r="R40" s="98">
        <v>10.682799999999999</v>
      </c>
      <c r="S40" s="98">
        <v>17.775299999999998</v>
      </c>
      <c r="T40" s="98">
        <v>3.9266000000000001</v>
      </c>
      <c r="U40" s="98">
        <v>28.651</v>
      </c>
      <c r="V40" s="98">
        <v>11.124700000000001</v>
      </c>
      <c r="W40" s="101">
        <v>14.529</v>
      </c>
      <c r="X40" s="102">
        <v>25.756</v>
      </c>
      <c r="Y40" s="98">
        <v>33.191000000000003</v>
      </c>
      <c r="Z40" s="98">
        <v>24.41</v>
      </c>
      <c r="AA40" s="98">
        <v>16.068000000000001</v>
      </c>
      <c r="AB40" s="106">
        <v>20.0398</v>
      </c>
      <c r="AC40" s="82">
        <v>12.948</v>
      </c>
      <c r="AD40" s="83">
        <v>28.025200000000002</v>
      </c>
      <c r="AE40" s="84">
        <v>21.0349</v>
      </c>
      <c r="AF40" s="84">
        <v>15.300770000000002</v>
      </c>
      <c r="AG40" s="84">
        <v>26.192699999999999</v>
      </c>
      <c r="AI40" s="84"/>
      <c r="AJ40" s="102"/>
    </row>
    <row r="41" spans="1:36" s="93" customFormat="1">
      <c r="A41" s="76" t="s">
        <v>48</v>
      </c>
      <c r="B41" s="78" t="s">
        <v>34</v>
      </c>
      <c r="C41" s="78" t="s">
        <v>34</v>
      </c>
      <c r="D41" s="78" t="s">
        <v>34</v>
      </c>
      <c r="E41" s="78" t="s">
        <v>34</v>
      </c>
      <c r="F41" s="78" t="s">
        <v>34</v>
      </c>
      <c r="G41" s="78" t="s">
        <v>34</v>
      </c>
      <c r="H41" s="78">
        <v>7.4287000000000001</v>
      </c>
      <c r="I41" s="78">
        <v>3.7121999999999997</v>
      </c>
      <c r="J41" s="78">
        <v>7.0709</v>
      </c>
      <c r="K41" s="78">
        <v>13.882</v>
      </c>
      <c r="L41" s="78">
        <v>21.1632</v>
      </c>
      <c r="M41" s="78">
        <v>17.9495</v>
      </c>
      <c r="N41" s="78">
        <v>23.599400000000003</v>
      </c>
      <c r="O41" s="78">
        <v>14.317600000000001</v>
      </c>
      <c r="P41" s="78">
        <v>16.196000000000002</v>
      </c>
      <c r="Q41" s="98">
        <v>13.834100000000001</v>
      </c>
      <c r="R41" s="98">
        <v>13.6609</v>
      </c>
      <c r="S41" s="98">
        <v>13.357100000000001</v>
      </c>
      <c r="T41" s="98">
        <v>6.4556000000000004</v>
      </c>
      <c r="U41" s="98">
        <v>18.6614</v>
      </c>
      <c r="V41" s="98">
        <v>6.7463999999999995</v>
      </c>
      <c r="W41" s="101">
        <v>7.2211999999999996</v>
      </c>
      <c r="X41" s="102">
        <v>11.191799999999999</v>
      </c>
      <c r="Y41" s="98">
        <v>18.374099999999999</v>
      </c>
      <c r="Z41" s="98">
        <v>26.424700000000001</v>
      </c>
      <c r="AA41" s="98">
        <v>17.178069999999998</v>
      </c>
      <c r="AB41" s="106">
        <v>24.794029999999999</v>
      </c>
      <c r="AC41" s="82">
        <v>24.176270000000002</v>
      </c>
      <c r="AD41" s="83">
        <v>33.253129999999999</v>
      </c>
      <c r="AE41" s="84">
        <v>49.954090000000001</v>
      </c>
      <c r="AF41" s="84">
        <v>21.944130999999999</v>
      </c>
      <c r="AG41" s="84">
        <v>35.501767999999998</v>
      </c>
      <c r="AI41" s="84"/>
      <c r="AJ41" s="102"/>
    </row>
    <row r="42" spans="1:36" s="93" customFormat="1">
      <c r="A42" s="76" t="s">
        <v>49</v>
      </c>
      <c r="B42" s="78" t="s">
        <v>34</v>
      </c>
      <c r="C42" s="78" t="s">
        <v>34</v>
      </c>
      <c r="D42" s="78" t="s">
        <v>34</v>
      </c>
      <c r="E42" s="78" t="s">
        <v>34</v>
      </c>
      <c r="F42" s="78" t="s">
        <v>34</v>
      </c>
      <c r="G42" s="78" t="s">
        <v>34</v>
      </c>
      <c r="H42" s="78">
        <v>2.0297000000000001</v>
      </c>
      <c r="I42" s="78">
        <v>2.2898000000000001</v>
      </c>
      <c r="J42" s="78">
        <v>1.0787</v>
      </c>
      <c r="K42" s="78">
        <v>1.5857000000000001</v>
      </c>
      <c r="L42" s="78">
        <v>2.0110000000000001</v>
      </c>
      <c r="M42" s="78">
        <v>4.5603999999999996</v>
      </c>
      <c r="N42" s="78">
        <v>3.9143000000000003</v>
      </c>
      <c r="O42" s="78">
        <v>1.5545</v>
      </c>
      <c r="P42" s="78">
        <v>2.5536999999999996</v>
      </c>
      <c r="Q42" s="98">
        <v>1.5335000000000001</v>
      </c>
      <c r="R42" s="98">
        <v>3.2700999999999998</v>
      </c>
      <c r="S42" s="98">
        <v>4.16</v>
      </c>
      <c r="T42" s="98">
        <v>1.5295999999999998</v>
      </c>
      <c r="U42" s="98">
        <v>3.5419999999999998</v>
      </c>
      <c r="V42" s="98">
        <v>1.9225999999999999</v>
      </c>
      <c r="W42" s="101">
        <v>2.6579999999999999</v>
      </c>
      <c r="X42" s="102">
        <v>3.5739999999999998</v>
      </c>
      <c r="Y42" s="98">
        <v>8.2360000000000007</v>
      </c>
      <c r="Z42" s="98">
        <v>4.5819999999999999</v>
      </c>
      <c r="AA42" s="98">
        <v>3.5609999999999999</v>
      </c>
      <c r="AB42" s="106">
        <v>7.9055</v>
      </c>
      <c r="AC42" s="82">
        <v>4.101</v>
      </c>
      <c r="AD42" s="83">
        <v>2.7490999999999999</v>
      </c>
      <c r="AE42" s="84">
        <v>5.1485000000000003</v>
      </c>
      <c r="AF42" s="84">
        <v>3.8336000000000001</v>
      </c>
      <c r="AG42" s="84">
        <v>3.8041999999999998</v>
      </c>
      <c r="AI42" s="84"/>
      <c r="AJ42" s="102"/>
    </row>
    <row r="43" spans="1:36" s="93" customFormat="1">
      <c r="A43" s="76" t="s">
        <v>50</v>
      </c>
      <c r="B43" s="78" t="s">
        <v>34</v>
      </c>
      <c r="C43" s="78" t="s">
        <v>34</v>
      </c>
      <c r="D43" s="78" t="s">
        <v>34</v>
      </c>
      <c r="E43" s="78" t="s">
        <v>34</v>
      </c>
      <c r="F43" s="78" t="s">
        <v>34</v>
      </c>
      <c r="G43" s="78" t="s">
        <v>34</v>
      </c>
      <c r="H43" s="78">
        <v>0.47070000000000001</v>
      </c>
      <c r="I43" s="78">
        <v>0.245</v>
      </c>
      <c r="J43" s="78">
        <v>0.40550000000000003</v>
      </c>
      <c r="K43" s="78">
        <v>0.5</v>
      </c>
      <c r="L43" s="78">
        <v>0.74839999999999995</v>
      </c>
      <c r="M43" s="78">
        <v>0.9</v>
      </c>
      <c r="N43" s="78">
        <v>0.96799999999999997</v>
      </c>
      <c r="O43" s="78">
        <v>0.72010000000000007</v>
      </c>
      <c r="P43" s="78">
        <v>0.69950000000000001</v>
      </c>
      <c r="Q43" s="98">
        <v>0.80859999999999999</v>
      </c>
      <c r="R43" s="98">
        <v>0.5502999999999999</v>
      </c>
      <c r="S43" s="98">
        <v>0.752</v>
      </c>
      <c r="T43" s="98">
        <v>0.1061</v>
      </c>
      <c r="U43" s="98">
        <v>0.49389999999999995</v>
      </c>
      <c r="V43" s="98">
        <v>0.60727999999999993</v>
      </c>
      <c r="W43" s="101">
        <v>1.1037000000000001</v>
      </c>
      <c r="X43" s="102">
        <v>0.97499999999999998</v>
      </c>
      <c r="Y43" s="98">
        <v>1.655</v>
      </c>
      <c r="Z43" s="98">
        <v>1.552</v>
      </c>
      <c r="AA43" s="98">
        <v>2.008</v>
      </c>
      <c r="AB43" s="106">
        <v>3.5813599999999997</v>
      </c>
      <c r="AC43" s="82">
        <v>3.9369999999999998</v>
      </c>
      <c r="AD43" s="83">
        <v>4.0266000000000002</v>
      </c>
      <c r="AE43" s="84">
        <v>3.6494</v>
      </c>
      <c r="AF43" s="84">
        <v>3.0331000000000001</v>
      </c>
      <c r="AG43" s="84">
        <v>2.1215000000000002</v>
      </c>
      <c r="AI43" s="84"/>
      <c r="AJ43" s="102"/>
    </row>
    <row r="44" spans="1:36" s="93" customFormat="1">
      <c r="A44" s="76" t="s">
        <v>51</v>
      </c>
      <c r="B44" s="78" t="s">
        <v>34</v>
      </c>
      <c r="C44" s="78" t="s">
        <v>34</v>
      </c>
      <c r="D44" s="78" t="s">
        <v>34</v>
      </c>
      <c r="E44" s="78" t="s">
        <v>34</v>
      </c>
      <c r="F44" s="78" t="s">
        <v>34</v>
      </c>
      <c r="G44" s="78" t="s">
        <v>34</v>
      </c>
      <c r="H44" s="78">
        <v>5.0806000000000004</v>
      </c>
      <c r="I44" s="78">
        <v>2.6549999999999998</v>
      </c>
      <c r="J44" s="78">
        <v>4.7493999999999996</v>
      </c>
      <c r="K44" s="78">
        <v>7.3396000000000008</v>
      </c>
      <c r="L44" s="78">
        <v>10.005700000000001</v>
      </c>
      <c r="M44" s="78">
        <v>7.7069999999999999</v>
      </c>
      <c r="N44" s="78">
        <v>9.5388999999999999</v>
      </c>
      <c r="O44" s="78">
        <v>6.9141000000000004</v>
      </c>
      <c r="P44" s="78">
        <v>7.8556000000000008</v>
      </c>
      <c r="Q44" s="98">
        <v>6.0248999999999997</v>
      </c>
      <c r="R44" s="98">
        <v>4.7168999999999999</v>
      </c>
      <c r="S44" s="98">
        <v>3.9584000000000001</v>
      </c>
      <c r="T44" s="98">
        <v>1.1924000000000001</v>
      </c>
      <c r="U44" s="98">
        <v>5.0958999999999994</v>
      </c>
      <c r="V44" s="98">
        <v>2.4146999999999998</v>
      </c>
      <c r="W44" s="98">
        <v>2.5038</v>
      </c>
      <c r="X44" s="102">
        <v>2.7691999999999997</v>
      </c>
      <c r="Y44" s="98">
        <v>5.1463000000000001</v>
      </c>
      <c r="Z44" s="98">
        <v>12.4901</v>
      </c>
      <c r="AA44" s="98">
        <v>14.76815</v>
      </c>
      <c r="AB44" s="106">
        <v>10.4216</v>
      </c>
      <c r="AC44" s="82">
        <v>10.28529</v>
      </c>
      <c r="AD44" s="83">
        <v>15.773849999999999</v>
      </c>
      <c r="AE44" s="84">
        <v>24.650870000000001</v>
      </c>
      <c r="AF44" s="84">
        <v>18.179959</v>
      </c>
      <c r="AG44" s="84">
        <v>19.987779</v>
      </c>
      <c r="AI44" s="84"/>
      <c r="AJ44" s="102"/>
    </row>
    <row r="45" spans="1:36" s="93" customFormat="1">
      <c r="A45" s="76" t="s">
        <v>52</v>
      </c>
      <c r="B45" s="78" t="s">
        <v>34</v>
      </c>
      <c r="C45" s="78" t="s">
        <v>34</v>
      </c>
      <c r="D45" s="78" t="s">
        <v>34</v>
      </c>
      <c r="E45" s="78" t="s">
        <v>34</v>
      </c>
      <c r="F45" s="78" t="s">
        <v>34</v>
      </c>
      <c r="G45" s="78" t="s">
        <v>34</v>
      </c>
      <c r="H45" s="78">
        <v>0.9466</v>
      </c>
      <c r="I45" s="78">
        <v>0.27600000000000002</v>
      </c>
      <c r="J45" s="78">
        <v>0.81210000000000004</v>
      </c>
      <c r="K45" s="78">
        <v>1.7113</v>
      </c>
      <c r="L45" s="78">
        <v>4.0686999999999998</v>
      </c>
      <c r="M45" s="78">
        <v>3.4903000000000004</v>
      </c>
      <c r="N45" s="78">
        <v>4.6601000000000008</v>
      </c>
      <c r="O45" s="78">
        <v>4.0418000000000003</v>
      </c>
      <c r="P45" s="78">
        <v>4.5119999999999996</v>
      </c>
      <c r="Q45" s="98">
        <v>4.1808000000000005</v>
      </c>
      <c r="R45" s="98">
        <v>2.7204000000000002</v>
      </c>
      <c r="S45" s="98">
        <v>5.4245000000000001</v>
      </c>
      <c r="T45" s="98">
        <v>0.42499999999999999</v>
      </c>
      <c r="U45" s="98">
        <v>4.8467000000000002</v>
      </c>
      <c r="V45" s="98">
        <v>3.9224999999999999</v>
      </c>
      <c r="W45" s="101">
        <v>2.3439999999999999</v>
      </c>
      <c r="X45" s="102">
        <v>2.911</v>
      </c>
      <c r="Y45" s="98">
        <v>3.4849999999999999</v>
      </c>
      <c r="Z45" s="98">
        <v>2.8912</v>
      </c>
      <c r="AA45" s="98">
        <v>7.1471</v>
      </c>
      <c r="AB45" s="106">
        <v>4.7129799999999999</v>
      </c>
      <c r="AC45" s="82">
        <v>4.2977699999999999</v>
      </c>
      <c r="AD45" s="83">
        <v>7.9306000000000001</v>
      </c>
      <c r="AE45" s="84">
        <v>12.892300000000001</v>
      </c>
      <c r="AF45" s="84">
        <v>17.921600000000002</v>
      </c>
      <c r="AG45" s="84">
        <v>13.514799999999999</v>
      </c>
      <c r="AI45" s="84"/>
      <c r="AJ45" s="102"/>
    </row>
    <row r="46" spans="1:36" s="93" customFormat="1">
      <c r="A46" s="76" t="s">
        <v>53</v>
      </c>
      <c r="B46" s="78" t="s">
        <v>34</v>
      </c>
      <c r="C46" s="78" t="s">
        <v>34</v>
      </c>
      <c r="D46" s="78" t="s">
        <v>34</v>
      </c>
      <c r="E46" s="78" t="s">
        <v>34</v>
      </c>
      <c r="F46" s="78" t="s">
        <v>34</v>
      </c>
      <c r="G46" s="78" t="s">
        <v>34</v>
      </c>
      <c r="H46" s="78">
        <v>3.5111999999999997</v>
      </c>
      <c r="I46" s="78">
        <v>2.4280999999999997</v>
      </c>
      <c r="J46" s="78">
        <v>4.0636000000000001</v>
      </c>
      <c r="K46" s="78">
        <v>5.1173000000000002</v>
      </c>
      <c r="L46" s="78">
        <v>7.0324999999999998</v>
      </c>
      <c r="M46" s="78">
        <v>15.1972</v>
      </c>
      <c r="N46" s="78">
        <v>13.270899999999999</v>
      </c>
      <c r="O46" s="78">
        <v>9.4695999999999998</v>
      </c>
      <c r="P46" s="78">
        <v>9.0220000000000002</v>
      </c>
      <c r="Q46" s="98">
        <v>9.9977999999999998</v>
      </c>
      <c r="R46" s="98">
        <v>8.1018999999999988</v>
      </c>
      <c r="S46" s="98">
        <v>21.444099999999999</v>
      </c>
      <c r="T46" s="98">
        <v>2.855</v>
      </c>
      <c r="U46" s="98">
        <v>20.184200000000001</v>
      </c>
      <c r="V46" s="98">
        <v>10.93145</v>
      </c>
      <c r="W46" s="101">
        <v>18.2483</v>
      </c>
      <c r="X46" s="102">
        <v>18.8918</v>
      </c>
      <c r="Y46" s="98">
        <v>26.153400000000001</v>
      </c>
      <c r="Z46" s="98">
        <v>12.6633</v>
      </c>
      <c r="AA46" s="98">
        <v>29.407790000000002</v>
      </c>
      <c r="AB46" s="106">
        <v>35.647100000000002</v>
      </c>
      <c r="AC46" s="82">
        <v>22.876799999999999</v>
      </c>
      <c r="AD46" s="83">
        <v>26.073699999999999</v>
      </c>
      <c r="AE46" s="84">
        <v>30.946400000000001</v>
      </c>
      <c r="AF46" s="84">
        <v>31.075320000000001</v>
      </c>
      <c r="AG46" s="84">
        <v>19.359170000000002</v>
      </c>
      <c r="AI46" s="84"/>
      <c r="AJ46" s="102"/>
    </row>
    <row r="47" spans="1:36" s="93" customFormat="1">
      <c r="A47" s="76" t="s">
        <v>54</v>
      </c>
      <c r="B47" s="78" t="s">
        <v>34</v>
      </c>
      <c r="C47" s="78" t="s">
        <v>34</v>
      </c>
      <c r="D47" s="78" t="s">
        <v>34</v>
      </c>
      <c r="E47" s="78" t="s">
        <v>34</v>
      </c>
      <c r="F47" s="78" t="s">
        <v>34</v>
      </c>
      <c r="G47" s="78" t="s">
        <v>34</v>
      </c>
      <c r="H47" s="78">
        <v>0.53770000000000007</v>
      </c>
      <c r="I47" s="78">
        <v>0.4531</v>
      </c>
      <c r="J47" s="78">
        <v>0.36989999999999995</v>
      </c>
      <c r="K47" s="78">
        <v>0.23680000000000001</v>
      </c>
      <c r="L47" s="78">
        <v>1.0309999999999999</v>
      </c>
      <c r="M47" s="78">
        <v>1.7575999999999998</v>
      </c>
      <c r="N47" s="78">
        <v>1.6231</v>
      </c>
      <c r="O47" s="78">
        <v>1.0854999999999999</v>
      </c>
      <c r="P47" s="78">
        <v>0.84370000000000001</v>
      </c>
      <c r="Q47" s="98">
        <v>1.5508</v>
      </c>
      <c r="R47" s="98">
        <v>0.62549999999999994</v>
      </c>
      <c r="S47" s="98">
        <v>1.2569000000000001</v>
      </c>
      <c r="T47" s="98">
        <v>0.308</v>
      </c>
      <c r="U47" s="98">
        <v>3.74</v>
      </c>
      <c r="V47" s="98">
        <v>2.8294999999999999</v>
      </c>
      <c r="W47" s="101">
        <v>1.6742999999999999</v>
      </c>
      <c r="X47" s="102">
        <v>2.2389000000000001</v>
      </c>
      <c r="Y47" s="98">
        <v>3.2065000000000001</v>
      </c>
      <c r="Z47" s="98">
        <v>1.7209000000000001</v>
      </c>
      <c r="AA47" s="98">
        <v>3.4150900000000002</v>
      </c>
      <c r="AB47" s="106">
        <v>5.0110000000000001</v>
      </c>
      <c r="AC47" s="82">
        <v>3.3759999999999999</v>
      </c>
      <c r="AD47" s="83">
        <v>2.6908500000000002</v>
      </c>
      <c r="AE47" s="84">
        <v>2.5911</v>
      </c>
      <c r="AF47" s="84">
        <v>3.63795</v>
      </c>
      <c r="AG47" s="84">
        <v>3.2254999999999998</v>
      </c>
      <c r="AI47" s="84"/>
      <c r="AJ47" s="102"/>
    </row>
    <row r="48" spans="1:36" s="93" customFormat="1">
      <c r="A48" s="76" t="s">
        <v>55</v>
      </c>
      <c r="B48" s="78" t="s">
        <v>34</v>
      </c>
      <c r="C48" s="78" t="s">
        <v>34</v>
      </c>
      <c r="D48" s="78" t="s">
        <v>34</v>
      </c>
      <c r="E48" s="78" t="s">
        <v>34</v>
      </c>
      <c r="F48" s="78" t="s">
        <v>34</v>
      </c>
      <c r="G48" s="78" t="s">
        <v>34</v>
      </c>
      <c r="H48" s="78">
        <v>0.1162</v>
      </c>
      <c r="I48" s="78">
        <v>0.11799999999999999</v>
      </c>
      <c r="J48" s="78">
        <v>5.21E-2</v>
      </c>
      <c r="K48" s="78">
        <v>0.1338</v>
      </c>
      <c r="L48" s="78">
        <v>0.1071</v>
      </c>
      <c r="M48" s="78">
        <v>0.30689999999999995</v>
      </c>
      <c r="N48" s="78">
        <v>0.17130000000000001</v>
      </c>
      <c r="O48" s="78">
        <v>0.24609999999999999</v>
      </c>
      <c r="P48" s="78">
        <v>0.26389999999999997</v>
      </c>
      <c r="Q48" s="98">
        <v>0.15240000000000001</v>
      </c>
      <c r="R48" s="98">
        <v>0.25830000000000003</v>
      </c>
      <c r="S48" s="98">
        <v>7.8799999999999995E-2</v>
      </c>
      <c r="T48" s="98">
        <v>9.8900000000000002E-2</v>
      </c>
      <c r="U48" s="98">
        <v>0.28399999999999997</v>
      </c>
      <c r="V48" s="98">
        <v>0.56879999999999997</v>
      </c>
      <c r="W48" s="101">
        <v>0.69</v>
      </c>
      <c r="X48" s="102">
        <v>1.0059</v>
      </c>
      <c r="Y48" s="98">
        <v>1.2387000000000001</v>
      </c>
      <c r="Z48" s="98">
        <v>2.1301999999999999</v>
      </c>
      <c r="AA48" s="98">
        <v>0.52233000000000007</v>
      </c>
      <c r="AB48" s="106">
        <v>1.2255</v>
      </c>
      <c r="AC48" s="82">
        <v>1.9913000000000001</v>
      </c>
      <c r="AD48" s="83">
        <v>1.5003</v>
      </c>
      <c r="AE48" s="84">
        <v>1.5173000000000001</v>
      </c>
      <c r="AF48" s="84">
        <v>1.9265000000000001</v>
      </c>
      <c r="AG48" s="84">
        <v>2.1482000000000001</v>
      </c>
      <c r="AI48" s="84"/>
      <c r="AJ48" s="102"/>
    </row>
    <row r="49" spans="1:36" s="93" customFormat="1">
      <c r="A49" s="103" t="s">
        <v>56</v>
      </c>
      <c r="B49" s="78" t="s">
        <v>34</v>
      </c>
      <c r="C49" s="78" t="s">
        <v>34</v>
      </c>
      <c r="D49" s="78" t="s">
        <v>34</v>
      </c>
      <c r="E49" s="78" t="s">
        <v>34</v>
      </c>
      <c r="F49" s="78" t="s">
        <v>34</v>
      </c>
      <c r="G49" s="78" t="s">
        <v>34</v>
      </c>
      <c r="H49" s="78">
        <v>3.2071999999999998</v>
      </c>
      <c r="I49" s="78">
        <v>0.79979999999999996</v>
      </c>
      <c r="J49" s="78">
        <v>1.78</v>
      </c>
      <c r="K49" s="78">
        <v>1.4867000000000001</v>
      </c>
      <c r="L49" s="78">
        <v>4.7519999999999998</v>
      </c>
      <c r="M49" s="78">
        <v>7.4020000000000001</v>
      </c>
      <c r="N49" s="78">
        <v>9.2720000000000002</v>
      </c>
      <c r="O49" s="78">
        <v>5.0999999999999996</v>
      </c>
      <c r="P49" s="78">
        <v>6.5266000000000002</v>
      </c>
      <c r="Q49" s="98">
        <v>5.3316000000000008</v>
      </c>
      <c r="R49" s="98">
        <v>5.0205000000000002</v>
      </c>
      <c r="S49" s="98">
        <v>9.6292999999999989</v>
      </c>
      <c r="T49" s="98">
        <v>1.7926</v>
      </c>
      <c r="U49" s="98">
        <v>11.895299999999999</v>
      </c>
      <c r="V49" s="98">
        <v>2.5982699999999999</v>
      </c>
      <c r="W49" s="101">
        <v>5.1413000000000002</v>
      </c>
      <c r="X49" s="102">
        <v>4.3588999999999993</v>
      </c>
      <c r="Y49" s="98">
        <v>5.2424999999999997</v>
      </c>
      <c r="Z49" s="98">
        <v>3.9716999999999998</v>
      </c>
      <c r="AA49" s="98">
        <v>5.5753199999999996</v>
      </c>
      <c r="AB49" s="106">
        <v>8.7550000000000008</v>
      </c>
      <c r="AC49" s="82">
        <v>6.3520000000000003</v>
      </c>
      <c r="AD49" s="83">
        <v>8.9834999999999994</v>
      </c>
      <c r="AE49" s="84">
        <v>14.181100000000001</v>
      </c>
      <c r="AF49" s="84">
        <v>7.5758999999999999</v>
      </c>
      <c r="AG49" s="84">
        <v>11.2928</v>
      </c>
      <c r="AI49" s="84"/>
      <c r="AJ49" s="102"/>
    </row>
    <row r="50" spans="1:36" s="93" customFormat="1">
      <c r="A50" s="76" t="s">
        <v>57</v>
      </c>
      <c r="B50" s="78" t="s">
        <v>34</v>
      </c>
      <c r="C50" s="78" t="s">
        <v>34</v>
      </c>
      <c r="D50" s="78" t="s">
        <v>34</v>
      </c>
      <c r="E50" s="78" t="s">
        <v>34</v>
      </c>
      <c r="F50" s="78" t="s">
        <v>34</v>
      </c>
      <c r="G50" s="78" t="s">
        <v>34</v>
      </c>
      <c r="H50" s="78">
        <v>1.0760000000000001</v>
      </c>
      <c r="I50" s="78">
        <v>1.4434</v>
      </c>
      <c r="J50" s="78">
        <v>1.9617</v>
      </c>
      <c r="K50" s="78">
        <v>2.2614999999999998</v>
      </c>
      <c r="L50" s="78">
        <v>3.1101000000000001</v>
      </c>
      <c r="M50" s="78">
        <v>3.9935</v>
      </c>
      <c r="N50" s="78">
        <v>7.1906000000000008</v>
      </c>
      <c r="O50" s="78">
        <v>7.4143999999999997</v>
      </c>
      <c r="P50" s="78">
        <v>8.2575000000000003</v>
      </c>
      <c r="Q50" s="98">
        <v>8.1865000000000006</v>
      </c>
      <c r="R50" s="98">
        <v>6.2984999999999998</v>
      </c>
      <c r="S50" s="98">
        <v>8.9493999999999989</v>
      </c>
      <c r="T50" s="98">
        <v>1.899</v>
      </c>
      <c r="U50" s="98">
        <v>8.6410999999999998</v>
      </c>
      <c r="V50" s="98">
        <v>3.2399</v>
      </c>
      <c r="W50" s="101">
        <v>5.5291999999999994</v>
      </c>
      <c r="X50" s="102">
        <v>5.6101000000000001</v>
      </c>
      <c r="Y50" s="98">
        <v>16.7517</v>
      </c>
      <c r="Z50" s="98">
        <v>13.134</v>
      </c>
      <c r="AA50" s="98">
        <v>19.6675</v>
      </c>
      <c r="AB50" s="106">
        <v>27.423500000000001</v>
      </c>
      <c r="AC50" s="82">
        <v>22.12425</v>
      </c>
      <c r="AD50" s="83">
        <v>33.04522</v>
      </c>
      <c r="AE50" s="84">
        <v>26.155000000000001</v>
      </c>
      <c r="AF50" s="84">
        <v>21.938700000000001</v>
      </c>
      <c r="AG50" s="84">
        <v>19.781099999999999</v>
      </c>
      <c r="AI50" s="84"/>
      <c r="AJ50" s="102"/>
    </row>
    <row r="51" spans="1:36" s="93" customFormat="1">
      <c r="A51" s="104" t="s">
        <v>58</v>
      </c>
      <c r="B51" s="97" t="s">
        <v>34</v>
      </c>
      <c r="C51" s="97" t="s">
        <v>34</v>
      </c>
      <c r="D51" s="97" t="s">
        <v>34</v>
      </c>
      <c r="E51" s="97" t="s">
        <v>34</v>
      </c>
      <c r="F51" s="97" t="s">
        <v>34</v>
      </c>
      <c r="G51" s="97" t="s">
        <v>34</v>
      </c>
      <c r="H51" s="97">
        <v>30.223700000000001</v>
      </c>
      <c r="I51" s="97">
        <v>9.9905000000000008</v>
      </c>
      <c r="J51" s="97">
        <v>28.244599999999998</v>
      </c>
      <c r="K51" s="97">
        <v>26.949300000000001</v>
      </c>
      <c r="L51" s="97">
        <v>47.747</v>
      </c>
      <c r="M51" s="97">
        <v>46.528199999999998</v>
      </c>
      <c r="N51" s="97">
        <v>50.000999999999998</v>
      </c>
      <c r="O51" s="97">
        <v>32.780999999999999</v>
      </c>
      <c r="P51" s="97">
        <v>29.53745</v>
      </c>
      <c r="Q51" s="110">
        <v>24.542999999999999</v>
      </c>
      <c r="R51" s="110">
        <v>31.673999999999999</v>
      </c>
      <c r="S51" s="108">
        <v>37.9895</v>
      </c>
      <c r="T51" s="108">
        <v>10.662000000000001</v>
      </c>
      <c r="U51" s="108">
        <v>39.72</v>
      </c>
      <c r="V51" s="108">
        <v>19.262900000000002</v>
      </c>
      <c r="W51" s="109">
        <v>19.021099999999997</v>
      </c>
      <c r="X51" s="110">
        <v>26.374099999999999</v>
      </c>
      <c r="Y51" s="108">
        <v>26.029499999999999</v>
      </c>
      <c r="Z51" s="108">
        <v>31.809000000000001</v>
      </c>
      <c r="AA51" s="108">
        <v>26.624980000000001</v>
      </c>
      <c r="AB51" s="107">
        <v>26.317</v>
      </c>
      <c r="AC51" s="86">
        <v>24.677</v>
      </c>
      <c r="AD51" s="87">
        <v>41.395000000000003</v>
      </c>
      <c r="AE51" s="88">
        <v>49.559199999999997</v>
      </c>
      <c r="AF51" s="88">
        <v>28.377600000000001</v>
      </c>
      <c r="AG51" s="88">
        <v>51.624609999999997</v>
      </c>
      <c r="AI51" s="84"/>
      <c r="AJ51" s="102"/>
    </row>
    <row r="52" spans="1:36">
      <c r="B52" s="7"/>
      <c r="C52" s="7"/>
      <c r="D52" s="7"/>
      <c r="E52" s="7"/>
      <c r="F52" s="7"/>
      <c r="G52" s="7"/>
      <c r="H52" s="7"/>
      <c r="I52" s="7"/>
      <c r="J52" s="7"/>
      <c r="K52" s="5"/>
      <c r="L52" s="5"/>
      <c r="M52" s="61"/>
      <c r="N52" s="5"/>
      <c r="O52" s="5"/>
      <c r="P52" s="5"/>
      <c r="Q52" s="5"/>
      <c r="R52" s="8"/>
      <c r="S52" s="8"/>
      <c r="T52" s="8"/>
      <c r="U52" s="8"/>
      <c r="V52" s="5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J52" s="102"/>
    </row>
    <row r="53" spans="1:36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7"/>
      <c r="AE53" s="7"/>
      <c r="AF53" s="7"/>
      <c r="AG53" s="7"/>
    </row>
    <row r="54" spans="1:36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6" spans="1:36" ht="12.75" customHeight="1">
      <c r="A56" s="155" t="s">
        <v>6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</row>
    <row r="57" spans="1:36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4" t="s">
        <v>8</v>
      </c>
    </row>
    <row r="58" spans="1:36" s="91" customFormat="1" ht="11.25" customHeight="1">
      <c r="A58" s="90"/>
      <c r="B58" s="90">
        <v>1990</v>
      </c>
      <c r="C58" s="90">
        <v>1991</v>
      </c>
      <c r="D58" s="90">
        <v>1992</v>
      </c>
      <c r="E58" s="90">
        <v>1993</v>
      </c>
      <c r="F58" s="90">
        <v>1994</v>
      </c>
      <c r="G58" s="90">
        <v>1995</v>
      </c>
      <c r="H58" s="90">
        <v>1996</v>
      </c>
      <c r="I58" s="90">
        <v>1997</v>
      </c>
      <c r="J58" s="90">
        <v>1998</v>
      </c>
      <c r="K58" s="90">
        <v>1999</v>
      </c>
      <c r="L58" s="90">
        <v>2000</v>
      </c>
      <c r="M58" s="90">
        <v>2001</v>
      </c>
      <c r="N58" s="90">
        <v>2002</v>
      </c>
      <c r="O58" s="90">
        <v>2003</v>
      </c>
      <c r="P58" s="90">
        <v>2004</v>
      </c>
      <c r="Q58" s="90">
        <v>2005</v>
      </c>
      <c r="R58" s="90">
        <v>2006</v>
      </c>
      <c r="S58" s="90">
        <v>2007</v>
      </c>
      <c r="T58" s="90">
        <v>2008</v>
      </c>
      <c r="U58" s="90">
        <v>2009</v>
      </c>
      <c r="V58" s="90">
        <v>2010</v>
      </c>
      <c r="W58" s="90">
        <v>2011</v>
      </c>
      <c r="X58" s="90">
        <v>2012</v>
      </c>
      <c r="Y58" s="90">
        <v>2013</v>
      </c>
      <c r="Z58" s="90">
        <v>2014</v>
      </c>
      <c r="AA58" s="90">
        <v>2015</v>
      </c>
      <c r="AB58" s="90">
        <v>2016</v>
      </c>
      <c r="AC58" s="90">
        <v>2017</v>
      </c>
      <c r="AD58" s="90">
        <v>2018</v>
      </c>
      <c r="AE58" s="90">
        <v>2019</v>
      </c>
      <c r="AF58" s="90">
        <v>2020</v>
      </c>
      <c r="AG58" s="90">
        <v>2021</v>
      </c>
    </row>
    <row r="59" spans="1:36" s="93" customFormat="1" ht="22.5" customHeight="1">
      <c r="A59" s="134" t="s">
        <v>85</v>
      </c>
      <c r="B59" s="78">
        <v>0.8</v>
      </c>
      <c r="C59" s="78">
        <v>0.1</v>
      </c>
      <c r="D59" s="78">
        <v>0.2</v>
      </c>
      <c r="E59" s="78">
        <v>0.2</v>
      </c>
      <c r="F59" s="78">
        <v>0.3</v>
      </c>
      <c r="G59" s="78">
        <v>0.3</v>
      </c>
      <c r="H59" s="78">
        <v>0.2</v>
      </c>
      <c r="I59" s="78">
        <v>0.19069999999999998</v>
      </c>
      <c r="J59" s="78">
        <v>0.35930000000000001</v>
      </c>
      <c r="K59" s="78">
        <v>7.9700000000000007E-2</v>
      </c>
      <c r="L59" s="78">
        <v>7.0199999999999999E-2</v>
      </c>
      <c r="M59" s="78">
        <v>2.0966</v>
      </c>
      <c r="N59" s="78">
        <v>2.3139000000000003</v>
      </c>
      <c r="O59" s="78">
        <v>0.48849999999999999</v>
      </c>
      <c r="P59" s="78">
        <v>0.4667</v>
      </c>
      <c r="Q59" s="78">
        <v>0.51</v>
      </c>
      <c r="R59" s="78">
        <v>0.1</v>
      </c>
      <c r="S59" s="78">
        <v>7.0000000000000007E-2</v>
      </c>
      <c r="T59" s="73">
        <v>0.01</v>
      </c>
      <c r="U59" s="73">
        <v>0.1</v>
      </c>
      <c r="V59" s="73">
        <v>0.5</v>
      </c>
      <c r="W59" s="73">
        <v>0.3</v>
      </c>
      <c r="X59" s="73"/>
      <c r="Y59" s="73">
        <v>2</v>
      </c>
      <c r="Z59" s="73">
        <v>5</v>
      </c>
      <c r="AA59" s="73">
        <v>4.0999999999999996</v>
      </c>
      <c r="AB59" s="73">
        <v>4.2</v>
      </c>
      <c r="AC59" s="73">
        <v>8</v>
      </c>
      <c r="AD59" s="73">
        <v>12.4</v>
      </c>
      <c r="AE59" s="73">
        <v>17.5</v>
      </c>
      <c r="AF59" s="73">
        <v>14.6</v>
      </c>
      <c r="AG59" s="73">
        <v>22.5</v>
      </c>
    </row>
    <row r="60" spans="1:36" s="93" customFormat="1">
      <c r="A60" s="93" t="s">
        <v>40</v>
      </c>
      <c r="B60" s="78" t="s">
        <v>34</v>
      </c>
      <c r="C60" s="78" t="s">
        <v>34</v>
      </c>
      <c r="D60" s="78" t="s">
        <v>34</v>
      </c>
      <c r="E60" s="78" t="s">
        <v>34</v>
      </c>
      <c r="F60" s="78" t="s">
        <v>34</v>
      </c>
      <c r="G60" s="78" t="s">
        <v>34</v>
      </c>
      <c r="H60" s="78" t="s">
        <v>34</v>
      </c>
      <c r="I60" s="98" t="s">
        <v>10</v>
      </c>
      <c r="J60" s="98" t="s">
        <v>10</v>
      </c>
      <c r="K60" s="98" t="s">
        <v>10</v>
      </c>
      <c r="L60" s="98" t="s">
        <v>10</v>
      </c>
      <c r="M60" s="78">
        <v>2.9999999999999997E-4</v>
      </c>
      <c r="N60" s="78">
        <v>3.0999999999999999E-3</v>
      </c>
      <c r="O60" s="78">
        <v>5.0000000000000001E-3</v>
      </c>
      <c r="P60" s="78" t="s">
        <v>10</v>
      </c>
      <c r="Q60" s="98" t="s">
        <v>10</v>
      </c>
      <c r="R60" s="99">
        <v>4.0000000000000002E-4</v>
      </c>
      <c r="S60" s="98">
        <v>0</v>
      </c>
      <c r="T60" s="99">
        <v>1.9E-3</v>
      </c>
      <c r="U60" s="98" t="s">
        <v>10</v>
      </c>
      <c r="V60" s="98" t="s">
        <v>10</v>
      </c>
      <c r="W60" s="98" t="s">
        <v>10</v>
      </c>
      <c r="X60" s="98" t="s">
        <v>10</v>
      </c>
      <c r="Y60" s="98" t="s">
        <v>10</v>
      </c>
      <c r="Z60" s="98" t="s">
        <v>10</v>
      </c>
      <c r="AA60" s="98" t="s">
        <v>10</v>
      </c>
      <c r="AB60" s="136" t="s">
        <v>10</v>
      </c>
      <c r="AC60" s="136" t="s">
        <v>10</v>
      </c>
      <c r="AD60" s="136" t="s">
        <v>10</v>
      </c>
      <c r="AE60" s="136" t="s">
        <v>10</v>
      </c>
      <c r="AF60" s="136" t="s">
        <v>10</v>
      </c>
      <c r="AG60" s="136" t="s">
        <v>10</v>
      </c>
      <c r="AI60" s="99"/>
      <c r="AJ60" s="102"/>
    </row>
    <row r="61" spans="1:36" s="93" customFormat="1">
      <c r="A61" s="93" t="s">
        <v>41</v>
      </c>
      <c r="B61" s="78" t="s">
        <v>34</v>
      </c>
      <c r="C61" s="78" t="s">
        <v>34</v>
      </c>
      <c r="D61" s="78" t="s">
        <v>34</v>
      </c>
      <c r="E61" s="78" t="s">
        <v>34</v>
      </c>
      <c r="F61" s="78" t="s">
        <v>34</v>
      </c>
      <c r="G61" s="78" t="s">
        <v>34</v>
      </c>
      <c r="H61" s="78" t="s">
        <v>34</v>
      </c>
      <c r="I61" s="98" t="s">
        <v>10</v>
      </c>
      <c r="J61" s="98" t="s">
        <v>10</v>
      </c>
      <c r="K61" s="98" t="s">
        <v>10</v>
      </c>
      <c r="L61" s="98" t="s">
        <v>10</v>
      </c>
      <c r="M61" s="98" t="s">
        <v>10</v>
      </c>
      <c r="N61" s="98" t="s">
        <v>10</v>
      </c>
      <c r="O61" s="98" t="s">
        <v>10</v>
      </c>
      <c r="P61" s="98" t="s">
        <v>10</v>
      </c>
      <c r="Q61" s="98" t="s">
        <v>10</v>
      </c>
      <c r="R61" s="98">
        <v>2.0000000000000001E-4</v>
      </c>
      <c r="S61" s="99">
        <v>0</v>
      </c>
      <c r="T61" s="98">
        <v>5.0000000000000001E-4</v>
      </c>
      <c r="U61" s="98">
        <v>5.0000000000000001E-4</v>
      </c>
      <c r="V61" s="98" t="s">
        <v>10</v>
      </c>
      <c r="W61" s="98" t="s">
        <v>10</v>
      </c>
      <c r="X61" s="98" t="s">
        <v>10</v>
      </c>
      <c r="Y61" s="98" t="s">
        <v>10</v>
      </c>
      <c r="Z61" s="102">
        <v>1.492</v>
      </c>
      <c r="AA61" s="102">
        <v>0.8</v>
      </c>
      <c r="AB61" s="136" t="s">
        <v>10</v>
      </c>
      <c r="AC61" s="136" t="s">
        <v>10</v>
      </c>
      <c r="AD61" s="99" t="s">
        <v>10</v>
      </c>
      <c r="AE61" s="136" t="s">
        <v>10</v>
      </c>
      <c r="AF61" s="96">
        <v>0.56220000000000003</v>
      </c>
      <c r="AG61" s="96">
        <v>1.242</v>
      </c>
      <c r="AI61" s="96"/>
      <c r="AJ61" s="102"/>
    </row>
    <row r="62" spans="1:36" s="93" customFormat="1">
      <c r="A62" s="93" t="s">
        <v>42</v>
      </c>
      <c r="B62" s="78" t="s">
        <v>34</v>
      </c>
      <c r="C62" s="78" t="s">
        <v>34</v>
      </c>
      <c r="D62" s="78" t="s">
        <v>34</v>
      </c>
      <c r="E62" s="78" t="s">
        <v>34</v>
      </c>
      <c r="F62" s="78" t="s">
        <v>34</v>
      </c>
      <c r="G62" s="78" t="s">
        <v>34</v>
      </c>
      <c r="H62" s="78" t="s">
        <v>34</v>
      </c>
      <c r="I62" s="98" t="s">
        <v>10</v>
      </c>
      <c r="J62" s="98" t="s">
        <v>10</v>
      </c>
      <c r="K62" s="98" t="s">
        <v>10</v>
      </c>
      <c r="L62" s="98" t="s">
        <v>10</v>
      </c>
      <c r="M62" s="98" t="s">
        <v>10</v>
      </c>
      <c r="N62" s="98" t="s">
        <v>10</v>
      </c>
      <c r="O62" s="98" t="s">
        <v>10</v>
      </c>
      <c r="P62" s="98" t="s">
        <v>10</v>
      </c>
      <c r="Q62" s="98" t="s">
        <v>10</v>
      </c>
      <c r="R62" s="98" t="s">
        <v>10</v>
      </c>
      <c r="S62" s="98" t="s">
        <v>10</v>
      </c>
      <c r="T62" s="98" t="s">
        <v>10</v>
      </c>
      <c r="U62" s="98" t="s">
        <v>10</v>
      </c>
      <c r="V62" s="98" t="s">
        <v>10</v>
      </c>
      <c r="W62" s="98" t="s">
        <v>10</v>
      </c>
      <c r="X62" s="98" t="s">
        <v>10</v>
      </c>
      <c r="Y62" s="98" t="s">
        <v>10</v>
      </c>
      <c r="Z62" s="98" t="s">
        <v>10</v>
      </c>
      <c r="AA62" s="98" t="s">
        <v>10</v>
      </c>
      <c r="AB62" s="136" t="s">
        <v>10</v>
      </c>
      <c r="AC62" s="136" t="s">
        <v>10</v>
      </c>
      <c r="AD62" s="99" t="s">
        <v>10</v>
      </c>
      <c r="AE62" s="136" t="s">
        <v>10</v>
      </c>
      <c r="AF62" s="99" t="s">
        <v>10</v>
      </c>
      <c r="AG62" s="99" t="s">
        <v>10</v>
      </c>
      <c r="AI62" s="99"/>
      <c r="AJ62" s="102"/>
    </row>
    <row r="63" spans="1:36" s="93" customFormat="1">
      <c r="A63" s="93" t="s">
        <v>43</v>
      </c>
      <c r="B63" s="78" t="s">
        <v>34</v>
      </c>
      <c r="C63" s="78" t="s">
        <v>34</v>
      </c>
      <c r="D63" s="78" t="s">
        <v>34</v>
      </c>
      <c r="E63" s="78" t="s">
        <v>34</v>
      </c>
      <c r="F63" s="78" t="s">
        <v>34</v>
      </c>
      <c r="G63" s="78" t="s">
        <v>34</v>
      </c>
      <c r="H63" s="78" t="s">
        <v>34</v>
      </c>
      <c r="I63" s="98" t="s">
        <v>10</v>
      </c>
      <c r="J63" s="98" t="s">
        <v>10</v>
      </c>
      <c r="K63" s="98" t="s">
        <v>10</v>
      </c>
      <c r="L63" s="98" t="s">
        <v>10</v>
      </c>
      <c r="M63" s="98" t="s">
        <v>10</v>
      </c>
      <c r="N63" s="98" t="s">
        <v>10</v>
      </c>
      <c r="O63" s="98" t="s">
        <v>10</v>
      </c>
      <c r="P63" s="98" t="s">
        <v>10</v>
      </c>
      <c r="Q63" s="98" t="s">
        <v>10</v>
      </c>
      <c r="R63" s="98" t="s">
        <v>10</v>
      </c>
      <c r="S63" s="98" t="s">
        <v>10</v>
      </c>
      <c r="T63" s="98" t="s">
        <v>10</v>
      </c>
      <c r="U63" s="98" t="s">
        <v>10</v>
      </c>
      <c r="V63" s="98" t="s">
        <v>10</v>
      </c>
      <c r="W63" s="98" t="s">
        <v>10</v>
      </c>
      <c r="X63" s="98" t="s">
        <v>10</v>
      </c>
      <c r="Y63" s="98" t="s">
        <v>10</v>
      </c>
      <c r="Z63" s="98" t="s">
        <v>10</v>
      </c>
      <c r="AA63" s="98" t="s">
        <v>10</v>
      </c>
      <c r="AB63" s="136" t="s">
        <v>10</v>
      </c>
      <c r="AC63" s="136" t="s">
        <v>10</v>
      </c>
      <c r="AD63" s="99" t="s">
        <v>10</v>
      </c>
      <c r="AE63" s="136" t="s">
        <v>10</v>
      </c>
      <c r="AF63" s="99" t="s">
        <v>10</v>
      </c>
      <c r="AG63" s="99" t="s">
        <v>10</v>
      </c>
      <c r="AI63" s="99"/>
      <c r="AJ63" s="102"/>
    </row>
    <row r="64" spans="1:36" s="93" customFormat="1">
      <c r="A64" s="93" t="s">
        <v>44</v>
      </c>
      <c r="B64" s="78" t="s">
        <v>34</v>
      </c>
      <c r="C64" s="78" t="s">
        <v>34</v>
      </c>
      <c r="D64" s="78" t="s">
        <v>34</v>
      </c>
      <c r="E64" s="78" t="s">
        <v>34</v>
      </c>
      <c r="F64" s="78" t="s">
        <v>34</v>
      </c>
      <c r="G64" s="78" t="s">
        <v>34</v>
      </c>
      <c r="H64" s="78" t="s">
        <v>34</v>
      </c>
      <c r="I64" s="98" t="s">
        <v>10</v>
      </c>
      <c r="J64" s="98" t="s">
        <v>10</v>
      </c>
      <c r="K64" s="98" t="s">
        <v>10</v>
      </c>
      <c r="L64" s="98" t="s">
        <v>10</v>
      </c>
      <c r="M64" s="98" t="s">
        <v>10</v>
      </c>
      <c r="N64" s="98" t="s">
        <v>10</v>
      </c>
      <c r="O64" s="98" t="s">
        <v>10</v>
      </c>
      <c r="P64" s="98" t="s">
        <v>10</v>
      </c>
      <c r="Q64" s="98" t="s">
        <v>10</v>
      </c>
      <c r="R64" s="98" t="s">
        <v>10</v>
      </c>
      <c r="S64" s="98" t="s">
        <v>10</v>
      </c>
      <c r="T64" s="98" t="s">
        <v>10</v>
      </c>
      <c r="U64" s="98" t="s">
        <v>10</v>
      </c>
      <c r="V64" s="98" t="s">
        <v>10</v>
      </c>
      <c r="W64" s="98" t="s">
        <v>10</v>
      </c>
      <c r="X64" s="98" t="s">
        <v>10</v>
      </c>
      <c r="Y64" s="98" t="s">
        <v>10</v>
      </c>
      <c r="Z64" s="98" t="s">
        <v>10</v>
      </c>
      <c r="AA64" s="98" t="s">
        <v>10</v>
      </c>
      <c r="AB64" s="136" t="s">
        <v>10</v>
      </c>
      <c r="AC64" s="136" t="s">
        <v>10</v>
      </c>
      <c r="AD64" s="98" t="s">
        <v>10</v>
      </c>
      <c r="AE64" s="136" t="s">
        <v>10</v>
      </c>
      <c r="AF64" s="98" t="s">
        <v>10</v>
      </c>
      <c r="AG64" s="98" t="s">
        <v>10</v>
      </c>
      <c r="AI64" s="98"/>
      <c r="AJ64" s="102"/>
    </row>
    <row r="65" spans="1:36" s="93" customFormat="1">
      <c r="A65" s="93" t="s">
        <v>45</v>
      </c>
      <c r="B65" s="78" t="s">
        <v>34</v>
      </c>
      <c r="C65" s="78" t="s">
        <v>34</v>
      </c>
      <c r="D65" s="78" t="s">
        <v>34</v>
      </c>
      <c r="E65" s="78" t="s">
        <v>34</v>
      </c>
      <c r="F65" s="78" t="s">
        <v>34</v>
      </c>
      <c r="G65" s="78" t="s">
        <v>34</v>
      </c>
      <c r="H65" s="78" t="s">
        <v>34</v>
      </c>
      <c r="I65" s="98" t="s">
        <v>10</v>
      </c>
      <c r="J65" s="98" t="s">
        <v>10</v>
      </c>
      <c r="K65" s="98" t="s">
        <v>10</v>
      </c>
      <c r="L65" s="98" t="s">
        <v>10</v>
      </c>
      <c r="M65" s="98" t="s">
        <v>10</v>
      </c>
      <c r="N65" s="98" t="s">
        <v>10</v>
      </c>
      <c r="O65" s="98" t="s">
        <v>10</v>
      </c>
      <c r="P65" s="98" t="s">
        <v>10</v>
      </c>
      <c r="Q65" s="98" t="s">
        <v>10</v>
      </c>
      <c r="R65" s="98" t="s">
        <v>10</v>
      </c>
      <c r="S65" s="98" t="s">
        <v>10</v>
      </c>
      <c r="T65" s="98" t="s">
        <v>10</v>
      </c>
      <c r="U65" s="98" t="s">
        <v>10</v>
      </c>
      <c r="V65" s="98" t="s">
        <v>10</v>
      </c>
      <c r="W65" s="98" t="s">
        <v>10</v>
      </c>
      <c r="X65" s="98" t="s">
        <v>10</v>
      </c>
      <c r="Y65" s="98" t="s">
        <v>10</v>
      </c>
      <c r="Z65" s="98" t="s">
        <v>10</v>
      </c>
      <c r="AA65" s="98" t="s">
        <v>10</v>
      </c>
      <c r="AB65" s="136" t="s">
        <v>10</v>
      </c>
      <c r="AC65" s="136" t="s">
        <v>10</v>
      </c>
      <c r="AD65" s="99" t="s">
        <v>10</v>
      </c>
      <c r="AE65" s="136" t="s">
        <v>10</v>
      </c>
      <c r="AF65" s="99" t="s">
        <v>10</v>
      </c>
      <c r="AG65" s="99" t="s">
        <v>10</v>
      </c>
      <c r="AI65" s="99"/>
      <c r="AJ65" s="102"/>
    </row>
    <row r="66" spans="1:36" s="93" customFormat="1">
      <c r="A66" s="93" t="s">
        <v>46</v>
      </c>
      <c r="B66" s="78" t="s">
        <v>34</v>
      </c>
      <c r="C66" s="78" t="s">
        <v>34</v>
      </c>
      <c r="D66" s="78" t="s">
        <v>34</v>
      </c>
      <c r="E66" s="78" t="s">
        <v>34</v>
      </c>
      <c r="F66" s="78" t="s">
        <v>34</v>
      </c>
      <c r="G66" s="78" t="s">
        <v>34</v>
      </c>
      <c r="H66" s="78" t="s">
        <v>34</v>
      </c>
      <c r="I66" s="98" t="s">
        <v>10</v>
      </c>
      <c r="J66" s="98" t="s">
        <v>10</v>
      </c>
      <c r="K66" s="98" t="s">
        <v>10</v>
      </c>
      <c r="L66" s="98" t="s">
        <v>10</v>
      </c>
      <c r="M66" s="98" t="s">
        <v>10</v>
      </c>
      <c r="N66" s="98" t="s">
        <v>10</v>
      </c>
      <c r="O66" s="98" t="s">
        <v>10</v>
      </c>
      <c r="P66" s="98" t="s">
        <v>10</v>
      </c>
      <c r="Q66" s="98" t="s">
        <v>10</v>
      </c>
      <c r="R66" s="98" t="s">
        <v>10</v>
      </c>
      <c r="S66" s="98" t="s">
        <v>10</v>
      </c>
      <c r="T66" s="98" t="s">
        <v>10</v>
      </c>
      <c r="U66" s="98">
        <v>2.3999999999999998E-3</v>
      </c>
      <c r="V66" s="98">
        <v>0.12540000000000001</v>
      </c>
      <c r="W66" s="102">
        <v>0.19400000000000001</v>
      </c>
      <c r="X66" s="98" t="s">
        <v>10</v>
      </c>
      <c r="Y66" s="98" t="s">
        <v>10</v>
      </c>
      <c r="Z66" s="98">
        <v>1.55E-2</v>
      </c>
      <c r="AA66" s="98" t="s">
        <v>10</v>
      </c>
      <c r="AB66" s="136" t="s">
        <v>10</v>
      </c>
      <c r="AC66" s="96">
        <v>3.5000000000000003E-2</v>
      </c>
      <c r="AD66" s="95">
        <v>2.7699999999999999E-2</v>
      </c>
      <c r="AE66" s="136" t="s">
        <v>10</v>
      </c>
      <c r="AF66" s="99" t="s">
        <v>10</v>
      </c>
      <c r="AG66" s="99" t="s">
        <v>10</v>
      </c>
      <c r="AI66" s="99"/>
      <c r="AJ66" s="102"/>
    </row>
    <row r="67" spans="1:36" s="93" customFormat="1">
      <c r="A67" s="93" t="s">
        <v>47</v>
      </c>
      <c r="B67" s="78" t="s">
        <v>34</v>
      </c>
      <c r="C67" s="78" t="s">
        <v>34</v>
      </c>
      <c r="D67" s="78" t="s">
        <v>34</v>
      </c>
      <c r="E67" s="78" t="s">
        <v>34</v>
      </c>
      <c r="F67" s="78" t="s">
        <v>34</v>
      </c>
      <c r="G67" s="78" t="s">
        <v>34</v>
      </c>
      <c r="H67" s="78" t="s">
        <v>34</v>
      </c>
      <c r="I67" s="98" t="s">
        <v>10</v>
      </c>
      <c r="J67" s="98" t="s">
        <v>10</v>
      </c>
      <c r="K67" s="98" t="s">
        <v>10</v>
      </c>
      <c r="L67" s="98" t="s">
        <v>10</v>
      </c>
      <c r="M67" s="98" t="s">
        <v>10</v>
      </c>
      <c r="N67" s="98" t="s">
        <v>10</v>
      </c>
      <c r="O67" s="98" t="s">
        <v>10</v>
      </c>
      <c r="P67" s="98" t="s">
        <v>10</v>
      </c>
      <c r="Q67" s="98" t="s">
        <v>10</v>
      </c>
      <c r="R67" s="98" t="s">
        <v>10</v>
      </c>
      <c r="S67" s="98" t="s">
        <v>10</v>
      </c>
      <c r="T67" s="98" t="s">
        <v>10</v>
      </c>
      <c r="U67" s="98" t="s">
        <v>10</v>
      </c>
      <c r="V67" s="98" t="s">
        <v>10</v>
      </c>
      <c r="W67" s="98" t="s">
        <v>10</v>
      </c>
      <c r="X67" s="98" t="s">
        <v>10</v>
      </c>
      <c r="Y67" s="98" t="s">
        <v>10</v>
      </c>
      <c r="Z67" s="98" t="s">
        <v>10</v>
      </c>
      <c r="AA67" s="102">
        <v>6.9000000000000006E-2</v>
      </c>
      <c r="AB67" s="114">
        <v>0.14000000000000001</v>
      </c>
      <c r="AC67" s="114" t="s">
        <v>10</v>
      </c>
      <c r="AD67" s="95">
        <v>0.98270000000000002</v>
      </c>
      <c r="AE67" s="96">
        <v>1.7043999999999999</v>
      </c>
      <c r="AF67" s="96">
        <v>1.0316000000000001</v>
      </c>
      <c r="AG67" s="96">
        <v>1.7152000000000001</v>
      </c>
      <c r="AI67" s="96"/>
      <c r="AJ67" s="102"/>
    </row>
    <row r="68" spans="1:36" s="93" customFormat="1">
      <c r="A68" s="93" t="s">
        <v>48</v>
      </c>
      <c r="B68" s="78" t="s">
        <v>34</v>
      </c>
      <c r="C68" s="78" t="s">
        <v>34</v>
      </c>
      <c r="D68" s="78" t="s">
        <v>34</v>
      </c>
      <c r="E68" s="78" t="s">
        <v>34</v>
      </c>
      <c r="F68" s="78" t="s">
        <v>34</v>
      </c>
      <c r="G68" s="78" t="s">
        <v>34</v>
      </c>
      <c r="H68" s="78" t="s">
        <v>34</v>
      </c>
      <c r="I68" s="98">
        <v>0.1686</v>
      </c>
      <c r="J68" s="78">
        <v>7.4299999999999991E-2</v>
      </c>
      <c r="K68" s="78">
        <v>4.3499999999999997E-2</v>
      </c>
      <c r="L68" s="98" t="s">
        <v>10</v>
      </c>
      <c r="M68" s="78">
        <v>3.0000000000000001E-3</v>
      </c>
      <c r="N68" s="98" t="s">
        <v>10</v>
      </c>
      <c r="O68" s="98" t="s">
        <v>10</v>
      </c>
      <c r="P68" s="98" t="s">
        <v>10</v>
      </c>
      <c r="Q68" s="98" t="s">
        <v>10</v>
      </c>
      <c r="R68" s="98">
        <v>1.1999999999999999E-3</v>
      </c>
      <c r="S68" s="98" t="s">
        <v>10</v>
      </c>
      <c r="T68" s="98" t="s">
        <v>10</v>
      </c>
      <c r="U68" s="98" t="s">
        <v>10</v>
      </c>
      <c r="V68" s="98" t="s">
        <v>10</v>
      </c>
      <c r="W68" s="98" t="s">
        <v>10</v>
      </c>
      <c r="X68" s="98" t="s">
        <v>10</v>
      </c>
      <c r="Y68" s="98" t="s">
        <v>10</v>
      </c>
      <c r="Z68" s="102">
        <v>1.6509</v>
      </c>
      <c r="AA68" s="102">
        <v>1.4863</v>
      </c>
      <c r="AB68" s="114">
        <v>1.9433599999999998</v>
      </c>
      <c r="AC68" s="78">
        <v>3.1461999999999999</v>
      </c>
      <c r="AD68" s="95">
        <v>4.8167200000000001</v>
      </c>
      <c r="AE68" s="96">
        <v>3.5114000000000001</v>
      </c>
      <c r="AF68" s="96">
        <v>1.3343</v>
      </c>
      <c r="AG68" s="96">
        <v>3.9390999999999998</v>
      </c>
      <c r="AI68" s="96"/>
      <c r="AJ68" s="102"/>
    </row>
    <row r="69" spans="1:36" s="93" customFormat="1">
      <c r="A69" s="93" t="s">
        <v>49</v>
      </c>
      <c r="B69" s="78" t="s">
        <v>34</v>
      </c>
      <c r="C69" s="78" t="s">
        <v>34</v>
      </c>
      <c r="D69" s="78" t="s">
        <v>34</v>
      </c>
      <c r="E69" s="78" t="s">
        <v>34</v>
      </c>
      <c r="F69" s="78" t="s">
        <v>34</v>
      </c>
      <c r="G69" s="78" t="s">
        <v>34</v>
      </c>
      <c r="H69" s="78" t="s">
        <v>34</v>
      </c>
      <c r="I69" s="98" t="s">
        <v>10</v>
      </c>
      <c r="J69" s="98" t="s">
        <v>10</v>
      </c>
      <c r="K69" s="98" t="s">
        <v>10</v>
      </c>
      <c r="L69" s="98" t="s">
        <v>10</v>
      </c>
      <c r="M69" s="98" t="s">
        <v>10</v>
      </c>
      <c r="N69" s="98" t="s">
        <v>10</v>
      </c>
      <c r="O69" s="98" t="s">
        <v>10</v>
      </c>
      <c r="P69" s="98" t="s">
        <v>10</v>
      </c>
      <c r="Q69" s="98" t="s">
        <v>10</v>
      </c>
      <c r="R69" s="98" t="s">
        <v>10</v>
      </c>
      <c r="S69" s="98" t="s">
        <v>10</v>
      </c>
      <c r="T69" s="98" t="s">
        <v>10</v>
      </c>
      <c r="U69" s="98" t="s">
        <v>10</v>
      </c>
      <c r="V69" s="98" t="s">
        <v>10</v>
      </c>
      <c r="W69" s="98" t="s">
        <v>10</v>
      </c>
      <c r="X69" s="98" t="s">
        <v>10</v>
      </c>
      <c r="Y69" s="98" t="s">
        <v>10</v>
      </c>
      <c r="Z69" s="98" t="s">
        <v>10</v>
      </c>
      <c r="AA69" s="102">
        <v>1.4079999999999999</v>
      </c>
      <c r="AB69" s="114" t="s">
        <v>10</v>
      </c>
      <c r="AC69" s="114" t="s">
        <v>10</v>
      </c>
      <c r="AD69" s="94" t="s">
        <v>10</v>
      </c>
      <c r="AE69" s="78" t="s">
        <v>10</v>
      </c>
      <c r="AF69" s="78" t="s">
        <v>10</v>
      </c>
      <c r="AG69" s="78" t="s">
        <v>10</v>
      </c>
      <c r="AI69" s="78"/>
      <c r="AJ69" s="102"/>
    </row>
    <row r="70" spans="1:36" s="93" customFormat="1">
      <c r="A70" s="93" t="s">
        <v>50</v>
      </c>
      <c r="B70" s="78" t="s">
        <v>34</v>
      </c>
      <c r="C70" s="78" t="s">
        <v>34</v>
      </c>
      <c r="D70" s="78" t="s">
        <v>34</v>
      </c>
      <c r="E70" s="78" t="s">
        <v>34</v>
      </c>
      <c r="F70" s="78" t="s">
        <v>34</v>
      </c>
      <c r="G70" s="78" t="s">
        <v>34</v>
      </c>
      <c r="H70" s="78" t="s">
        <v>34</v>
      </c>
      <c r="I70" s="98" t="s">
        <v>10</v>
      </c>
      <c r="J70" s="98" t="s">
        <v>10</v>
      </c>
      <c r="K70" s="98" t="s">
        <v>10</v>
      </c>
      <c r="L70" s="98" t="s">
        <v>10</v>
      </c>
      <c r="M70" s="98" t="s">
        <v>10</v>
      </c>
      <c r="N70" s="98" t="s">
        <v>10</v>
      </c>
      <c r="O70" s="98" t="s">
        <v>10</v>
      </c>
      <c r="P70" s="98" t="s">
        <v>10</v>
      </c>
      <c r="Q70" s="98" t="s">
        <v>10</v>
      </c>
      <c r="R70" s="98" t="s">
        <v>10</v>
      </c>
      <c r="S70" s="98" t="s">
        <v>10</v>
      </c>
      <c r="T70" s="98" t="s">
        <v>10</v>
      </c>
      <c r="U70" s="98" t="s">
        <v>10</v>
      </c>
      <c r="V70" s="98" t="s">
        <v>10</v>
      </c>
      <c r="W70" s="98" t="s">
        <v>10</v>
      </c>
      <c r="X70" s="98" t="s">
        <v>10</v>
      </c>
      <c r="Y70" s="98">
        <v>1.829</v>
      </c>
      <c r="Z70" s="102">
        <v>1.4810000000000001</v>
      </c>
      <c r="AA70" s="98" t="s">
        <v>10</v>
      </c>
      <c r="AB70" s="114">
        <v>0.94750000000000001</v>
      </c>
      <c r="AC70" s="96">
        <v>0.78400000000000003</v>
      </c>
      <c r="AD70" s="95">
        <v>0.92100000000000004</v>
      </c>
      <c r="AE70" s="96">
        <v>9.6100000000000005E-2</v>
      </c>
      <c r="AF70" s="96">
        <v>0.3211</v>
      </c>
      <c r="AG70" s="96">
        <v>0.3211</v>
      </c>
      <c r="AI70" s="96"/>
      <c r="AJ70" s="102"/>
    </row>
    <row r="71" spans="1:36" s="93" customFormat="1">
      <c r="A71" s="93" t="s">
        <v>51</v>
      </c>
      <c r="B71" s="78" t="s">
        <v>34</v>
      </c>
      <c r="C71" s="78" t="s">
        <v>34</v>
      </c>
      <c r="D71" s="78" t="s">
        <v>34</v>
      </c>
      <c r="E71" s="78" t="s">
        <v>34</v>
      </c>
      <c r="F71" s="78" t="s">
        <v>34</v>
      </c>
      <c r="G71" s="78" t="s">
        <v>34</v>
      </c>
      <c r="H71" s="78" t="s">
        <v>34</v>
      </c>
      <c r="I71" s="98" t="s">
        <v>10</v>
      </c>
      <c r="J71" s="98" t="s">
        <v>10</v>
      </c>
      <c r="K71" s="98" t="s">
        <v>10</v>
      </c>
      <c r="L71" s="98" t="s">
        <v>10</v>
      </c>
      <c r="M71" s="98" t="s">
        <v>10</v>
      </c>
      <c r="N71" s="98" t="s">
        <v>10</v>
      </c>
      <c r="O71" s="98" t="s">
        <v>10</v>
      </c>
      <c r="P71" s="98" t="s">
        <v>10</v>
      </c>
      <c r="Q71" s="98" t="s">
        <v>10</v>
      </c>
      <c r="R71" s="98" t="s">
        <v>10</v>
      </c>
      <c r="S71" s="98" t="s">
        <v>10</v>
      </c>
      <c r="T71" s="98" t="s">
        <v>10</v>
      </c>
      <c r="U71" s="98" t="s">
        <v>10</v>
      </c>
      <c r="V71" s="98" t="s">
        <v>10</v>
      </c>
      <c r="W71" s="98" t="s">
        <v>10</v>
      </c>
      <c r="X71" s="98" t="s">
        <v>10</v>
      </c>
      <c r="Y71" s="98" t="s">
        <v>10</v>
      </c>
      <c r="Z71" s="98" t="s">
        <v>10</v>
      </c>
      <c r="AA71" s="98" t="s">
        <v>10</v>
      </c>
      <c r="AB71" s="114" t="s">
        <v>10</v>
      </c>
      <c r="AC71" s="96">
        <v>1.0784100000000001</v>
      </c>
      <c r="AD71" s="95">
        <v>0.28000000000000003</v>
      </c>
      <c r="AE71" s="78" t="s">
        <v>10</v>
      </c>
      <c r="AF71" s="78" t="s">
        <v>10</v>
      </c>
      <c r="AG71" s="96">
        <v>0.41299999999999998</v>
      </c>
      <c r="AI71" s="96"/>
      <c r="AJ71" s="102"/>
    </row>
    <row r="72" spans="1:36" s="93" customFormat="1">
      <c r="A72" s="93" t="s">
        <v>52</v>
      </c>
      <c r="B72" s="78" t="s">
        <v>34</v>
      </c>
      <c r="C72" s="78" t="s">
        <v>34</v>
      </c>
      <c r="D72" s="78" t="s">
        <v>34</v>
      </c>
      <c r="E72" s="78" t="s">
        <v>34</v>
      </c>
      <c r="F72" s="78" t="s">
        <v>34</v>
      </c>
      <c r="G72" s="78" t="s">
        <v>34</v>
      </c>
      <c r="H72" s="78" t="s">
        <v>34</v>
      </c>
      <c r="I72" s="98" t="s">
        <v>10</v>
      </c>
      <c r="J72" s="98" t="s">
        <v>10</v>
      </c>
      <c r="K72" s="98" t="s">
        <v>10</v>
      </c>
      <c r="L72" s="98" t="s">
        <v>10</v>
      </c>
      <c r="M72" s="98" t="s">
        <v>10</v>
      </c>
      <c r="N72" s="98" t="s">
        <v>10</v>
      </c>
      <c r="O72" s="98" t="s">
        <v>10</v>
      </c>
      <c r="P72" s="98" t="s">
        <v>10</v>
      </c>
      <c r="Q72" s="98" t="s">
        <v>10</v>
      </c>
      <c r="R72" s="98" t="s">
        <v>10</v>
      </c>
      <c r="S72" s="98" t="s">
        <v>10</v>
      </c>
      <c r="T72" s="98" t="s">
        <v>10</v>
      </c>
      <c r="U72" s="98" t="s">
        <v>10</v>
      </c>
      <c r="V72" s="98" t="s">
        <v>10</v>
      </c>
      <c r="W72" s="98" t="s">
        <v>10</v>
      </c>
      <c r="X72" s="98" t="s">
        <v>10</v>
      </c>
      <c r="Y72" s="98" t="s">
        <v>10</v>
      </c>
      <c r="Z72" s="98" t="s">
        <v>10</v>
      </c>
      <c r="AA72" s="98" t="s">
        <v>10</v>
      </c>
      <c r="AB72" s="114" t="s">
        <v>10</v>
      </c>
      <c r="AC72" s="98" t="s">
        <v>10</v>
      </c>
      <c r="AD72" s="98" t="s">
        <v>10</v>
      </c>
      <c r="AE72" s="98" t="s">
        <v>10</v>
      </c>
      <c r="AF72" s="98" t="s">
        <v>10</v>
      </c>
      <c r="AG72" s="98" t="s">
        <v>10</v>
      </c>
      <c r="AI72" s="98"/>
      <c r="AJ72" s="102"/>
    </row>
    <row r="73" spans="1:36" s="93" customFormat="1">
      <c r="A73" s="93" t="s">
        <v>53</v>
      </c>
      <c r="B73" s="78" t="s">
        <v>34</v>
      </c>
      <c r="C73" s="78" t="s">
        <v>34</v>
      </c>
      <c r="D73" s="78" t="s">
        <v>34</v>
      </c>
      <c r="E73" s="78" t="s">
        <v>34</v>
      </c>
      <c r="F73" s="78" t="s">
        <v>34</v>
      </c>
      <c r="G73" s="78" t="s">
        <v>34</v>
      </c>
      <c r="H73" s="78" t="s">
        <v>34</v>
      </c>
      <c r="I73" s="98" t="s">
        <v>10</v>
      </c>
      <c r="J73" s="98" t="s">
        <v>10</v>
      </c>
      <c r="K73" s="98" t="s">
        <v>10</v>
      </c>
      <c r="L73" s="98" t="s">
        <v>10</v>
      </c>
      <c r="M73" s="78">
        <v>0.33250000000000002</v>
      </c>
      <c r="N73" s="98" t="s">
        <v>10</v>
      </c>
      <c r="O73" s="98" t="s">
        <v>10</v>
      </c>
      <c r="P73" s="98" t="s">
        <v>10</v>
      </c>
      <c r="Q73" s="98" t="s">
        <v>10</v>
      </c>
      <c r="R73" s="98" t="s">
        <v>10</v>
      </c>
      <c r="S73" s="98" t="s">
        <v>10</v>
      </c>
      <c r="T73" s="98" t="s">
        <v>10</v>
      </c>
      <c r="U73" s="98" t="s">
        <v>10</v>
      </c>
      <c r="V73" s="98" t="s">
        <v>10</v>
      </c>
      <c r="W73" s="98" t="s">
        <v>10</v>
      </c>
      <c r="X73" s="98" t="s">
        <v>10</v>
      </c>
      <c r="Y73" s="98" t="s">
        <v>10</v>
      </c>
      <c r="Z73" s="98" t="s">
        <v>10</v>
      </c>
      <c r="AA73" s="98" t="s">
        <v>10</v>
      </c>
      <c r="AB73" s="114" t="s">
        <v>10</v>
      </c>
      <c r="AC73" s="98" t="s">
        <v>10</v>
      </c>
      <c r="AD73" s="95">
        <v>3.9E-2</v>
      </c>
      <c r="AE73" s="136" t="s">
        <v>10</v>
      </c>
      <c r="AF73" s="136" t="s">
        <v>10</v>
      </c>
      <c r="AG73" s="136" t="s">
        <v>10</v>
      </c>
      <c r="AI73" s="136"/>
      <c r="AJ73" s="102"/>
    </row>
    <row r="74" spans="1:36" s="93" customFormat="1">
      <c r="A74" s="93" t="s">
        <v>54</v>
      </c>
      <c r="B74" s="78" t="s">
        <v>34</v>
      </c>
      <c r="C74" s="78" t="s">
        <v>34</v>
      </c>
      <c r="D74" s="78" t="s">
        <v>34</v>
      </c>
      <c r="E74" s="78" t="s">
        <v>34</v>
      </c>
      <c r="F74" s="78" t="s">
        <v>34</v>
      </c>
      <c r="G74" s="78" t="s">
        <v>34</v>
      </c>
      <c r="H74" s="78" t="s">
        <v>34</v>
      </c>
      <c r="I74" s="98" t="s">
        <v>10</v>
      </c>
      <c r="J74" s="98" t="s">
        <v>10</v>
      </c>
      <c r="K74" s="98" t="s">
        <v>10</v>
      </c>
      <c r="L74" s="98" t="s">
        <v>10</v>
      </c>
      <c r="M74" s="98" t="s">
        <v>10</v>
      </c>
      <c r="N74" s="78">
        <v>1.5E-3</v>
      </c>
      <c r="O74" s="98" t="s">
        <v>10</v>
      </c>
      <c r="P74" s="98" t="s">
        <v>10</v>
      </c>
      <c r="Q74" s="98" t="s">
        <v>10</v>
      </c>
      <c r="R74" s="98" t="s">
        <v>10</v>
      </c>
      <c r="S74" s="98" t="s">
        <v>10</v>
      </c>
      <c r="T74" s="98" t="s">
        <v>10</v>
      </c>
      <c r="U74" s="98" t="s">
        <v>10</v>
      </c>
      <c r="V74" s="98">
        <v>0.153</v>
      </c>
      <c r="W74" s="102">
        <v>4.1000000000000002E-2</v>
      </c>
      <c r="X74" s="98" t="s">
        <v>10</v>
      </c>
      <c r="Y74" s="98" t="s">
        <v>10</v>
      </c>
      <c r="Z74" s="98" t="s">
        <v>10</v>
      </c>
      <c r="AA74" s="98" t="s">
        <v>10</v>
      </c>
      <c r="AB74" s="114" t="s">
        <v>10</v>
      </c>
      <c r="AC74" s="136" t="s">
        <v>10</v>
      </c>
      <c r="AD74" s="98" t="s">
        <v>10</v>
      </c>
      <c r="AE74" s="98" t="s">
        <v>10</v>
      </c>
      <c r="AF74" s="98" t="s">
        <v>10</v>
      </c>
      <c r="AG74" s="96">
        <v>2.9899999999999999E-2</v>
      </c>
      <c r="AI74" s="96"/>
      <c r="AJ74" s="102"/>
    </row>
    <row r="75" spans="1:36" s="93" customFormat="1">
      <c r="A75" s="93" t="s">
        <v>55</v>
      </c>
      <c r="B75" s="78" t="s">
        <v>34</v>
      </c>
      <c r="C75" s="78" t="s">
        <v>34</v>
      </c>
      <c r="D75" s="78" t="s">
        <v>34</v>
      </c>
      <c r="E75" s="78" t="s">
        <v>34</v>
      </c>
      <c r="F75" s="78" t="s">
        <v>34</v>
      </c>
      <c r="G75" s="78" t="s">
        <v>34</v>
      </c>
      <c r="H75" s="78" t="s">
        <v>34</v>
      </c>
      <c r="I75" s="98" t="s">
        <v>10</v>
      </c>
      <c r="J75" s="98" t="s">
        <v>10</v>
      </c>
      <c r="K75" s="98" t="s">
        <v>10</v>
      </c>
      <c r="L75" s="98" t="s">
        <v>10</v>
      </c>
      <c r="M75" s="98" t="s">
        <v>10</v>
      </c>
      <c r="N75" s="98" t="s">
        <v>10</v>
      </c>
      <c r="O75" s="98" t="s">
        <v>10</v>
      </c>
      <c r="P75" s="98" t="s">
        <v>10</v>
      </c>
      <c r="Q75" s="98" t="s">
        <v>10</v>
      </c>
      <c r="R75" s="98" t="s">
        <v>10</v>
      </c>
      <c r="S75" s="98" t="s">
        <v>10</v>
      </c>
      <c r="T75" s="98" t="s">
        <v>10</v>
      </c>
      <c r="U75" s="98" t="s">
        <v>10</v>
      </c>
      <c r="V75" s="98" t="s">
        <v>10</v>
      </c>
      <c r="W75" s="98" t="s">
        <v>10</v>
      </c>
      <c r="X75" s="98" t="s">
        <v>10</v>
      </c>
      <c r="Y75" s="98" t="s">
        <v>10</v>
      </c>
      <c r="Z75" s="98" t="s">
        <v>10</v>
      </c>
      <c r="AA75" s="98" t="s">
        <v>10</v>
      </c>
      <c r="AB75" s="114" t="s">
        <v>10</v>
      </c>
      <c r="AC75" s="98" t="s">
        <v>10</v>
      </c>
      <c r="AD75" s="98" t="s">
        <v>10</v>
      </c>
      <c r="AE75" s="98" t="s">
        <v>10</v>
      </c>
      <c r="AF75" s="98" t="s">
        <v>10</v>
      </c>
      <c r="AG75" s="98" t="s">
        <v>10</v>
      </c>
      <c r="AI75" s="102"/>
      <c r="AJ75" s="102"/>
    </row>
    <row r="76" spans="1:36" s="93" customFormat="1">
      <c r="A76" s="93" t="s">
        <v>56</v>
      </c>
      <c r="B76" s="78" t="s">
        <v>34</v>
      </c>
      <c r="C76" s="78" t="s">
        <v>34</v>
      </c>
      <c r="D76" s="78" t="s">
        <v>34</v>
      </c>
      <c r="E76" s="78" t="s">
        <v>34</v>
      </c>
      <c r="F76" s="78" t="s">
        <v>34</v>
      </c>
      <c r="G76" s="78" t="s">
        <v>34</v>
      </c>
      <c r="H76" s="78" t="s">
        <v>34</v>
      </c>
      <c r="I76" s="98" t="s">
        <v>10</v>
      </c>
      <c r="J76" s="78">
        <v>0.28000000000000003</v>
      </c>
      <c r="K76" s="78" t="s">
        <v>10</v>
      </c>
      <c r="L76" s="98" t="s">
        <v>10</v>
      </c>
      <c r="M76" s="98" t="s">
        <v>10</v>
      </c>
      <c r="N76" s="98" t="s">
        <v>10</v>
      </c>
      <c r="O76" s="98" t="s">
        <v>10</v>
      </c>
      <c r="P76" s="98" t="s">
        <v>10</v>
      </c>
      <c r="Q76" s="98" t="s">
        <v>10</v>
      </c>
      <c r="R76" s="98" t="s">
        <v>10</v>
      </c>
      <c r="S76" s="98" t="s">
        <v>10</v>
      </c>
      <c r="T76" s="98" t="s">
        <v>10</v>
      </c>
      <c r="U76" s="98" t="s">
        <v>10</v>
      </c>
      <c r="V76" s="98" t="s">
        <v>10</v>
      </c>
      <c r="W76" s="98" t="s">
        <v>10</v>
      </c>
      <c r="X76" s="98" t="s">
        <v>10</v>
      </c>
      <c r="Y76" s="98" t="s">
        <v>10</v>
      </c>
      <c r="Z76" s="98" t="s">
        <v>10</v>
      </c>
      <c r="AA76" s="98" t="s">
        <v>10</v>
      </c>
      <c r="AB76" s="114">
        <v>0.12</v>
      </c>
      <c r="AC76" s="96">
        <v>0.308</v>
      </c>
      <c r="AD76" s="95">
        <v>0.19800000000000001</v>
      </c>
      <c r="AE76" s="96">
        <v>1.7448999999999999</v>
      </c>
      <c r="AF76" s="96">
        <v>0.40799999999999997</v>
      </c>
      <c r="AG76" s="96">
        <v>0.03</v>
      </c>
      <c r="AI76" s="96"/>
      <c r="AJ76" s="102"/>
    </row>
    <row r="77" spans="1:36" s="93" customFormat="1">
      <c r="A77" s="93" t="s">
        <v>57</v>
      </c>
      <c r="B77" s="78" t="s">
        <v>34</v>
      </c>
      <c r="C77" s="78" t="s">
        <v>34</v>
      </c>
      <c r="D77" s="78" t="s">
        <v>34</v>
      </c>
      <c r="E77" s="78" t="s">
        <v>34</v>
      </c>
      <c r="F77" s="78" t="s">
        <v>34</v>
      </c>
      <c r="G77" s="78" t="s">
        <v>34</v>
      </c>
      <c r="H77" s="78" t="s">
        <v>34</v>
      </c>
      <c r="I77" s="98">
        <v>2.2100000000000002E-2</v>
      </c>
      <c r="J77" s="78">
        <v>5.0000000000000001E-3</v>
      </c>
      <c r="K77" s="78">
        <v>3.6200000000000003E-2</v>
      </c>
      <c r="L77" s="78">
        <v>7.0199999999999999E-2</v>
      </c>
      <c r="M77" s="78">
        <v>1.7607999999999999</v>
      </c>
      <c r="N77" s="78">
        <v>2.3093000000000004</v>
      </c>
      <c r="O77" s="78">
        <v>0.48349999999999999</v>
      </c>
      <c r="P77" s="78">
        <v>0.4667</v>
      </c>
      <c r="Q77" s="98">
        <v>0.5</v>
      </c>
      <c r="R77" s="98">
        <v>9.9000000000000005E-2</v>
      </c>
      <c r="S77" s="98">
        <v>7.0000000000000007E-2</v>
      </c>
      <c r="T77" s="98">
        <v>8.9999999999999993E-3</v>
      </c>
      <c r="U77" s="98">
        <v>4.5999999999999999E-2</v>
      </c>
      <c r="V77" s="98">
        <v>0.26</v>
      </c>
      <c r="W77" s="102">
        <v>7.3999999999999996E-2</v>
      </c>
      <c r="X77" s="98" t="s">
        <v>10</v>
      </c>
      <c r="Y77" s="98">
        <v>0.17199999999999999</v>
      </c>
      <c r="Z77" s="98">
        <v>0.22600000000000001</v>
      </c>
      <c r="AA77" s="98">
        <v>0.22950000000000001</v>
      </c>
      <c r="AB77" s="114">
        <v>0.2235</v>
      </c>
      <c r="AC77" s="96">
        <v>0.29749999999999999</v>
      </c>
      <c r="AD77" s="95">
        <v>1.119</v>
      </c>
      <c r="AE77" s="96">
        <v>7.4904000000000002</v>
      </c>
      <c r="AF77" s="96">
        <v>4.8002000000000002</v>
      </c>
      <c r="AG77" s="96">
        <v>8.6334999999999997</v>
      </c>
      <c r="AI77" s="96"/>
      <c r="AJ77" s="102"/>
    </row>
    <row r="78" spans="1:36" s="93" customFormat="1">
      <c r="A78" s="116" t="s">
        <v>58</v>
      </c>
      <c r="B78" s="97" t="s">
        <v>34</v>
      </c>
      <c r="C78" s="97" t="s">
        <v>34</v>
      </c>
      <c r="D78" s="97" t="s">
        <v>34</v>
      </c>
      <c r="E78" s="97" t="s">
        <v>34</v>
      </c>
      <c r="F78" s="97" t="s">
        <v>34</v>
      </c>
      <c r="G78" s="97" t="s">
        <v>34</v>
      </c>
      <c r="H78" s="97" t="s">
        <v>34</v>
      </c>
      <c r="I78" s="108" t="s">
        <v>10</v>
      </c>
      <c r="J78" s="108" t="s">
        <v>10</v>
      </c>
      <c r="K78" s="108" t="s">
        <v>10</v>
      </c>
      <c r="L78" s="108" t="s">
        <v>10</v>
      </c>
      <c r="M78" s="108" t="s">
        <v>10</v>
      </c>
      <c r="N78" s="108" t="s">
        <v>10</v>
      </c>
      <c r="O78" s="108" t="s">
        <v>10</v>
      </c>
      <c r="P78" s="108" t="s">
        <v>10</v>
      </c>
      <c r="Q78" s="108" t="s">
        <v>10</v>
      </c>
      <c r="R78" s="108" t="s">
        <v>10</v>
      </c>
      <c r="S78" s="108" t="s">
        <v>10</v>
      </c>
      <c r="T78" s="108" t="s">
        <v>10</v>
      </c>
      <c r="U78" s="108" t="s">
        <v>10</v>
      </c>
      <c r="V78" s="108" t="s">
        <v>10</v>
      </c>
      <c r="W78" s="108" t="s">
        <v>10</v>
      </c>
      <c r="X78" s="108" t="s">
        <v>10</v>
      </c>
      <c r="Y78" s="108" t="s">
        <v>10</v>
      </c>
      <c r="Z78" s="110">
        <v>0.1416</v>
      </c>
      <c r="AA78" s="110">
        <v>0.14080000000000001</v>
      </c>
      <c r="AB78" s="115">
        <v>0.79</v>
      </c>
      <c r="AC78" s="97">
        <v>2.3690000000000002</v>
      </c>
      <c r="AD78" s="125">
        <v>3.9813000000000001</v>
      </c>
      <c r="AE78" s="113">
        <v>2.9889999999999999</v>
      </c>
      <c r="AF78" s="113">
        <v>6.1887999999999996</v>
      </c>
      <c r="AG78" s="113">
        <v>6.2186000000000003</v>
      </c>
      <c r="AI78" s="96"/>
      <c r="AJ78" s="102"/>
    </row>
    <row r="79" spans="1:36" ht="12.75">
      <c r="B79" s="60"/>
      <c r="C79" s="60"/>
      <c r="D79" s="60"/>
      <c r="E79" s="60"/>
      <c r="F79" s="60"/>
      <c r="G79" s="60"/>
      <c r="H79" s="60"/>
      <c r="I79" s="60"/>
      <c r="J79" s="7"/>
      <c r="K79" s="5"/>
      <c r="L79" s="5"/>
      <c r="M79" s="5"/>
      <c r="N79" s="5"/>
      <c r="O79" s="5"/>
      <c r="P79" s="5"/>
      <c r="Q79" s="5"/>
      <c r="R79" s="5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6">
      <c r="A80" s="6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6">
      <c r="A81" s="6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6" ht="12.75" customHeight="1">
      <c r="A82" s="155" t="s">
        <v>12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</row>
    <row r="83" spans="1:36" ht="12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4" t="s">
        <v>8</v>
      </c>
    </row>
    <row r="84" spans="1:36" s="21" customFormat="1">
      <c r="A84" s="19"/>
      <c r="B84" s="19">
        <v>1990</v>
      </c>
      <c r="C84" s="19">
        <v>1991</v>
      </c>
      <c r="D84" s="19">
        <v>1992</v>
      </c>
      <c r="E84" s="19">
        <v>1993</v>
      </c>
      <c r="F84" s="19">
        <v>1994</v>
      </c>
      <c r="G84" s="19">
        <v>1995</v>
      </c>
      <c r="H84" s="19">
        <v>1996</v>
      </c>
      <c r="I84" s="19">
        <v>1997</v>
      </c>
      <c r="J84" s="19">
        <v>1998</v>
      </c>
      <c r="K84" s="19">
        <v>1999</v>
      </c>
      <c r="L84" s="19">
        <v>2000</v>
      </c>
      <c r="M84" s="19">
        <v>2001</v>
      </c>
      <c r="N84" s="19">
        <v>2002</v>
      </c>
      <c r="O84" s="19">
        <v>2003</v>
      </c>
      <c r="P84" s="19">
        <v>2004</v>
      </c>
      <c r="Q84" s="19">
        <v>2005</v>
      </c>
      <c r="R84" s="19">
        <v>2006</v>
      </c>
      <c r="S84" s="19">
        <v>2007</v>
      </c>
      <c r="T84" s="19">
        <v>2008</v>
      </c>
      <c r="U84" s="19">
        <v>2009</v>
      </c>
      <c r="V84" s="19">
        <v>2010</v>
      </c>
      <c r="W84" s="19">
        <v>2011</v>
      </c>
      <c r="X84" s="19">
        <v>2012</v>
      </c>
      <c r="Y84" s="19">
        <v>2013</v>
      </c>
      <c r="Z84" s="19">
        <v>2014</v>
      </c>
      <c r="AA84" s="19">
        <v>2015</v>
      </c>
      <c r="AB84" s="19">
        <v>2016</v>
      </c>
      <c r="AC84" s="19">
        <v>2017</v>
      </c>
      <c r="AD84" s="19">
        <v>2018</v>
      </c>
      <c r="AE84" s="19">
        <v>2019</v>
      </c>
      <c r="AF84" s="19">
        <v>2020</v>
      </c>
      <c r="AG84" s="19">
        <v>2021</v>
      </c>
    </row>
    <row r="85" spans="1:36" ht="24.75" customHeight="1">
      <c r="A85" s="135" t="s">
        <v>85</v>
      </c>
      <c r="B85" s="10"/>
      <c r="C85" s="10">
        <v>2.2000000000000002</v>
      </c>
      <c r="D85" s="10">
        <v>17.600000000000001</v>
      </c>
      <c r="E85" s="10">
        <v>13.2</v>
      </c>
      <c r="F85" s="10">
        <v>6.1</v>
      </c>
      <c r="G85" s="10">
        <v>2.5</v>
      </c>
      <c r="H85" s="10"/>
      <c r="I85" s="10">
        <v>0.3</v>
      </c>
      <c r="J85" s="10">
        <v>0</v>
      </c>
      <c r="K85" s="10"/>
      <c r="L85" s="10">
        <v>0</v>
      </c>
      <c r="M85" s="10">
        <v>0</v>
      </c>
      <c r="N85" s="10">
        <v>0.1</v>
      </c>
      <c r="O85" s="10">
        <v>0</v>
      </c>
      <c r="P85" s="10"/>
      <c r="Q85" s="10"/>
      <c r="R85" s="10">
        <v>0</v>
      </c>
      <c r="S85" s="10"/>
      <c r="T85" s="10"/>
      <c r="U85" s="10"/>
      <c r="V85" s="10"/>
      <c r="W85" s="10"/>
      <c r="X85" s="10"/>
      <c r="Y85" s="10" t="s">
        <v>15</v>
      </c>
      <c r="Z85" s="10"/>
      <c r="AA85" s="10"/>
      <c r="AB85" s="10"/>
      <c r="AC85" s="10"/>
      <c r="AD85" s="10"/>
      <c r="AE85" s="10">
        <v>2.2699999999999999E-3</v>
      </c>
      <c r="AF85" s="10">
        <v>0</v>
      </c>
      <c r="AG85" s="10">
        <v>2.6000000000000003E-4</v>
      </c>
    </row>
    <row r="86" spans="1:36">
      <c r="A86" s="6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36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36" ht="12.75" customHeight="1">
      <c r="A88" s="155" t="s">
        <v>11</v>
      </c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</row>
    <row r="89" spans="1:36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4" t="s">
        <v>8</v>
      </c>
    </row>
    <row r="90" spans="1:36" s="21" customFormat="1">
      <c r="A90" s="19"/>
      <c r="B90" s="19">
        <v>1990</v>
      </c>
      <c r="C90" s="19">
        <v>1991</v>
      </c>
      <c r="D90" s="19">
        <v>1992</v>
      </c>
      <c r="E90" s="19">
        <v>1993</v>
      </c>
      <c r="F90" s="19">
        <v>1994</v>
      </c>
      <c r="G90" s="19">
        <v>1995</v>
      </c>
      <c r="H90" s="19">
        <v>1996</v>
      </c>
      <c r="I90" s="19">
        <v>1997</v>
      </c>
      <c r="J90" s="19">
        <v>1998</v>
      </c>
      <c r="K90" s="19">
        <v>1999</v>
      </c>
      <c r="L90" s="19">
        <v>2000</v>
      </c>
      <c r="M90" s="19">
        <v>2001</v>
      </c>
      <c r="N90" s="19">
        <v>2002</v>
      </c>
      <c r="O90" s="19">
        <v>2003</v>
      </c>
      <c r="P90" s="19">
        <v>2004</v>
      </c>
      <c r="Q90" s="19">
        <v>2005</v>
      </c>
      <c r="R90" s="19">
        <v>2006</v>
      </c>
      <c r="S90" s="19">
        <v>2007</v>
      </c>
      <c r="T90" s="19">
        <v>2008</v>
      </c>
      <c r="U90" s="19">
        <v>2009</v>
      </c>
      <c r="V90" s="19">
        <v>2010</v>
      </c>
      <c r="W90" s="19">
        <v>2011</v>
      </c>
      <c r="X90" s="19">
        <v>2012</v>
      </c>
      <c r="Y90" s="19">
        <v>2013</v>
      </c>
      <c r="Z90" s="19">
        <v>2014</v>
      </c>
      <c r="AA90" s="19">
        <v>2015</v>
      </c>
      <c r="AB90" s="19">
        <v>2016</v>
      </c>
      <c r="AC90" s="19">
        <v>2017</v>
      </c>
      <c r="AD90" s="19">
        <v>2018</v>
      </c>
      <c r="AE90" s="19">
        <v>2019</v>
      </c>
      <c r="AF90" s="19">
        <v>2020</v>
      </c>
      <c r="AG90" s="19">
        <v>2021</v>
      </c>
    </row>
    <row r="91" spans="1:36" ht="24.75" customHeight="1">
      <c r="A91" s="134" t="s">
        <v>85</v>
      </c>
      <c r="B91" s="7">
        <v>111</v>
      </c>
      <c r="C91" s="7">
        <v>75.599999999999994</v>
      </c>
      <c r="D91" s="7">
        <v>65.599999999999994</v>
      </c>
      <c r="E91" s="7">
        <v>56.5</v>
      </c>
      <c r="F91" s="7">
        <v>69</v>
      </c>
      <c r="G91" s="7">
        <v>70</v>
      </c>
      <c r="H91" s="7">
        <v>41.4</v>
      </c>
      <c r="I91" s="7">
        <v>35.750500000000002</v>
      </c>
      <c r="J91" s="7">
        <v>66.413499999999999</v>
      </c>
      <c r="K91" s="7">
        <v>75.453600000000009</v>
      </c>
      <c r="L91" s="7">
        <v>64.725200000000001</v>
      </c>
      <c r="M91" s="7">
        <v>98.406100000000009</v>
      </c>
      <c r="N91" s="7">
        <v>119.6202</v>
      </c>
      <c r="O91" s="7">
        <v>195.39589999999998</v>
      </c>
      <c r="P91" s="7">
        <v>176.96770000000001</v>
      </c>
      <c r="Q91" s="7">
        <v>169.42</v>
      </c>
      <c r="R91" s="7">
        <v>158.94999999999999</v>
      </c>
      <c r="S91" s="7">
        <v>114.72</v>
      </c>
      <c r="T91" s="12">
        <v>85.41</v>
      </c>
      <c r="U91" s="12">
        <v>190.6</v>
      </c>
      <c r="V91" s="12">
        <v>189.5</v>
      </c>
      <c r="W91" s="12">
        <v>211</v>
      </c>
      <c r="X91" s="12">
        <v>264.8</v>
      </c>
      <c r="Y91" s="12">
        <v>308.8</v>
      </c>
      <c r="Z91" s="12">
        <v>278.39999999999998</v>
      </c>
      <c r="AA91" s="12">
        <v>301.8</v>
      </c>
      <c r="AB91" s="12">
        <v>421.5</v>
      </c>
      <c r="AC91" s="12">
        <v>494.8</v>
      </c>
      <c r="AD91" s="12">
        <v>502.72710000000001</v>
      </c>
      <c r="AE91" s="12">
        <v>556.58005000000003</v>
      </c>
      <c r="AF91" s="12">
        <v>583.06362999999999</v>
      </c>
      <c r="AG91" s="12">
        <v>633.24904000000004</v>
      </c>
    </row>
    <row r="92" spans="1:36" ht="12">
      <c r="A92" s="6" t="s">
        <v>40</v>
      </c>
      <c r="B92" s="7" t="s">
        <v>34</v>
      </c>
      <c r="C92" s="7" t="s">
        <v>34</v>
      </c>
      <c r="D92" s="7" t="s">
        <v>34</v>
      </c>
      <c r="E92" s="7" t="s">
        <v>34</v>
      </c>
      <c r="F92" s="7" t="s">
        <v>34</v>
      </c>
      <c r="G92" s="7" t="s">
        <v>34</v>
      </c>
      <c r="H92" s="7" t="s">
        <v>34</v>
      </c>
      <c r="I92" s="7">
        <v>1.7033</v>
      </c>
      <c r="J92" s="7">
        <v>0.66879999999999995</v>
      </c>
      <c r="K92" s="7">
        <v>0.93310000000000004</v>
      </c>
      <c r="L92" s="7">
        <v>0.65629999999999999</v>
      </c>
      <c r="M92" s="7">
        <v>0.40960000000000002</v>
      </c>
      <c r="N92" s="7">
        <v>0.73720000000000008</v>
      </c>
      <c r="O92" s="7">
        <v>1.2045999999999999</v>
      </c>
      <c r="P92" s="7">
        <v>0.97989999999999999</v>
      </c>
      <c r="Q92" s="98">
        <v>1.0726</v>
      </c>
      <c r="R92" s="99">
        <v>1.163</v>
      </c>
      <c r="S92" s="98">
        <v>0.62270000000000003</v>
      </c>
      <c r="T92" s="99">
        <v>0.4098</v>
      </c>
      <c r="U92" s="98">
        <v>1.4556</v>
      </c>
      <c r="V92" s="98">
        <v>1.1325000000000001</v>
      </c>
      <c r="W92" s="101">
        <v>0.52329999999999999</v>
      </c>
      <c r="X92" s="98">
        <v>0.7964</v>
      </c>
      <c r="Y92" s="98">
        <v>0.56779999999999997</v>
      </c>
      <c r="Z92" s="98">
        <v>0.60129999999999995</v>
      </c>
      <c r="AA92" s="98">
        <v>0.7137</v>
      </c>
      <c r="AB92" s="111">
        <v>0.73499999999999999</v>
      </c>
      <c r="AC92" s="84">
        <v>1.2793000000000001</v>
      </c>
      <c r="AD92" s="83">
        <v>0.86299999999999999</v>
      </c>
      <c r="AE92" s="84">
        <v>1.3069999999999999</v>
      </c>
      <c r="AF92" s="83">
        <v>1.343818</v>
      </c>
      <c r="AG92" s="84">
        <v>1.3355299999999999</v>
      </c>
      <c r="AI92" s="84"/>
      <c r="AJ92" s="11"/>
    </row>
    <row r="93" spans="1:36" ht="12">
      <c r="A93" s="6" t="s">
        <v>41</v>
      </c>
      <c r="B93" s="7" t="s">
        <v>34</v>
      </c>
      <c r="C93" s="7" t="s">
        <v>34</v>
      </c>
      <c r="D93" s="7" t="s">
        <v>34</v>
      </c>
      <c r="E93" s="7" t="s">
        <v>34</v>
      </c>
      <c r="F93" s="7" t="s">
        <v>34</v>
      </c>
      <c r="G93" s="7" t="s">
        <v>34</v>
      </c>
      <c r="H93" s="7" t="s">
        <v>34</v>
      </c>
      <c r="I93" s="7">
        <v>0.32539999999999997</v>
      </c>
      <c r="J93" s="7">
        <v>0.2787</v>
      </c>
      <c r="K93" s="7">
        <v>0.1971</v>
      </c>
      <c r="L93" s="7">
        <v>0.17299999999999999</v>
      </c>
      <c r="M93" s="7">
        <v>0.14000000000000001</v>
      </c>
      <c r="N93" s="7">
        <v>0.16019999999999998</v>
      </c>
      <c r="O93" s="7">
        <v>0.31330000000000002</v>
      </c>
      <c r="P93" s="7">
        <v>0.3327</v>
      </c>
      <c r="Q93" s="99">
        <v>9.98E-2</v>
      </c>
      <c r="R93" s="98">
        <v>2.0000000000000001E-4</v>
      </c>
      <c r="S93" s="99">
        <v>2.0000000000000001E-4</v>
      </c>
      <c r="T93" s="98">
        <v>1.0199999999999999E-2</v>
      </c>
      <c r="U93" s="98">
        <v>2.0000000000000001E-4</v>
      </c>
      <c r="V93" s="98">
        <v>2.0000000000000001E-4</v>
      </c>
      <c r="W93" s="101">
        <v>0.1013</v>
      </c>
      <c r="X93" s="98">
        <v>0.2024</v>
      </c>
      <c r="Y93" s="98">
        <v>0.2248</v>
      </c>
      <c r="Z93" s="98">
        <v>0.89729999999999999</v>
      </c>
      <c r="AA93" s="98">
        <v>0.37330000000000002</v>
      </c>
      <c r="AB93" s="111">
        <v>0.43740000000000001</v>
      </c>
      <c r="AC93" s="84">
        <v>0.36599999999999999</v>
      </c>
      <c r="AD93" s="83">
        <v>0.24</v>
      </c>
      <c r="AE93" s="84">
        <v>0.3</v>
      </c>
      <c r="AF93" s="83">
        <v>1.1990000000000001</v>
      </c>
      <c r="AG93" s="84">
        <v>1.6964999999999999</v>
      </c>
      <c r="AI93" s="84"/>
      <c r="AJ93" s="11"/>
    </row>
    <row r="94" spans="1:36">
      <c r="A94" s="6" t="s">
        <v>42</v>
      </c>
      <c r="B94" s="7" t="s">
        <v>34</v>
      </c>
      <c r="C94" s="7" t="s">
        <v>34</v>
      </c>
      <c r="D94" s="7" t="s">
        <v>34</v>
      </c>
      <c r="E94" s="7" t="s">
        <v>34</v>
      </c>
      <c r="F94" s="7" t="s">
        <v>34</v>
      </c>
      <c r="G94" s="7" t="s">
        <v>34</v>
      </c>
      <c r="H94" s="7" t="s">
        <v>34</v>
      </c>
      <c r="I94" s="7" t="s">
        <v>10</v>
      </c>
      <c r="J94" s="7" t="s">
        <v>10</v>
      </c>
      <c r="K94" s="7" t="s">
        <v>10</v>
      </c>
      <c r="L94" s="7" t="s">
        <v>10</v>
      </c>
      <c r="M94" s="7" t="s">
        <v>10</v>
      </c>
      <c r="N94" s="7" t="s">
        <v>10</v>
      </c>
      <c r="O94" s="7" t="s">
        <v>10</v>
      </c>
      <c r="P94" s="7" t="s">
        <v>10</v>
      </c>
      <c r="Q94" s="7" t="s">
        <v>10</v>
      </c>
      <c r="R94" s="7" t="s">
        <v>10</v>
      </c>
      <c r="S94" s="7" t="s">
        <v>10</v>
      </c>
      <c r="T94" s="7" t="s">
        <v>10</v>
      </c>
      <c r="U94" s="7" t="s">
        <v>10</v>
      </c>
      <c r="V94" s="7" t="s">
        <v>10</v>
      </c>
      <c r="W94" s="7" t="s">
        <v>10</v>
      </c>
      <c r="X94" s="7" t="s">
        <v>10</v>
      </c>
      <c r="Y94" s="7" t="s">
        <v>10</v>
      </c>
      <c r="Z94" s="7" t="s">
        <v>10</v>
      </c>
      <c r="AA94" s="14" t="s">
        <v>10</v>
      </c>
      <c r="AB94" s="7" t="s">
        <v>10</v>
      </c>
      <c r="AC94" s="7" t="s">
        <v>10</v>
      </c>
      <c r="AD94" s="7" t="s">
        <v>10</v>
      </c>
      <c r="AE94" s="7" t="s">
        <v>10</v>
      </c>
      <c r="AF94" s="7" t="s">
        <v>10</v>
      </c>
      <c r="AG94" s="7" t="s">
        <v>10</v>
      </c>
      <c r="AI94" s="12"/>
      <c r="AJ94" s="11"/>
    </row>
    <row r="95" spans="1:36">
      <c r="A95" s="6" t="s">
        <v>43</v>
      </c>
      <c r="B95" s="7" t="s">
        <v>34</v>
      </c>
      <c r="C95" s="7" t="s">
        <v>34</v>
      </c>
      <c r="D95" s="7" t="s">
        <v>34</v>
      </c>
      <c r="E95" s="7" t="s">
        <v>34</v>
      </c>
      <c r="F95" s="7" t="s">
        <v>34</v>
      </c>
      <c r="G95" s="7" t="s">
        <v>34</v>
      </c>
      <c r="H95" s="7" t="s">
        <v>34</v>
      </c>
      <c r="I95" s="7" t="s">
        <v>10</v>
      </c>
      <c r="J95" s="7" t="s">
        <v>10</v>
      </c>
      <c r="K95" s="7" t="s">
        <v>10</v>
      </c>
      <c r="L95" s="7" t="s">
        <v>10</v>
      </c>
      <c r="M95" s="7" t="s">
        <v>10</v>
      </c>
      <c r="N95" s="7" t="s">
        <v>10</v>
      </c>
      <c r="O95" s="7" t="s">
        <v>10</v>
      </c>
      <c r="P95" s="7" t="s">
        <v>10</v>
      </c>
      <c r="Q95" s="7" t="s">
        <v>10</v>
      </c>
      <c r="R95" s="7" t="s">
        <v>10</v>
      </c>
      <c r="S95" s="7" t="s">
        <v>10</v>
      </c>
      <c r="T95" s="7" t="s">
        <v>10</v>
      </c>
      <c r="U95" s="7" t="s">
        <v>10</v>
      </c>
      <c r="V95" s="7" t="s">
        <v>10</v>
      </c>
      <c r="W95" s="7" t="s">
        <v>10</v>
      </c>
      <c r="X95" s="7" t="s">
        <v>10</v>
      </c>
      <c r="Y95" s="7" t="s">
        <v>10</v>
      </c>
      <c r="Z95" s="7" t="s">
        <v>10</v>
      </c>
      <c r="AA95" s="14" t="s">
        <v>10</v>
      </c>
      <c r="AB95" s="7" t="s">
        <v>10</v>
      </c>
      <c r="AC95" s="7" t="s">
        <v>10</v>
      </c>
      <c r="AD95" s="7" t="s">
        <v>10</v>
      </c>
      <c r="AE95" s="7" t="s">
        <v>10</v>
      </c>
      <c r="AF95" s="7" t="s">
        <v>10</v>
      </c>
      <c r="AG95" s="7" t="s">
        <v>10</v>
      </c>
      <c r="AI95" s="12"/>
      <c r="AJ95" s="11"/>
    </row>
    <row r="96" spans="1:36">
      <c r="A96" s="6" t="s">
        <v>44</v>
      </c>
      <c r="B96" s="7" t="s">
        <v>34</v>
      </c>
      <c r="C96" s="7" t="s">
        <v>34</v>
      </c>
      <c r="D96" s="7" t="s">
        <v>34</v>
      </c>
      <c r="E96" s="7" t="s">
        <v>34</v>
      </c>
      <c r="F96" s="7" t="s">
        <v>34</v>
      </c>
      <c r="G96" s="7" t="s">
        <v>34</v>
      </c>
      <c r="H96" s="7" t="s">
        <v>34</v>
      </c>
      <c r="I96" s="7">
        <v>0.05</v>
      </c>
      <c r="J96" s="7" t="s">
        <v>10</v>
      </c>
      <c r="K96" s="7">
        <v>6.9000000000000006E-2</v>
      </c>
      <c r="L96" s="7">
        <v>6.5000000000000002E-2</v>
      </c>
      <c r="M96" s="7">
        <v>0.08</v>
      </c>
      <c r="N96" s="7">
        <v>0.05</v>
      </c>
      <c r="O96" s="7" t="s">
        <v>10</v>
      </c>
      <c r="P96" s="7" t="s">
        <v>10</v>
      </c>
      <c r="Q96" s="7" t="s">
        <v>10</v>
      </c>
      <c r="R96" s="7" t="s">
        <v>10</v>
      </c>
      <c r="S96" s="7" t="s">
        <v>10</v>
      </c>
      <c r="T96" s="7" t="s">
        <v>10</v>
      </c>
      <c r="U96" s="7" t="s">
        <v>10</v>
      </c>
      <c r="V96" s="7" t="s">
        <v>10</v>
      </c>
      <c r="W96" s="7" t="s">
        <v>10</v>
      </c>
      <c r="X96" s="7" t="s">
        <v>10</v>
      </c>
      <c r="Y96" s="7" t="s">
        <v>10</v>
      </c>
      <c r="Z96" s="7" t="s">
        <v>10</v>
      </c>
      <c r="AA96" s="14" t="s">
        <v>10</v>
      </c>
      <c r="AB96" s="7" t="s">
        <v>10</v>
      </c>
      <c r="AC96" s="7" t="s">
        <v>10</v>
      </c>
      <c r="AD96" s="7" t="s">
        <v>10</v>
      </c>
      <c r="AE96" s="7" t="s">
        <v>10</v>
      </c>
      <c r="AF96" s="7" t="s">
        <v>10</v>
      </c>
      <c r="AG96" s="7" t="s">
        <v>10</v>
      </c>
      <c r="AI96" s="7"/>
      <c r="AJ96" s="11"/>
    </row>
    <row r="97" spans="1:36" ht="12">
      <c r="A97" s="6" t="s">
        <v>45</v>
      </c>
      <c r="B97" s="7" t="s">
        <v>34</v>
      </c>
      <c r="C97" s="7" t="s">
        <v>34</v>
      </c>
      <c r="D97" s="7" t="s">
        <v>34</v>
      </c>
      <c r="E97" s="7" t="s">
        <v>34</v>
      </c>
      <c r="F97" s="7" t="s">
        <v>34</v>
      </c>
      <c r="G97" s="7" t="s">
        <v>34</v>
      </c>
      <c r="H97" s="7" t="s">
        <v>34</v>
      </c>
      <c r="I97" s="7">
        <v>3.15E-2</v>
      </c>
      <c r="J97" s="7">
        <v>1.7999999999999999E-2</v>
      </c>
      <c r="K97" s="7" t="s">
        <v>10</v>
      </c>
      <c r="L97" s="7">
        <v>1.9E-2</v>
      </c>
      <c r="M97" s="7">
        <v>4.5999999999999999E-2</v>
      </c>
      <c r="N97" s="7">
        <v>0.16500000000000001</v>
      </c>
      <c r="O97" s="7">
        <v>0.60299999999999998</v>
      </c>
      <c r="P97" s="7">
        <v>0.70210000000000006</v>
      </c>
      <c r="Q97" s="98">
        <v>0.216</v>
      </c>
      <c r="R97" s="98">
        <v>0.09</v>
      </c>
      <c r="S97" s="98">
        <v>0.16650000000000001</v>
      </c>
      <c r="T97" s="98">
        <v>0.13850000000000001</v>
      </c>
      <c r="U97" s="98">
        <v>0.13850000000000001</v>
      </c>
      <c r="V97" s="98">
        <v>0.69329999999999992</v>
      </c>
      <c r="W97" s="101">
        <v>0.77060000000000006</v>
      </c>
      <c r="X97" s="98">
        <v>0.79159999999999997</v>
      </c>
      <c r="Y97" s="98">
        <v>1.0029999999999999</v>
      </c>
      <c r="Z97" s="98">
        <v>0.104</v>
      </c>
      <c r="AA97" s="98">
        <v>1.4999999999999999E-2</v>
      </c>
      <c r="AB97" s="111">
        <v>0.40899999999999997</v>
      </c>
      <c r="AC97" s="84">
        <v>0.39</v>
      </c>
      <c r="AD97" s="83">
        <v>0.188</v>
      </c>
      <c r="AE97" s="84">
        <v>0.47499999999999998</v>
      </c>
      <c r="AF97" s="83">
        <v>0.42199999999999999</v>
      </c>
      <c r="AG97" s="85" t="s">
        <v>10</v>
      </c>
      <c r="AI97" s="85"/>
      <c r="AJ97" s="11"/>
    </row>
    <row r="98" spans="1:36" ht="12">
      <c r="A98" s="1" t="s">
        <v>46</v>
      </c>
      <c r="B98" s="7" t="s">
        <v>34</v>
      </c>
      <c r="C98" s="7" t="s">
        <v>34</v>
      </c>
      <c r="D98" s="7" t="s">
        <v>34</v>
      </c>
      <c r="E98" s="7" t="s">
        <v>34</v>
      </c>
      <c r="F98" s="7" t="s">
        <v>34</v>
      </c>
      <c r="G98" s="7" t="s">
        <v>34</v>
      </c>
      <c r="H98" s="7" t="s">
        <v>34</v>
      </c>
      <c r="I98" s="7">
        <v>8.9599999999999999E-2</v>
      </c>
      <c r="J98" s="7">
        <v>0.1661</v>
      </c>
      <c r="K98" s="7">
        <v>0.53100000000000003</v>
      </c>
      <c r="L98" s="7">
        <v>0.4511</v>
      </c>
      <c r="M98" s="7">
        <v>0.57669999999999999</v>
      </c>
      <c r="N98" s="7">
        <v>0.65710000000000002</v>
      </c>
      <c r="O98" s="7">
        <v>0.60239999999999994</v>
      </c>
      <c r="P98" s="7">
        <v>0.75529999999999997</v>
      </c>
      <c r="Q98" s="98">
        <v>0.3165</v>
      </c>
      <c r="R98" s="98">
        <v>0.29549999999999998</v>
      </c>
      <c r="S98" s="98">
        <v>0.21199999999999999</v>
      </c>
      <c r="T98" s="98">
        <v>0.13200000000000001</v>
      </c>
      <c r="U98" s="98">
        <v>1.9327999999999999</v>
      </c>
      <c r="V98" s="98">
        <v>1.6732</v>
      </c>
      <c r="W98" s="101">
        <v>2.3743000000000003</v>
      </c>
      <c r="X98" s="98">
        <v>4.1325000000000003</v>
      </c>
      <c r="Y98" s="98">
        <v>2.7214999999999998</v>
      </c>
      <c r="Z98" s="98">
        <v>1.6167</v>
      </c>
      <c r="AA98" s="98">
        <v>1.0724500000000001</v>
      </c>
      <c r="AB98" s="111">
        <v>6.0320999999999998</v>
      </c>
      <c r="AC98" s="84">
        <v>9.3879999999999999</v>
      </c>
      <c r="AD98" s="83">
        <v>12.916700000000001</v>
      </c>
      <c r="AE98" s="84">
        <v>13.36018</v>
      </c>
      <c r="AF98" s="83">
        <v>18.996300000000002</v>
      </c>
      <c r="AG98" s="84">
        <v>24.3005</v>
      </c>
      <c r="AI98" s="84"/>
      <c r="AJ98" s="11"/>
    </row>
    <row r="99" spans="1:36" ht="12">
      <c r="A99" s="6" t="s">
        <v>47</v>
      </c>
      <c r="B99" s="7" t="s">
        <v>34</v>
      </c>
      <c r="C99" s="7" t="s">
        <v>34</v>
      </c>
      <c r="D99" s="7" t="s">
        <v>34</v>
      </c>
      <c r="E99" s="7" t="s">
        <v>34</v>
      </c>
      <c r="F99" s="7" t="s">
        <v>34</v>
      </c>
      <c r="G99" s="7" t="s">
        <v>34</v>
      </c>
      <c r="H99" s="7" t="s">
        <v>34</v>
      </c>
      <c r="I99" s="7">
        <v>2.3333000000000004</v>
      </c>
      <c r="J99" s="7">
        <v>8.1876999999999995</v>
      </c>
      <c r="K99" s="7">
        <v>6.9703999999999997</v>
      </c>
      <c r="L99" s="7">
        <v>9.0259</v>
      </c>
      <c r="M99" s="7">
        <v>21.039400000000001</v>
      </c>
      <c r="N99" s="7">
        <v>15.5219</v>
      </c>
      <c r="O99" s="7">
        <v>21.8307</v>
      </c>
      <c r="P99" s="7">
        <v>11.69</v>
      </c>
      <c r="Q99" s="98">
        <v>21.051099999999998</v>
      </c>
      <c r="R99" s="98">
        <v>25.415200000000002</v>
      </c>
      <c r="S99" s="98">
        <v>15.007200000000001</v>
      </c>
      <c r="T99" s="98">
        <v>9.2629000000000001</v>
      </c>
      <c r="U99" s="98">
        <v>45.940400000000004</v>
      </c>
      <c r="V99" s="98">
        <v>35.042699999999996</v>
      </c>
      <c r="W99" s="101">
        <v>36.867199999999997</v>
      </c>
      <c r="X99" s="98">
        <v>68.656899999999993</v>
      </c>
      <c r="Y99" s="98">
        <v>68.796700000000001</v>
      </c>
      <c r="Z99" s="98">
        <v>55.437199999999997</v>
      </c>
      <c r="AA99" s="98">
        <v>62.436999999999998</v>
      </c>
      <c r="AB99" s="111">
        <v>87.037300000000002</v>
      </c>
      <c r="AC99" s="84">
        <v>100.33705999999999</v>
      </c>
      <c r="AD99" s="83">
        <v>98.570099999999996</v>
      </c>
      <c r="AE99" s="84">
        <v>108.02309</v>
      </c>
      <c r="AF99" s="83">
        <v>128.65706799999998</v>
      </c>
      <c r="AG99" s="84">
        <v>162.558367</v>
      </c>
      <c r="AI99" s="84"/>
      <c r="AJ99" s="11"/>
    </row>
    <row r="100" spans="1:36" ht="12">
      <c r="A100" s="6" t="s">
        <v>48</v>
      </c>
      <c r="B100" s="7" t="s">
        <v>34</v>
      </c>
      <c r="C100" s="7" t="s">
        <v>34</v>
      </c>
      <c r="D100" s="7" t="s">
        <v>34</v>
      </c>
      <c r="E100" s="7" t="s">
        <v>34</v>
      </c>
      <c r="F100" s="7" t="s">
        <v>34</v>
      </c>
      <c r="G100" s="7" t="s">
        <v>34</v>
      </c>
      <c r="H100" s="7" t="s">
        <v>34</v>
      </c>
      <c r="I100" s="7">
        <v>11.819000000000001</v>
      </c>
      <c r="J100" s="7">
        <v>13.17</v>
      </c>
      <c r="K100" s="7">
        <v>16.718700000000002</v>
      </c>
      <c r="L100" s="7">
        <v>8.1972000000000005</v>
      </c>
      <c r="M100" s="7">
        <v>14.423200000000001</v>
      </c>
      <c r="N100" s="7">
        <v>17.386800000000001</v>
      </c>
      <c r="O100" s="7">
        <v>29.9069</v>
      </c>
      <c r="P100" s="7">
        <v>25.3017</v>
      </c>
      <c r="Q100" s="98">
        <v>29.0718</v>
      </c>
      <c r="R100" s="98">
        <v>23.5319</v>
      </c>
      <c r="S100" s="98">
        <v>15.8985</v>
      </c>
      <c r="T100" s="98">
        <v>15.7098</v>
      </c>
      <c r="U100" s="98">
        <v>22.554500000000001</v>
      </c>
      <c r="V100" s="98">
        <v>25.6065</v>
      </c>
      <c r="W100" s="101">
        <v>27.663900000000002</v>
      </c>
      <c r="X100" s="98">
        <v>37.039400000000001</v>
      </c>
      <c r="Y100" s="98">
        <v>41.6693</v>
      </c>
      <c r="Z100" s="98">
        <v>31.6326</v>
      </c>
      <c r="AA100" s="98">
        <v>33.6723</v>
      </c>
      <c r="AB100" s="111">
        <v>42.9405</v>
      </c>
      <c r="AC100" s="84">
        <v>48.816829999999996</v>
      </c>
      <c r="AD100" s="83">
        <v>47.491100000000003</v>
      </c>
      <c r="AE100" s="84">
        <v>58.619619999999998</v>
      </c>
      <c r="AF100" s="83">
        <v>53.913419999999995</v>
      </c>
      <c r="AG100" s="84">
        <v>67.862906000000009</v>
      </c>
      <c r="AI100" s="84"/>
      <c r="AJ100" s="11"/>
    </row>
    <row r="101" spans="1:36" ht="12">
      <c r="A101" s="6" t="s">
        <v>49</v>
      </c>
      <c r="B101" s="7" t="s">
        <v>34</v>
      </c>
      <c r="C101" s="7" t="s">
        <v>34</v>
      </c>
      <c r="D101" s="7" t="s">
        <v>34</v>
      </c>
      <c r="E101" s="7" t="s">
        <v>34</v>
      </c>
      <c r="F101" s="7" t="s">
        <v>34</v>
      </c>
      <c r="G101" s="7" t="s">
        <v>34</v>
      </c>
      <c r="H101" s="7" t="s">
        <v>34</v>
      </c>
      <c r="I101" s="7">
        <v>0.12279999999999999</v>
      </c>
      <c r="J101" s="7">
        <v>0.3145</v>
      </c>
      <c r="K101" s="7">
        <v>0.26289999999999997</v>
      </c>
      <c r="L101" s="7">
        <v>0.1502</v>
      </c>
      <c r="M101" s="7">
        <v>0.33700000000000002</v>
      </c>
      <c r="N101" s="7">
        <v>0.56740000000000002</v>
      </c>
      <c r="O101" s="7">
        <v>0.72510000000000008</v>
      </c>
      <c r="P101" s="7">
        <v>1.2284999999999999</v>
      </c>
      <c r="Q101" s="98">
        <v>0.83260000000000001</v>
      </c>
      <c r="R101" s="98">
        <v>0.98529999999999995</v>
      </c>
      <c r="S101" s="98">
        <v>0.70240000000000002</v>
      </c>
      <c r="T101" s="98">
        <v>0.79189999999999994</v>
      </c>
      <c r="U101" s="93">
        <v>2.8595999999999999</v>
      </c>
      <c r="V101" s="98">
        <v>2.3153000000000001</v>
      </c>
      <c r="W101" s="101">
        <v>2.5590000000000002</v>
      </c>
      <c r="X101" s="98">
        <v>2.0000999999999998</v>
      </c>
      <c r="Y101" s="98">
        <v>2.7176</v>
      </c>
      <c r="Z101" s="98">
        <v>2.2656000000000001</v>
      </c>
      <c r="AA101" s="98">
        <v>1.5329999999999999</v>
      </c>
      <c r="AB101" s="111">
        <v>3.5972</v>
      </c>
      <c r="AC101" s="84">
        <v>2.7834699999999999</v>
      </c>
      <c r="AD101" s="83">
        <v>1.7801</v>
      </c>
      <c r="AE101" s="84">
        <v>2.5453000000000001</v>
      </c>
      <c r="AF101" s="83">
        <v>3.4302000000000001</v>
      </c>
      <c r="AG101" s="84">
        <v>4.2515999999999998</v>
      </c>
      <c r="AI101" s="84"/>
      <c r="AJ101" s="11"/>
    </row>
    <row r="102" spans="1:36" ht="12">
      <c r="A102" s="6" t="s">
        <v>50</v>
      </c>
      <c r="B102" s="7" t="s">
        <v>34</v>
      </c>
      <c r="C102" s="7" t="s">
        <v>34</v>
      </c>
      <c r="D102" s="7" t="s">
        <v>34</v>
      </c>
      <c r="E102" s="7" t="s">
        <v>34</v>
      </c>
      <c r="F102" s="7" t="s">
        <v>34</v>
      </c>
      <c r="G102" s="7" t="s">
        <v>34</v>
      </c>
      <c r="H102" s="7" t="s">
        <v>34</v>
      </c>
      <c r="I102" s="7">
        <v>3.04E-2</v>
      </c>
      <c r="J102" s="7" t="s">
        <v>10</v>
      </c>
      <c r="K102" s="7">
        <v>0.50539999999999996</v>
      </c>
      <c r="L102" s="7">
        <v>0.79500000000000004</v>
      </c>
      <c r="M102" s="7">
        <v>1.587</v>
      </c>
      <c r="N102" s="7">
        <v>1.8979999999999999</v>
      </c>
      <c r="O102" s="7">
        <v>2.379</v>
      </c>
      <c r="P102" s="7">
        <v>2.8025000000000002</v>
      </c>
      <c r="Q102" s="98">
        <v>2.6280000000000001</v>
      </c>
      <c r="R102" s="98">
        <v>2.6594000000000002</v>
      </c>
      <c r="S102" s="98">
        <v>2.4855</v>
      </c>
      <c r="T102" s="98">
        <v>2.6374</v>
      </c>
      <c r="U102" s="98">
        <v>3.1852</v>
      </c>
      <c r="V102" s="98">
        <v>1.9944999999999999</v>
      </c>
      <c r="W102" s="101">
        <v>2.5085999999999999</v>
      </c>
      <c r="X102" s="98">
        <v>2.1578000000000004</v>
      </c>
      <c r="Y102" s="98">
        <v>1.5770999999999999</v>
      </c>
      <c r="Z102" s="98">
        <v>1.2190000000000001</v>
      </c>
      <c r="AA102" s="98">
        <v>0.5960700000000001</v>
      </c>
      <c r="AB102" s="111">
        <v>1.45</v>
      </c>
      <c r="AC102" s="84">
        <v>1.26</v>
      </c>
      <c r="AD102" s="83">
        <v>1.7233000000000001</v>
      </c>
      <c r="AE102" s="84">
        <v>2.4022999999999999</v>
      </c>
      <c r="AF102" s="83">
        <v>1.0028999999999999</v>
      </c>
      <c r="AG102" s="84">
        <v>1.1126</v>
      </c>
      <c r="AI102" s="84"/>
      <c r="AJ102" s="11"/>
    </row>
    <row r="103" spans="1:36" ht="12">
      <c r="A103" s="6" t="s">
        <v>51</v>
      </c>
      <c r="B103" s="7" t="s">
        <v>34</v>
      </c>
      <c r="C103" s="7" t="s">
        <v>34</v>
      </c>
      <c r="D103" s="7" t="s">
        <v>34</v>
      </c>
      <c r="E103" s="7" t="s">
        <v>34</v>
      </c>
      <c r="F103" s="7" t="s">
        <v>34</v>
      </c>
      <c r="G103" s="7" t="s">
        <v>34</v>
      </c>
      <c r="H103" s="7" t="s">
        <v>34</v>
      </c>
      <c r="I103" s="7">
        <v>3.8712</v>
      </c>
      <c r="J103" s="7">
        <v>6.9306999999999999</v>
      </c>
      <c r="K103" s="7">
        <v>7.5333999999999994</v>
      </c>
      <c r="L103" s="7">
        <v>5.9573</v>
      </c>
      <c r="M103" s="7">
        <v>4.9246999999999996</v>
      </c>
      <c r="N103" s="7">
        <v>6.9021000000000008</v>
      </c>
      <c r="O103" s="7">
        <v>12.894</v>
      </c>
      <c r="P103" s="7">
        <v>11.986499999999999</v>
      </c>
      <c r="Q103" s="98">
        <v>17.2912</v>
      </c>
      <c r="R103" s="98">
        <v>13.975</v>
      </c>
      <c r="S103" s="98">
        <v>14.805999999999999</v>
      </c>
      <c r="T103" s="98">
        <v>14.434799999999999</v>
      </c>
      <c r="U103" s="98">
        <v>14.379200000000001</v>
      </c>
      <c r="V103" s="98">
        <v>14.461600000000001</v>
      </c>
      <c r="W103" s="101">
        <v>18.8383</v>
      </c>
      <c r="X103" s="98">
        <v>24.6465</v>
      </c>
      <c r="Y103" s="98">
        <v>25.616299999999999</v>
      </c>
      <c r="Z103" s="98">
        <v>26.606200000000001</v>
      </c>
      <c r="AA103" s="98">
        <v>28.202300000000001</v>
      </c>
      <c r="AB103" s="111">
        <v>37.040950000000002</v>
      </c>
      <c r="AC103" s="84">
        <v>42.388890000000004</v>
      </c>
      <c r="AD103" s="83">
        <v>41.39188</v>
      </c>
      <c r="AE103" s="84">
        <v>46.070900000000002</v>
      </c>
      <c r="AF103" s="83">
        <v>44.352084999999995</v>
      </c>
      <c r="AG103" s="84">
        <v>45.627920000000003</v>
      </c>
      <c r="AI103" s="84"/>
      <c r="AJ103" s="11"/>
    </row>
    <row r="104" spans="1:36" ht="12">
      <c r="A104" s="6" t="s">
        <v>52</v>
      </c>
      <c r="B104" s="7" t="s">
        <v>34</v>
      </c>
      <c r="C104" s="7" t="s">
        <v>34</v>
      </c>
      <c r="D104" s="7" t="s">
        <v>34</v>
      </c>
      <c r="E104" s="7" t="s">
        <v>34</v>
      </c>
      <c r="F104" s="7" t="s">
        <v>34</v>
      </c>
      <c r="G104" s="7" t="s">
        <v>34</v>
      </c>
      <c r="H104" s="7" t="s">
        <v>34</v>
      </c>
      <c r="I104" s="7">
        <v>1.2979000000000001</v>
      </c>
      <c r="J104" s="7">
        <v>2.6869999999999998</v>
      </c>
      <c r="K104" s="7">
        <v>5.024</v>
      </c>
      <c r="L104" s="7">
        <v>3.6052</v>
      </c>
      <c r="M104" s="7">
        <v>4.2928000000000006</v>
      </c>
      <c r="N104" s="7">
        <v>5.6781000000000006</v>
      </c>
      <c r="O104" s="7">
        <v>7.9995000000000003</v>
      </c>
      <c r="P104" s="7">
        <v>7.7388000000000003</v>
      </c>
      <c r="Q104" s="98">
        <v>8.2146000000000008</v>
      </c>
      <c r="R104" s="98">
        <v>7.8295000000000003</v>
      </c>
      <c r="S104" s="98">
        <v>6.8563999999999998</v>
      </c>
      <c r="T104" s="98">
        <v>3.9011999999999998</v>
      </c>
      <c r="U104" s="98">
        <v>14.739700000000001</v>
      </c>
      <c r="V104" s="98">
        <v>12.7424</v>
      </c>
      <c r="W104" s="101">
        <v>16.414200000000001</v>
      </c>
      <c r="X104" s="98">
        <v>19.4467</v>
      </c>
      <c r="Y104" s="98">
        <v>21.545500000000001</v>
      </c>
      <c r="Z104" s="98">
        <v>17.479900000000001</v>
      </c>
      <c r="AA104" s="98">
        <v>19.265930000000001</v>
      </c>
      <c r="AB104" s="111">
        <v>28.382861999999999</v>
      </c>
      <c r="AC104" s="84">
        <v>29.579184000000001</v>
      </c>
      <c r="AD104" s="83">
        <v>29.624709999999997</v>
      </c>
      <c r="AE104" s="84">
        <v>33.751600000000003</v>
      </c>
      <c r="AF104" s="83">
        <v>33.28387</v>
      </c>
      <c r="AG104" s="84">
        <v>38.32893</v>
      </c>
      <c r="AI104" s="84"/>
      <c r="AJ104" s="11"/>
    </row>
    <row r="105" spans="1:36" ht="12">
      <c r="A105" s="6" t="s">
        <v>53</v>
      </c>
      <c r="B105" s="7" t="s">
        <v>34</v>
      </c>
      <c r="C105" s="7" t="s">
        <v>34</v>
      </c>
      <c r="D105" s="7" t="s">
        <v>34</v>
      </c>
      <c r="E105" s="7" t="s">
        <v>34</v>
      </c>
      <c r="F105" s="7" t="s">
        <v>34</v>
      </c>
      <c r="G105" s="7" t="s">
        <v>34</v>
      </c>
      <c r="H105" s="7" t="s">
        <v>34</v>
      </c>
      <c r="I105" s="7">
        <v>0.94120000000000004</v>
      </c>
      <c r="J105" s="7">
        <v>2.4304999999999999</v>
      </c>
      <c r="K105" s="7">
        <v>2.4300000000000002</v>
      </c>
      <c r="L105" s="7">
        <v>3.0738000000000003</v>
      </c>
      <c r="M105" s="7">
        <v>5.9794999999999998</v>
      </c>
      <c r="N105" s="7">
        <v>4.3741000000000003</v>
      </c>
      <c r="O105" s="7">
        <v>9.3080999999999996</v>
      </c>
      <c r="P105" s="7">
        <v>9.5411999999999999</v>
      </c>
      <c r="Q105" s="98">
        <v>8.0631000000000004</v>
      </c>
      <c r="R105" s="98">
        <v>14.1652</v>
      </c>
      <c r="S105" s="98">
        <v>7.2862999999999998</v>
      </c>
      <c r="T105" s="98">
        <v>2.6269999999999998</v>
      </c>
      <c r="U105" s="98">
        <v>17.733599999999999</v>
      </c>
      <c r="V105" s="98">
        <v>26.197500000000002</v>
      </c>
      <c r="W105" s="101">
        <v>28.6615</v>
      </c>
      <c r="X105" s="98">
        <v>24.4269</v>
      </c>
      <c r="Y105" s="98">
        <v>31.084900000000001</v>
      </c>
      <c r="Z105" s="98">
        <v>30.2867</v>
      </c>
      <c r="AA105" s="98">
        <v>46.152209999999997</v>
      </c>
      <c r="AB105" s="111">
        <v>49.601230000000001</v>
      </c>
      <c r="AC105" s="84">
        <v>61.230309999999996</v>
      </c>
      <c r="AD105" s="83">
        <v>63.023449999999997</v>
      </c>
      <c r="AE105" s="84">
        <v>83.081500000000005</v>
      </c>
      <c r="AF105" s="83">
        <v>86.051649999999995</v>
      </c>
      <c r="AG105" s="84">
        <v>56.475490000000001</v>
      </c>
      <c r="AI105" s="84"/>
      <c r="AJ105" s="11"/>
    </row>
    <row r="106" spans="1:36" ht="12">
      <c r="A106" s="6" t="s">
        <v>54</v>
      </c>
      <c r="B106" s="7" t="s">
        <v>34</v>
      </c>
      <c r="C106" s="7" t="s">
        <v>34</v>
      </c>
      <c r="D106" s="7" t="s">
        <v>34</v>
      </c>
      <c r="E106" s="7" t="s">
        <v>34</v>
      </c>
      <c r="F106" s="7" t="s">
        <v>34</v>
      </c>
      <c r="G106" s="7" t="s">
        <v>34</v>
      </c>
      <c r="H106" s="7" t="s">
        <v>34</v>
      </c>
      <c r="I106" s="7">
        <v>0.16519999999999999</v>
      </c>
      <c r="J106" s="7">
        <v>0.22869999999999999</v>
      </c>
      <c r="K106" s="7">
        <v>0.51739999999999997</v>
      </c>
      <c r="L106" s="7">
        <v>1.2587000000000002</v>
      </c>
      <c r="M106" s="7">
        <v>2.7103000000000002</v>
      </c>
      <c r="N106" s="7">
        <v>3.0733999999999999</v>
      </c>
      <c r="O106" s="7">
        <v>4.6766000000000005</v>
      </c>
      <c r="P106" s="7">
        <v>4.9158999999999997</v>
      </c>
      <c r="Q106" s="98">
        <v>4.0682</v>
      </c>
      <c r="R106" s="98">
        <v>2.4393000000000002</v>
      </c>
      <c r="S106" s="98">
        <v>1.3334000000000001</v>
      </c>
      <c r="T106" s="98">
        <v>1.4338</v>
      </c>
      <c r="U106" s="98">
        <v>2.5613999999999999</v>
      </c>
      <c r="V106" s="98">
        <v>2.2664</v>
      </c>
      <c r="W106" s="101">
        <v>2.5434000000000001</v>
      </c>
      <c r="X106" s="98">
        <v>2.9554999999999998</v>
      </c>
      <c r="Y106" s="98">
        <v>3.8729</v>
      </c>
      <c r="Z106" s="98">
        <v>2.6730999999999998</v>
      </c>
      <c r="AA106" s="98">
        <v>2.3818000000000001</v>
      </c>
      <c r="AB106" s="111">
        <v>3.411</v>
      </c>
      <c r="AC106" s="84">
        <v>4.2610550000000007</v>
      </c>
      <c r="AD106" s="83">
        <v>4.8517999999999999</v>
      </c>
      <c r="AE106" s="84">
        <v>3.9361999999999999</v>
      </c>
      <c r="AF106" s="83">
        <v>5.1421999999999999</v>
      </c>
      <c r="AG106" s="84">
        <v>4.4185999999999996</v>
      </c>
      <c r="AI106" s="84"/>
      <c r="AJ106" s="11"/>
    </row>
    <row r="107" spans="1:36" ht="12">
      <c r="A107" s="1" t="s">
        <v>55</v>
      </c>
      <c r="B107" s="7" t="s">
        <v>34</v>
      </c>
      <c r="C107" s="7" t="s">
        <v>34</v>
      </c>
      <c r="D107" s="7" t="s">
        <v>34</v>
      </c>
      <c r="E107" s="7" t="s">
        <v>34</v>
      </c>
      <c r="F107" s="7" t="s">
        <v>34</v>
      </c>
      <c r="G107" s="7" t="s">
        <v>34</v>
      </c>
      <c r="H107" s="7" t="s">
        <v>34</v>
      </c>
      <c r="I107" s="7" t="s">
        <v>10</v>
      </c>
      <c r="J107" s="7" t="s">
        <v>10</v>
      </c>
      <c r="K107" s="7" t="s">
        <v>10</v>
      </c>
      <c r="L107" s="7">
        <v>0.1008</v>
      </c>
      <c r="M107" s="7">
        <v>0.1023</v>
      </c>
      <c r="N107" s="7">
        <v>1.9100000000000002E-2</v>
      </c>
      <c r="O107" s="7">
        <v>7.8900000000000012E-2</v>
      </c>
      <c r="P107" s="7">
        <v>1.06E-2</v>
      </c>
      <c r="Q107" s="98">
        <v>5.4999999999999997E-3</v>
      </c>
      <c r="R107" s="98">
        <v>5.7700000000000001E-2</v>
      </c>
      <c r="S107" s="98">
        <v>5.0000000000000001E-3</v>
      </c>
      <c r="T107" s="98">
        <v>1.5800000000000002E-2</v>
      </c>
      <c r="U107" s="98">
        <v>4.9399999999999999E-2</v>
      </c>
      <c r="V107" s="98">
        <v>0.1017</v>
      </c>
      <c r="W107" s="101">
        <v>0.1764</v>
      </c>
      <c r="X107" s="98">
        <v>9.5599999999999991E-2</v>
      </c>
      <c r="Y107" s="98">
        <v>0.126</v>
      </c>
      <c r="Z107" s="98">
        <v>8.6400000000000005E-2</v>
      </c>
      <c r="AA107" s="98">
        <v>1.4E-2</v>
      </c>
      <c r="AB107" s="111">
        <v>0.59489999999999998</v>
      </c>
      <c r="AC107" s="84">
        <v>0.68469999999999998</v>
      </c>
      <c r="AD107" s="83">
        <v>0.216</v>
      </c>
      <c r="AE107" s="84">
        <v>3.2599999999999997E-2</v>
      </c>
      <c r="AF107" s="83">
        <v>4.4999999999999997E-3</v>
      </c>
      <c r="AG107" s="85" t="s">
        <v>10</v>
      </c>
      <c r="AI107" s="85"/>
      <c r="AJ107" s="11"/>
    </row>
    <row r="108" spans="1:36" ht="12">
      <c r="A108" s="6" t="s">
        <v>56</v>
      </c>
      <c r="B108" s="7" t="s">
        <v>34</v>
      </c>
      <c r="C108" s="7" t="s">
        <v>34</v>
      </c>
      <c r="D108" s="7" t="s">
        <v>34</v>
      </c>
      <c r="E108" s="7" t="s">
        <v>34</v>
      </c>
      <c r="F108" s="7" t="s">
        <v>34</v>
      </c>
      <c r="G108" s="7" t="s">
        <v>34</v>
      </c>
      <c r="H108" s="7" t="s">
        <v>34</v>
      </c>
      <c r="I108" s="8">
        <v>0.98829999999999996</v>
      </c>
      <c r="J108" s="8">
        <v>4.2</v>
      </c>
      <c r="K108" s="7">
        <v>2.9565000000000001</v>
      </c>
      <c r="L108" s="7">
        <v>5.76</v>
      </c>
      <c r="M108" s="7">
        <v>3.78</v>
      </c>
      <c r="N108" s="7">
        <v>4.7106000000000003</v>
      </c>
      <c r="O108" s="7">
        <v>5.726</v>
      </c>
      <c r="P108" s="7">
        <v>7.6772</v>
      </c>
      <c r="Q108" s="98">
        <v>7.7341999999999995</v>
      </c>
      <c r="R108" s="98">
        <v>9.1570999999999998</v>
      </c>
      <c r="S108" s="98">
        <v>8.6635000000000009</v>
      </c>
      <c r="T108" s="98">
        <v>3.593</v>
      </c>
      <c r="U108" s="98">
        <v>15.7326</v>
      </c>
      <c r="V108" s="98">
        <v>14.473700000000001</v>
      </c>
      <c r="W108" s="101">
        <v>9.0603999999999996</v>
      </c>
      <c r="X108" s="98">
        <v>11.1251</v>
      </c>
      <c r="Y108" s="98">
        <v>23.726400000000002</v>
      </c>
      <c r="Z108" s="98">
        <v>16.009499999999999</v>
      </c>
      <c r="AA108" s="98">
        <v>14.88959</v>
      </c>
      <c r="AB108" s="111">
        <v>25.9941</v>
      </c>
      <c r="AC108" s="84">
        <v>25.451899999999998</v>
      </c>
      <c r="AD108" s="83">
        <v>33.743229999999997</v>
      </c>
      <c r="AE108" s="84">
        <v>36.174100000000003</v>
      </c>
      <c r="AF108" s="83">
        <v>33.677040000000005</v>
      </c>
      <c r="AG108" s="84">
        <v>35.702300000000001</v>
      </c>
      <c r="AI108" s="84"/>
      <c r="AJ108" s="11"/>
    </row>
    <row r="109" spans="1:36" ht="12">
      <c r="A109" s="6" t="s">
        <v>57</v>
      </c>
      <c r="B109" s="7" t="s">
        <v>34</v>
      </c>
      <c r="C109" s="7" t="s">
        <v>34</v>
      </c>
      <c r="D109" s="7" t="s">
        <v>34</v>
      </c>
      <c r="E109" s="7" t="s">
        <v>34</v>
      </c>
      <c r="F109" s="7" t="s">
        <v>34</v>
      </c>
      <c r="G109" s="7" t="s">
        <v>34</v>
      </c>
      <c r="H109" s="7" t="s">
        <v>34</v>
      </c>
      <c r="I109" s="7">
        <v>2.1423000000000001</v>
      </c>
      <c r="J109" s="7">
        <v>7.2911000000000001</v>
      </c>
      <c r="K109" s="7">
        <v>8.2487999999999992</v>
      </c>
      <c r="L109" s="7">
        <v>9.8637000000000015</v>
      </c>
      <c r="M109" s="7">
        <v>17.623200000000001</v>
      </c>
      <c r="N109" s="7">
        <v>30.109200000000001</v>
      </c>
      <c r="O109" s="7">
        <v>57.147800000000004</v>
      </c>
      <c r="P109" s="7">
        <v>60.078099999999999</v>
      </c>
      <c r="Q109" s="98">
        <v>30.032599999999999</v>
      </c>
      <c r="R109" s="98">
        <v>18.475000000000001</v>
      </c>
      <c r="S109" s="98">
        <v>10.3466</v>
      </c>
      <c r="T109" s="98">
        <v>4.0465</v>
      </c>
      <c r="U109" s="98">
        <v>14.047499999999999</v>
      </c>
      <c r="V109" s="98">
        <v>19.9359</v>
      </c>
      <c r="W109" s="101">
        <v>30.017199999999999</v>
      </c>
      <c r="X109" s="98">
        <v>19.526299999999999</v>
      </c>
      <c r="Y109" s="98">
        <v>36.284999999999997</v>
      </c>
      <c r="Z109" s="98">
        <v>40.779199999999996</v>
      </c>
      <c r="AA109" s="98">
        <v>38.913800000000002</v>
      </c>
      <c r="AB109" s="111">
        <v>73.040899999999993</v>
      </c>
      <c r="AC109" s="84">
        <v>89.777900000000002</v>
      </c>
      <c r="AD109" s="83">
        <v>89.281180000000006</v>
      </c>
      <c r="AE109" s="84">
        <v>86.812460000000002</v>
      </c>
      <c r="AF109" s="83">
        <v>88.619959999999992</v>
      </c>
      <c r="AG109" s="84">
        <v>90.559600000000003</v>
      </c>
      <c r="AI109" s="84"/>
      <c r="AJ109" s="11"/>
    </row>
    <row r="110" spans="1:36" ht="12">
      <c r="A110" s="15" t="s">
        <v>58</v>
      </c>
      <c r="B110" s="10" t="s">
        <v>34</v>
      </c>
      <c r="C110" s="10" t="s">
        <v>34</v>
      </c>
      <c r="D110" s="10" t="s">
        <v>34</v>
      </c>
      <c r="E110" s="10" t="s">
        <v>34</v>
      </c>
      <c r="F110" s="10" t="s">
        <v>34</v>
      </c>
      <c r="G110" s="10" t="s">
        <v>34</v>
      </c>
      <c r="H110" s="10" t="s">
        <v>34</v>
      </c>
      <c r="I110" s="58">
        <v>9.8391000000000002</v>
      </c>
      <c r="J110" s="58">
        <v>19.841699999999999</v>
      </c>
      <c r="K110" s="10">
        <v>22.565900000000003</v>
      </c>
      <c r="L110" s="10">
        <v>15.573</v>
      </c>
      <c r="M110" s="10">
        <v>20.354400000000002</v>
      </c>
      <c r="N110" s="10">
        <v>27.61</v>
      </c>
      <c r="O110" s="10">
        <v>40</v>
      </c>
      <c r="P110" s="10">
        <v>31.226700000000001</v>
      </c>
      <c r="Q110" s="108">
        <v>38.732900000000001</v>
      </c>
      <c r="R110" s="108">
        <v>38.701000000000001</v>
      </c>
      <c r="S110" s="108">
        <v>30.3142</v>
      </c>
      <c r="T110" s="108">
        <v>26.271000000000001</v>
      </c>
      <c r="U110" s="108">
        <v>33.340499999999999</v>
      </c>
      <c r="V110" s="108">
        <v>30.851599999999998</v>
      </c>
      <c r="W110" s="109">
        <v>31.923099999999998</v>
      </c>
      <c r="X110" s="108">
        <v>46.779800000000002</v>
      </c>
      <c r="Y110" s="108">
        <v>47.271599999999999</v>
      </c>
      <c r="Z110" s="108">
        <v>50.687199999999997</v>
      </c>
      <c r="AA110" s="108">
        <v>51.564830000000001</v>
      </c>
      <c r="AB110" s="112">
        <v>60.808199999999999</v>
      </c>
      <c r="AC110" s="88">
        <v>76.815200000000004</v>
      </c>
      <c r="AD110" s="87">
        <v>76.822550000000007</v>
      </c>
      <c r="AE110" s="88">
        <v>79.688199999999995</v>
      </c>
      <c r="AF110" s="87">
        <v>82.967619999999997</v>
      </c>
      <c r="AG110" s="88">
        <v>99.018199999999993</v>
      </c>
      <c r="AI110" s="84"/>
      <c r="AJ110" s="11"/>
    </row>
    <row r="111" spans="1:36">
      <c r="A111" s="2"/>
      <c r="B111" s="11"/>
      <c r="C111" s="11"/>
      <c r="D111" s="11"/>
      <c r="E111" s="11"/>
      <c r="F111" s="11"/>
      <c r="G111" s="11"/>
      <c r="H111" s="11"/>
      <c r="I111" s="11"/>
      <c r="J111" s="11"/>
      <c r="K111" s="5"/>
      <c r="L111" s="5"/>
      <c r="M111" s="5"/>
      <c r="N111" s="5"/>
      <c r="O111" s="5"/>
      <c r="P111" s="5"/>
      <c r="Q111" s="5"/>
      <c r="R111" s="5"/>
      <c r="AJ111" s="11"/>
    </row>
    <row r="112" spans="1:36" ht="12.75" customHeight="1">
      <c r="A112" s="155" t="s">
        <v>23</v>
      </c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</row>
    <row r="113" spans="1:36" ht="12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4" t="s">
        <v>8</v>
      </c>
    </row>
    <row r="114" spans="1:36" s="21" customFormat="1">
      <c r="A114" s="19"/>
      <c r="B114" s="19">
        <v>1990</v>
      </c>
      <c r="C114" s="19">
        <v>1991</v>
      </c>
      <c r="D114" s="19">
        <v>1992</v>
      </c>
      <c r="E114" s="19">
        <v>1993</v>
      </c>
      <c r="F114" s="19">
        <v>1994</v>
      </c>
      <c r="G114" s="19">
        <v>1995</v>
      </c>
      <c r="H114" s="19">
        <v>1996</v>
      </c>
      <c r="I114" s="19">
        <v>1997</v>
      </c>
      <c r="J114" s="19">
        <v>1998</v>
      </c>
      <c r="K114" s="19">
        <v>1999</v>
      </c>
      <c r="L114" s="19">
        <v>2000</v>
      </c>
      <c r="M114" s="19">
        <v>2001</v>
      </c>
      <c r="N114" s="19">
        <v>2002</v>
      </c>
      <c r="O114" s="19">
        <v>2003</v>
      </c>
      <c r="P114" s="19">
        <v>2004</v>
      </c>
      <c r="Q114" s="19">
        <v>2005</v>
      </c>
      <c r="R114" s="19">
        <v>2006</v>
      </c>
      <c r="S114" s="19">
        <v>2007</v>
      </c>
      <c r="T114" s="19">
        <v>2008</v>
      </c>
      <c r="U114" s="19">
        <v>2009</v>
      </c>
      <c r="V114" s="19">
        <v>2010</v>
      </c>
      <c r="W114" s="19">
        <v>2011</v>
      </c>
      <c r="X114" s="19">
        <v>2012</v>
      </c>
      <c r="Y114" s="19">
        <v>2013</v>
      </c>
      <c r="Z114" s="19">
        <v>2014</v>
      </c>
      <c r="AA114" s="19">
        <v>2015</v>
      </c>
      <c r="AB114" s="19">
        <v>2016</v>
      </c>
      <c r="AC114" s="19">
        <v>2017</v>
      </c>
      <c r="AD114" s="19">
        <v>2018</v>
      </c>
      <c r="AE114" s="19">
        <v>2019</v>
      </c>
      <c r="AF114" s="19">
        <v>2020</v>
      </c>
      <c r="AG114" s="19">
        <v>2021</v>
      </c>
    </row>
    <row r="115" spans="1:36" ht="24.75" customHeight="1">
      <c r="A115" s="134" t="s">
        <v>85</v>
      </c>
      <c r="B115" s="7">
        <v>306.10000000000002</v>
      </c>
      <c r="C115" s="7">
        <v>308.7</v>
      </c>
      <c r="D115" s="7">
        <v>323.7</v>
      </c>
      <c r="E115" s="7">
        <v>311.3</v>
      </c>
      <c r="F115" s="7">
        <v>381.5</v>
      </c>
      <c r="G115" s="7">
        <v>334</v>
      </c>
      <c r="H115" s="7">
        <v>236.68100000000001</v>
      </c>
      <c r="I115" s="7">
        <v>161.19999999999999</v>
      </c>
      <c r="J115" s="7">
        <v>191.3</v>
      </c>
      <c r="K115" s="7">
        <v>258.5</v>
      </c>
      <c r="L115" s="7">
        <v>290.3</v>
      </c>
      <c r="M115" s="7">
        <v>342.8</v>
      </c>
      <c r="N115" s="7">
        <v>373.1</v>
      </c>
      <c r="O115" s="7">
        <v>382.6</v>
      </c>
      <c r="P115" s="7">
        <v>365.15</v>
      </c>
      <c r="Q115" s="7">
        <v>367.45</v>
      </c>
      <c r="R115" s="7">
        <v>312.8</v>
      </c>
      <c r="S115" s="7">
        <v>307.88</v>
      </c>
      <c r="T115" s="7">
        <v>251.43</v>
      </c>
      <c r="U115" s="7">
        <v>352</v>
      </c>
      <c r="V115" s="7">
        <v>374.8</v>
      </c>
      <c r="W115" s="7">
        <v>374.7</v>
      </c>
      <c r="X115" s="7">
        <v>393.9</v>
      </c>
      <c r="Y115" s="7">
        <v>442</v>
      </c>
      <c r="Z115" s="7">
        <v>458.5</v>
      </c>
      <c r="AA115" s="7">
        <v>453.3</v>
      </c>
      <c r="AB115" s="7">
        <v>425.7</v>
      </c>
      <c r="AC115" s="7">
        <v>417.1</v>
      </c>
      <c r="AD115" s="7">
        <v>427.66962100000001</v>
      </c>
      <c r="AE115" s="7">
        <v>425.33282300000002</v>
      </c>
      <c r="AF115" s="7">
        <v>435.80674000000005</v>
      </c>
      <c r="AG115" s="7">
        <v>445.58207000000004</v>
      </c>
    </row>
    <row r="116" spans="1:36">
      <c r="A116" s="6" t="s">
        <v>40</v>
      </c>
      <c r="B116" s="7">
        <v>54.74</v>
      </c>
      <c r="C116" s="7">
        <v>64.78</v>
      </c>
      <c r="D116" s="7">
        <v>67.816000000000003</v>
      </c>
      <c r="E116" s="7">
        <v>71.619</v>
      </c>
      <c r="F116" s="7">
        <v>90.899500000000003</v>
      </c>
      <c r="G116" s="7">
        <v>80.99839999999999</v>
      </c>
      <c r="H116" s="7">
        <v>72.589699999999993</v>
      </c>
      <c r="I116" s="7">
        <v>19.314900000000002</v>
      </c>
      <c r="J116" s="7">
        <v>20.9191</v>
      </c>
      <c r="K116" s="7">
        <v>31</v>
      </c>
      <c r="L116" s="7">
        <v>24.2852</v>
      </c>
      <c r="M116" s="7">
        <v>27.302</v>
      </c>
      <c r="N116" s="7">
        <v>36.979999999999997</v>
      </c>
      <c r="O116" s="7">
        <v>37.1004</v>
      </c>
      <c r="P116" s="7">
        <v>38</v>
      </c>
      <c r="Q116" s="98">
        <v>40.031400000000005</v>
      </c>
      <c r="R116" s="99">
        <v>23.95</v>
      </c>
      <c r="S116" s="98">
        <v>22.7089</v>
      </c>
      <c r="T116" s="99">
        <v>15.816700000000001</v>
      </c>
      <c r="U116" s="98">
        <v>25.262499999999999</v>
      </c>
      <c r="V116" s="96">
        <v>28.539560000000002</v>
      </c>
      <c r="W116" s="101">
        <v>30.0215</v>
      </c>
      <c r="X116" s="98">
        <v>31.8367</v>
      </c>
      <c r="Y116" s="98">
        <v>34.084699999999998</v>
      </c>
      <c r="Z116" s="98">
        <v>29.215</v>
      </c>
      <c r="AA116" s="98">
        <v>34.67568</v>
      </c>
      <c r="AB116" s="84">
        <v>32.042722999999995</v>
      </c>
      <c r="AC116" s="84">
        <v>29.980197999999998</v>
      </c>
      <c r="AD116" s="84">
        <v>30.15888</v>
      </c>
      <c r="AE116" s="84">
        <v>32.344915</v>
      </c>
      <c r="AF116" s="83">
        <v>33.877840999999997</v>
      </c>
      <c r="AG116" s="84">
        <v>34.581209999999999</v>
      </c>
      <c r="AI116" s="84"/>
      <c r="AJ116" s="11"/>
    </row>
    <row r="117" spans="1:36">
      <c r="A117" s="6" t="s">
        <v>41</v>
      </c>
      <c r="B117" s="7">
        <v>15.243759335417597</v>
      </c>
      <c r="C117" s="7">
        <v>21.550999999999998</v>
      </c>
      <c r="D117" s="7">
        <v>25.712299999999999</v>
      </c>
      <c r="E117" s="7">
        <v>17.393599999999999</v>
      </c>
      <c r="F117" s="7">
        <v>11.612949809736488</v>
      </c>
      <c r="G117" s="7">
        <v>10.6195</v>
      </c>
      <c r="H117" s="7">
        <v>8.107800000000001</v>
      </c>
      <c r="I117" s="7">
        <v>50.5991</v>
      </c>
      <c r="J117" s="7">
        <v>50.857599999999998</v>
      </c>
      <c r="K117" s="7">
        <v>53.000300000000003</v>
      </c>
      <c r="L117" s="7">
        <v>54.671999999999997</v>
      </c>
      <c r="M117" s="7">
        <v>55.58</v>
      </c>
      <c r="N117" s="7">
        <v>56.52</v>
      </c>
      <c r="O117" s="7">
        <v>51.334199999999996</v>
      </c>
      <c r="P117" s="7">
        <v>48.59</v>
      </c>
      <c r="Q117" s="99">
        <v>49.295000000000002</v>
      </c>
      <c r="R117" s="98">
        <v>41.301900000000003</v>
      </c>
      <c r="S117" s="99">
        <v>41.798999999999999</v>
      </c>
      <c r="T117" s="98">
        <v>39.378800000000005</v>
      </c>
      <c r="U117" s="98">
        <v>45.73</v>
      </c>
      <c r="V117" s="96">
        <v>49.577449999999999</v>
      </c>
      <c r="W117" s="101">
        <v>52.079699999999995</v>
      </c>
      <c r="X117" s="98">
        <v>54.851399999999998</v>
      </c>
      <c r="Y117" s="98">
        <v>55.578400000000002</v>
      </c>
      <c r="Z117" s="98">
        <v>58.619099999999996</v>
      </c>
      <c r="AA117" s="98">
        <v>61.44623</v>
      </c>
      <c r="AB117" s="84">
        <v>53.189931999999992</v>
      </c>
      <c r="AC117" s="84">
        <v>54.479464</v>
      </c>
      <c r="AD117" s="84">
        <v>59.520949999999999</v>
      </c>
      <c r="AE117" s="84">
        <v>53.997280000000003</v>
      </c>
      <c r="AF117" s="83">
        <v>54.530919999999995</v>
      </c>
      <c r="AG117" s="84">
        <v>63.326503000000002</v>
      </c>
      <c r="AI117" s="84"/>
      <c r="AJ117" s="11"/>
    </row>
    <row r="118" spans="1:36">
      <c r="A118" s="6" t="s">
        <v>42</v>
      </c>
      <c r="B118" s="7">
        <v>11.236000000000001</v>
      </c>
      <c r="C118" s="7">
        <v>10.199999999999999</v>
      </c>
      <c r="D118" s="7">
        <v>10.598000000000001</v>
      </c>
      <c r="E118" s="7">
        <v>15.755000000000001</v>
      </c>
      <c r="F118" s="7">
        <v>9.242647753461366</v>
      </c>
      <c r="G118" s="7">
        <v>8.6466000000000012</v>
      </c>
      <c r="H118" s="7">
        <v>6.5161000000000007</v>
      </c>
      <c r="I118" s="7">
        <v>8.4120000000000008</v>
      </c>
      <c r="J118" s="7">
        <v>10.151399999999999</v>
      </c>
      <c r="K118" s="7">
        <v>22.24</v>
      </c>
      <c r="L118" s="7">
        <v>15.605499999999999</v>
      </c>
      <c r="M118" s="7">
        <v>17.706</v>
      </c>
      <c r="N118" s="7">
        <v>17.3</v>
      </c>
      <c r="O118" s="7">
        <v>19.0105</v>
      </c>
      <c r="P118" s="7">
        <v>21.6</v>
      </c>
      <c r="Q118" s="98">
        <v>21.95</v>
      </c>
      <c r="R118" s="98">
        <v>12.063499999999999</v>
      </c>
      <c r="S118" s="98">
        <v>12.2</v>
      </c>
      <c r="T118" s="98">
        <v>10.7056</v>
      </c>
      <c r="U118" s="98">
        <v>11.952999999999999</v>
      </c>
      <c r="V118" s="96">
        <v>13.411530000000001</v>
      </c>
      <c r="W118" s="101">
        <v>15.429500000000001</v>
      </c>
      <c r="X118" s="98">
        <v>18.5153</v>
      </c>
      <c r="Y118" s="98">
        <v>22.823</v>
      </c>
      <c r="Z118" s="98">
        <v>24.730799999999999</v>
      </c>
      <c r="AA118" s="98">
        <v>28.137090000000001</v>
      </c>
      <c r="AB118" s="84">
        <v>27.578490000000002</v>
      </c>
      <c r="AC118" s="84">
        <v>27.359254999999997</v>
      </c>
      <c r="AD118" s="84">
        <v>26.974052</v>
      </c>
      <c r="AE118" s="84">
        <v>26.6433</v>
      </c>
      <c r="AF118" s="83">
        <v>27.767700000000001</v>
      </c>
      <c r="AG118" s="84">
        <v>28.081099999999999</v>
      </c>
      <c r="AI118" s="84"/>
      <c r="AJ118" s="11"/>
    </row>
    <row r="119" spans="1:36" ht="12.75" customHeight="1">
      <c r="A119" s="6" t="s">
        <v>43</v>
      </c>
      <c r="B119" s="7">
        <v>0.55049999999999999</v>
      </c>
      <c r="C119" s="7">
        <v>0.55049999999999999</v>
      </c>
      <c r="D119" s="7">
        <v>0.55000000000000004</v>
      </c>
      <c r="E119" s="7">
        <v>0.60329999999999995</v>
      </c>
      <c r="F119" s="7">
        <v>0.90429999999999999</v>
      </c>
      <c r="G119" s="7">
        <v>0.81</v>
      </c>
      <c r="H119" s="7">
        <v>0.72</v>
      </c>
      <c r="I119" s="7">
        <v>0.56699999999999995</v>
      </c>
      <c r="J119" s="7">
        <v>0.71399999999999997</v>
      </c>
      <c r="K119" s="7">
        <v>1.6519999999999999</v>
      </c>
      <c r="L119" s="7">
        <v>1.3049999999999999</v>
      </c>
      <c r="M119" s="7">
        <v>1.98</v>
      </c>
      <c r="N119" s="7">
        <v>1.1499999999999999</v>
      </c>
      <c r="O119" s="7">
        <v>1.1662000000000001</v>
      </c>
      <c r="P119" s="7">
        <v>1.6710999999999998</v>
      </c>
      <c r="Q119" s="98">
        <v>1.804</v>
      </c>
      <c r="R119" s="98">
        <v>2.4298999999999999</v>
      </c>
      <c r="S119" s="98">
        <v>1.1185999999999998</v>
      </c>
      <c r="T119" s="98">
        <v>1.8947000000000001</v>
      </c>
      <c r="U119" s="98">
        <v>1.9704999999999999</v>
      </c>
      <c r="V119" s="96">
        <v>1.98048</v>
      </c>
      <c r="W119" s="101">
        <v>1.9737</v>
      </c>
      <c r="X119" s="98">
        <v>2.1379000000000001</v>
      </c>
      <c r="Y119" s="98">
        <v>2.1141000000000001</v>
      </c>
      <c r="Z119" s="98">
        <v>2.0489999999999999</v>
      </c>
      <c r="AA119" s="98">
        <v>2.0017100000000001</v>
      </c>
      <c r="AB119" s="84">
        <v>1.9767139999999999</v>
      </c>
      <c r="AC119" s="84">
        <v>2.0042709999999997</v>
      </c>
      <c r="AD119" s="84">
        <v>2.0258750000000001</v>
      </c>
      <c r="AE119" s="84">
        <v>2.0312399999999999</v>
      </c>
      <c r="AF119" s="83">
        <v>2.0660400000000001</v>
      </c>
      <c r="AG119" s="84">
        <v>2.09605</v>
      </c>
      <c r="AI119" s="84"/>
      <c r="AJ119" s="11"/>
    </row>
    <row r="120" spans="1:36">
      <c r="A120" s="6" t="s">
        <v>44</v>
      </c>
      <c r="B120" s="7">
        <v>7.3548476998660003E-2</v>
      </c>
      <c r="C120" s="7">
        <v>7.6948476998660115E-2</v>
      </c>
      <c r="D120" s="7">
        <v>0.13980000000000001</v>
      </c>
      <c r="E120" s="7">
        <v>9.2599999999999988E-2</v>
      </c>
      <c r="F120" s="7">
        <v>3.9643313979455114E-2</v>
      </c>
      <c r="G120" s="7">
        <v>3.5000000000000003E-2</v>
      </c>
      <c r="H120" s="7">
        <v>2.4E-2</v>
      </c>
      <c r="I120" s="7">
        <v>0.42</v>
      </c>
      <c r="J120" s="7">
        <v>0.77</v>
      </c>
      <c r="K120" s="7">
        <v>0.55200000000000005</v>
      </c>
      <c r="L120" s="7">
        <v>0.65</v>
      </c>
      <c r="M120" s="7">
        <v>1.25</v>
      </c>
      <c r="N120" s="7">
        <v>1.4279999999999999</v>
      </c>
      <c r="O120" s="7">
        <v>1.6</v>
      </c>
      <c r="P120" s="7">
        <v>0.76049999999999995</v>
      </c>
      <c r="Q120" s="98">
        <v>0.82699999999999996</v>
      </c>
      <c r="R120" s="98">
        <v>0.18680000000000002</v>
      </c>
      <c r="S120" s="98">
        <v>0.18090000000000001</v>
      </c>
      <c r="T120" s="98">
        <v>0.2019</v>
      </c>
      <c r="U120" s="98">
        <v>1.3940999999999999</v>
      </c>
      <c r="V120" s="96">
        <v>0.87929999999999997</v>
      </c>
      <c r="W120" s="101">
        <v>0.90600000000000003</v>
      </c>
      <c r="X120" s="98">
        <v>1.0242</v>
      </c>
      <c r="Y120" s="98">
        <v>0.79010000000000002</v>
      </c>
      <c r="Z120" s="98">
        <v>0.76379999999999992</v>
      </c>
      <c r="AA120" s="98">
        <v>0.76839999999999997</v>
      </c>
      <c r="AB120" s="84">
        <v>0.76688000000000001</v>
      </c>
      <c r="AC120" s="84">
        <v>0.76193500000000003</v>
      </c>
      <c r="AD120" s="84">
        <v>0.76200000000000001</v>
      </c>
      <c r="AE120" s="84">
        <v>0.65008999999999995</v>
      </c>
      <c r="AF120" s="83">
        <v>0.64931300000000003</v>
      </c>
      <c r="AG120" s="84">
        <v>0.65559999999999996</v>
      </c>
      <c r="AI120" s="84"/>
      <c r="AJ120" s="11"/>
    </row>
    <row r="121" spans="1:36">
      <c r="A121" s="6" t="s">
        <v>45</v>
      </c>
      <c r="B121" s="7">
        <v>2.39193141759714</v>
      </c>
      <c r="C121" s="7">
        <v>2.7864314175971416</v>
      </c>
      <c r="D121" s="7">
        <v>2.7155</v>
      </c>
      <c r="E121" s="7">
        <v>2.7309999999999999</v>
      </c>
      <c r="F121" s="7">
        <v>3.7572617364895042</v>
      </c>
      <c r="G121" s="7">
        <v>3.5003000000000002</v>
      </c>
      <c r="H121" s="7">
        <v>2.9619</v>
      </c>
      <c r="I121" s="7">
        <v>3.44</v>
      </c>
      <c r="J121" s="7">
        <v>3.49</v>
      </c>
      <c r="K121" s="7">
        <v>3.4780000000000002</v>
      </c>
      <c r="L121" s="7">
        <v>5.28</v>
      </c>
      <c r="M121" s="7">
        <v>3.5</v>
      </c>
      <c r="N121" s="7">
        <v>10.5</v>
      </c>
      <c r="O121" s="7">
        <v>12</v>
      </c>
      <c r="P121" s="7">
        <v>5.6</v>
      </c>
      <c r="Q121" s="98">
        <v>5.6</v>
      </c>
      <c r="R121" s="98">
        <v>2.1985999999999999</v>
      </c>
      <c r="S121" s="98">
        <v>2.7734999999999999</v>
      </c>
      <c r="T121" s="98">
        <v>2.8209</v>
      </c>
      <c r="U121" s="98">
        <v>4.3620000000000001</v>
      </c>
      <c r="V121" s="96">
        <v>5.7179200000000003</v>
      </c>
      <c r="W121" s="101">
        <v>7.76</v>
      </c>
      <c r="X121" s="98">
        <v>10.3126</v>
      </c>
      <c r="Y121" s="98">
        <v>10.491700000000002</v>
      </c>
      <c r="Z121" s="98">
        <v>9.6865000000000006</v>
      </c>
      <c r="AA121" s="98">
        <v>9.1255900000000008</v>
      </c>
      <c r="AB121" s="84">
        <v>4.7898040000000002</v>
      </c>
      <c r="AC121" s="84">
        <v>5.353828</v>
      </c>
      <c r="AD121" s="84">
        <v>6.7265059999999997</v>
      </c>
      <c r="AE121" s="84">
        <v>7.0063000000000004</v>
      </c>
      <c r="AF121" s="83">
        <v>7.2037399999999998</v>
      </c>
      <c r="AG121" s="84">
        <v>4.6539999999999999</v>
      </c>
      <c r="AI121" s="84"/>
      <c r="AJ121" s="11"/>
    </row>
    <row r="122" spans="1:36">
      <c r="A122" s="1" t="s">
        <v>46</v>
      </c>
      <c r="B122" s="7">
        <v>2.4544404269763289</v>
      </c>
      <c r="C122" s="7">
        <v>2.8597404269763294</v>
      </c>
      <c r="D122" s="7">
        <v>2.6623999999999999</v>
      </c>
      <c r="E122" s="7">
        <v>2.7053000000000003</v>
      </c>
      <c r="F122" s="7">
        <v>3.6428398803037072</v>
      </c>
      <c r="G122" s="7">
        <v>3.3004000000000002</v>
      </c>
      <c r="H122" s="7">
        <v>2.4785999999999997</v>
      </c>
      <c r="I122" s="7">
        <v>8.4783999999999988</v>
      </c>
      <c r="J122" s="7">
        <v>5.0096000000000007</v>
      </c>
      <c r="K122" s="7">
        <v>6.0514999999999999</v>
      </c>
      <c r="L122" s="7">
        <v>6.3639999999999999</v>
      </c>
      <c r="M122" s="7">
        <v>8.8699999999999992</v>
      </c>
      <c r="N122" s="7">
        <v>9.07</v>
      </c>
      <c r="O122" s="7">
        <v>13.7013</v>
      </c>
      <c r="P122" s="7">
        <v>7.2396000000000003</v>
      </c>
      <c r="Q122" s="98">
        <v>6.6047000000000002</v>
      </c>
      <c r="R122" s="98">
        <v>4.6818999999999997</v>
      </c>
      <c r="S122" s="98">
        <v>6.9913999999999996</v>
      </c>
      <c r="T122" s="98">
        <v>3.9146000000000001</v>
      </c>
      <c r="U122" s="98">
        <v>8.6951000000000001</v>
      </c>
      <c r="V122" s="96">
        <v>9.2220400000000016</v>
      </c>
      <c r="W122" s="101">
        <v>12.5276</v>
      </c>
      <c r="X122" s="98">
        <v>12.848799999999999</v>
      </c>
      <c r="Y122" s="98">
        <v>15.2684</v>
      </c>
      <c r="Z122" s="98">
        <v>15.408299999999999</v>
      </c>
      <c r="AA122" s="98">
        <v>16.569500000000001</v>
      </c>
      <c r="AB122" s="84">
        <v>17.246300000000002</v>
      </c>
      <c r="AC122" s="84">
        <v>18.991820999999998</v>
      </c>
      <c r="AD122" s="84">
        <v>13.073328</v>
      </c>
      <c r="AE122" s="84">
        <v>10.5877</v>
      </c>
      <c r="AF122" s="83">
        <v>9.9878499999999999</v>
      </c>
      <c r="AG122" s="84">
        <v>12.151249999999999</v>
      </c>
      <c r="AI122" s="84"/>
      <c r="AJ122" s="11"/>
    </row>
    <row r="123" spans="1:36">
      <c r="A123" s="6" t="s">
        <v>47</v>
      </c>
      <c r="B123" s="7">
        <v>25.337700000000002</v>
      </c>
      <c r="C123" s="7">
        <v>22.3247</v>
      </c>
      <c r="D123" s="7">
        <v>28.337499999999999</v>
      </c>
      <c r="E123" s="7">
        <v>12.701000000000001</v>
      </c>
      <c r="F123" s="7">
        <v>8.8535185225547117</v>
      </c>
      <c r="G123" s="7">
        <v>7.8555000000000001</v>
      </c>
      <c r="H123" s="7">
        <v>4.8681000000000001</v>
      </c>
      <c r="I123" s="7">
        <v>0.82499999999999996</v>
      </c>
      <c r="J123" s="7">
        <v>10.02</v>
      </c>
      <c r="K123" s="7">
        <v>8.58</v>
      </c>
      <c r="L123" s="7">
        <v>13</v>
      </c>
      <c r="M123" s="7">
        <v>32.4</v>
      </c>
      <c r="N123" s="7">
        <v>25.591999999999999</v>
      </c>
      <c r="O123" s="7">
        <v>33.591000000000001</v>
      </c>
      <c r="P123" s="7">
        <v>25.6478</v>
      </c>
      <c r="Q123" s="98">
        <v>27.3399</v>
      </c>
      <c r="R123" s="98">
        <v>25.8047</v>
      </c>
      <c r="S123" s="98">
        <v>15.501200000000001</v>
      </c>
      <c r="T123" s="98">
        <v>15.249700000000001</v>
      </c>
      <c r="U123" s="98">
        <v>22.371299999999998</v>
      </c>
      <c r="V123" s="96">
        <v>18.619889999999998</v>
      </c>
      <c r="W123" s="101">
        <v>22.796195000000001</v>
      </c>
      <c r="X123" s="98">
        <v>20.8111</v>
      </c>
      <c r="Y123" s="98">
        <v>19.953400000000002</v>
      </c>
      <c r="Z123" s="98">
        <v>17.703400000000002</v>
      </c>
      <c r="AA123" s="98">
        <v>18.479869999999998</v>
      </c>
      <c r="AB123" s="84">
        <v>14.608110999999999</v>
      </c>
      <c r="AC123" s="84">
        <v>13.237133999999999</v>
      </c>
      <c r="AD123" s="84">
        <v>11.329044999999999</v>
      </c>
      <c r="AE123" s="84">
        <v>10.379977</v>
      </c>
      <c r="AF123" s="83">
        <v>10.29908</v>
      </c>
      <c r="AG123" s="84">
        <v>10.8164</v>
      </c>
      <c r="AI123" s="84"/>
      <c r="AJ123" s="11"/>
    </row>
    <row r="124" spans="1:36">
      <c r="A124" s="6" t="s">
        <v>48</v>
      </c>
      <c r="B124" s="7">
        <v>48.506699999999995</v>
      </c>
      <c r="C124" s="7">
        <v>47.5137</v>
      </c>
      <c r="D124" s="7">
        <v>41.71</v>
      </c>
      <c r="E124" s="7">
        <v>40.301000000000002</v>
      </c>
      <c r="F124" s="7">
        <v>56.259</v>
      </c>
      <c r="G124" s="7">
        <v>54.350300000000004</v>
      </c>
      <c r="H124" s="7">
        <v>31.941700000000001</v>
      </c>
      <c r="I124" s="7">
        <v>13.979299999999999</v>
      </c>
      <c r="J124" s="7">
        <v>10.3064</v>
      </c>
      <c r="K124" s="7">
        <v>16.1785</v>
      </c>
      <c r="L124" s="7">
        <v>22.5672</v>
      </c>
      <c r="M124" s="7">
        <v>24.357700000000001</v>
      </c>
      <c r="N124" s="7">
        <v>27.303099999999997</v>
      </c>
      <c r="O124" s="7">
        <v>26.484200000000001</v>
      </c>
      <c r="P124" s="7">
        <v>25.475999999999999</v>
      </c>
      <c r="Q124" s="98">
        <v>27.279599999999999</v>
      </c>
      <c r="R124" s="98">
        <v>40.195900000000002</v>
      </c>
      <c r="S124" s="98">
        <v>35.029900000000005</v>
      </c>
      <c r="T124" s="98">
        <v>31.043400000000002</v>
      </c>
      <c r="U124" s="98">
        <v>42.218199999999996</v>
      </c>
      <c r="V124" s="96">
        <v>40.550699999999999</v>
      </c>
      <c r="W124" s="101">
        <v>40.283699999999996</v>
      </c>
      <c r="X124" s="98">
        <v>43.082300000000004</v>
      </c>
      <c r="Y124" s="98">
        <v>54.271699999999996</v>
      </c>
      <c r="Z124" s="98">
        <v>59.280099999999997</v>
      </c>
      <c r="AA124" s="98">
        <v>41.089489999999998</v>
      </c>
      <c r="AB124" s="84">
        <v>44.02769</v>
      </c>
      <c r="AC124" s="84">
        <v>44.261715000000002</v>
      </c>
      <c r="AD124" s="84">
        <v>44.919136000000002</v>
      </c>
      <c r="AE124" s="84">
        <v>45.071525999999999</v>
      </c>
      <c r="AF124" s="83">
        <v>46.587716999999998</v>
      </c>
      <c r="AG124" s="84">
        <v>44.217853000000005</v>
      </c>
      <c r="AI124" s="84"/>
      <c r="AJ124" s="11"/>
    </row>
    <row r="125" spans="1:36">
      <c r="A125" s="6" t="s">
        <v>49</v>
      </c>
      <c r="B125" s="7">
        <v>4.3748000000000005</v>
      </c>
      <c r="C125" s="7">
        <v>5.6285292702099152</v>
      </c>
      <c r="D125" s="7">
        <v>8.9996000000000009</v>
      </c>
      <c r="E125" s="7">
        <v>5.1183000000000005</v>
      </c>
      <c r="F125" s="7">
        <v>2.5045354765520318</v>
      </c>
      <c r="G125" s="7">
        <v>2.2999999999999998</v>
      </c>
      <c r="H125" s="7">
        <v>1.6140000000000001</v>
      </c>
      <c r="I125" s="7">
        <v>2.3661999999999996</v>
      </c>
      <c r="J125" s="7">
        <v>3.1150000000000002</v>
      </c>
      <c r="K125" s="7">
        <v>2.7309000000000001</v>
      </c>
      <c r="L125" s="7">
        <v>2.7691999999999997</v>
      </c>
      <c r="M125" s="7">
        <v>5.2095000000000002</v>
      </c>
      <c r="N125" s="7">
        <v>8.0645000000000007</v>
      </c>
      <c r="O125" s="7">
        <v>8.2919999999999998</v>
      </c>
      <c r="P125" s="7">
        <v>8.7569999999999997</v>
      </c>
      <c r="Q125" s="98">
        <v>8.8190000000000008</v>
      </c>
      <c r="R125" s="98">
        <v>3.2241999999999997</v>
      </c>
      <c r="S125" s="98">
        <v>3.51</v>
      </c>
      <c r="T125" s="98">
        <v>3.9</v>
      </c>
      <c r="U125" s="98">
        <v>4.3261000000000003</v>
      </c>
      <c r="V125" s="96">
        <v>5.5350000000000001</v>
      </c>
      <c r="W125" s="101">
        <v>5.6580000000000004</v>
      </c>
      <c r="X125" s="98">
        <v>5.9093999999999998</v>
      </c>
      <c r="Y125" s="98">
        <v>6.0202999999999998</v>
      </c>
      <c r="Z125" s="98">
        <v>8.3234999999999992</v>
      </c>
      <c r="AA125" s="98">
        <v>4.0442999999999998</v>
      </c>
      <c r="AB125" s="84">
        <v>4.947953</v>
      </c>
      <c r="AC125" s="84">
        <v>3.8135330000000001</v>
      </c>
      <c r="AD125" s="84">
        <v>3.4852309999999997</v>
      </c>
      <c r="AE125" s="84">
        <v>3.20987</v>
      </c>
      <c r="AF125" s="83">
        <v>3.242</v>
      </c>
      <c r="AG125" s="84">
        <v>3.2911000000000001</v>
      </c>
      <c r="AI125" s="84"/>
      <c r="AJ125" s="11"/>
    </row>
    <row r="126" spans="1:36">
      <c r="A126" s="6" t="s">
        <v>50</v>
      </c>
      <c r="B126" s="7">
        <v>12.1633</v>
      </c>
      <c r="C126" s="7">
        <v>7.2477312693166596</v>
      </c>
      <c r="D126" s="7">
        <v>12.477</v>
      </c>
      <c r="E126" s="7">
        <v>12.670999999999999</v>
      </c>
      <c r="F126" s="7">
        <v>15.8301</v>
      </c>
      <c r="G126" s="7">
        <v>11.0245</v>
      </c>
      <c r="H126" s="7">
        <v>8.5591000000000008</v>
      </c>
      <c r="I126" s="7">
        <v>5.74</v>
      </c>
      <c r="J126" s="7">
        <v>7.2966999999999995</v>
      </c>
      <c r="K126" s="7">
        <v>15.611000000000001</v>
      </c>
      <c r="L126" s="7">
        <v>15.715</v>
      </c>
      <c r="M126" s="7">
        <v>19.100000000000001</v>
      </c>
      <c r="N126" s="7">
        <v>19.149999999999999</v>
      </c>
      <c r="O126" s="7">
        <v>20.361999999999998</v>
      </c>
      <c r="P126" s="7">
        <v>19.366</v>
      </c>
      <c r="Q126" s="98">
        <v>20.440000000000001</v>
      </c>
      <c r="R126" s="98">
        <v>21.7028</v>
      </c>
      <c r="S126" s="98">
        <v>22.494199999999999</v>
      </c>
      <c r="T126" s="98">
        <v>12.323499999999999</v>
      </c>
      <c r="U126" s="98">
        <v>14.652200000000001</v>
      </c>
      <c r="V126" s="96">
        <v>13.247770000000001</v>
      </c>
      <c r="W126" s="101">
        <v>16.654700000000002</v>
      </c>
      <c r="X126" s="98">
        <v>14.9231</v>
      </c>
      <c r="Y126" s="98">
        <v>20.033200000000001</v>
      </c>
      <c r="Z126" s="98">
        <v>22.359200000000001</v>
      </c>
      <c r="AA126" s="98">
        <v>21.296869999999998</v>
      </c>
      <c r="AB126" s="84">
        <v>20.544841000000002</v>
      </c>
      <c r="AC126" s="84">
        <v>20.648547000000001</v>
      </c>
      <c r="AD126" s="84">
        <v>23.376107000000001</v>
      </c>
      <c r="AE126" s="84">
        <v>23.69295</v>
      </c>
      <c r="AF126" s="83">
        <v>29.319800000000001</v>
      </c>
      <c r="AG126" s="84">
        <v>34.964759999999998</v>
      </c>
      <c r="AI126" s="84"/>
      <c r="AJ126" s="11"/>
    </row>
    <row r="127" spans="1:36">
      <c r="A127" s="6" t="s">
        <v>51</v>
      </c>
      <c r="B127" s="7">
        <v>39.243199999999995</v>
      </c>
      <c r="C127" s="7">
        <v>39.161699999999996</v>
      </c>
      <c r="D127" s="7">
        <v>33.761000000000003</v>
      </c>
      <c r="E127" s="7">
        <v>33.042400000000001</v>
      </c>
      <c r="F127" s="7">
        <v>32.685918040196512</v>
      </c>
      <c r="G127" s="7">
        <v>31.785400000000003</v>
      </c>
      <c r="H127" s="7">
        <v>25.120699999999999</v>
      </c>
      <c r="I127" s="7">
        <v>9.2164999999999999</v>
      </c>
      <c r="J127" s="7">
        <v>22.754099999999998</v>
      </c>
      <c r="K127" s="7">
        <v>24.3917</v>
      </c>
      <c r="L127" s="7">
        <v>23.2988</v>
      </c>
      <c r="M127" s="7">
        <v>24.588000000000001</v>
      </c>
      <c r="N127" s="7">
        <v>31.044700000000002</v>
      </c>
      <c r="O127" s="7">
        <v>29.835999999999999</v>
      </c>
      <c r="P127" s="7">
        <v>28.473800000000001</v>
      </c>
      <c r="Q127" s="98">
        <v>27.064499999999999</v>
      </c>
      <c r="R127" s="98">
        <v>26.255099999999999</v>
      </c>
      <c r="S127" s="98">
        <v>29.428099999999997</v>
      </c>
      <c r="T127" s="98">
        <v>11.332100000000001</v>
      </c>
      <c r="U127" s="98">
        <v>23.090799999999998</v>
      </c>
      <c r="V127" s="96">
        <v>31.1052</v>
      </c>
      <c r="W127" s="98">
        <v>21.252400000000002</v>
      </c>
      <c r="X127" s="98">
        <v>26.943999999999999</v>
      </c>
      <c r="Y127" s="98">
        <v>30.417999999999999</v>
      </c>
      <c r="Z127" s="98">
        <v>34.677</v>
      </c>
      <c r="AA127" s="98">
        <v>31.506130000000002</v>
      </c>
      <c r="AB127" s="84">
        <v>27.359703000000003</v>
      </c>
      <c r="AC127" s="84">
        <v>27.395305</v>
      </c>
      <c r="AD127" s="84">
        <v>28.305520000000001</v>
      </c>
      <c r="AE127" s="84">
        <v>29.720300000000002</v>
      </c>
      <c r="AF127" s="83">
        <v>30.328099999999999</v>
      </c>
      <c r="AG127" s="84">
        <v>30.388300000000001</v>
      </c>
      <c r="AI127" s="84"/>
      <c r="AJ127" s="11"/>
    </row>
    <row r="128" spans="1:36">
      <c r="A128" s="6" t="s">
        <v>52</v>
      </c>
      <c r="B128" s="7">
        <v>3.1522123090665501</v>
      </c>
      <c r="C128" s="7">
        <v>3.1122123090665474</v>
      </c>
      <c r="D128" s="7">
        <v>2.734</v>
      </c>
      <c r="E128" s="7">
        <v>2.89</v>
      </c>
      <c r="F128" s="7">
        <v>5.4255000000000004</v>
      </c>
      <c r="G128" s="7">
        <v>4.2241</v>
      </c>
      <c r="H128" s="7">
        <v>3.3235000000000001</v>
      </c>
      <c r="I128" s="7">
        <v>3.044</v>
      </c>
      <c r="J128" s="7">
        <v>8.56</v>
      </c>
      <c r="K128" s="7">
        <v>7.6763000000000003</v>
      </c>
      <c r="L128" s="7">
        <v>7.6269999999999998</v>
      </c>
      <c r="M128" s="7">
        <v>9.1914999999999996</v>
      </c>
      <c r="N128" s="7">
        <v>11.1874</v>
      </c>
      <c r="O128" s="7">
        <v>11.246499999999999</v>
      </c>
      <c r="P128" s="7">
        <v>11.9064</v>
      </c>
      <c r="Q128" s="98">
        <v>14.4</v>
      </c>
      <c r="R128" s="98">
        <v>15.2134</v>
      </c>
      <c r="S128" s="98">
        <v>16.4071</v>
      </c>
      <c r="T128" s="98">
        <v>8.2252999999999989</v>
      </c>
      <c r="U128" s="98">
        <v>16.9101</v>
      </c>
      <c r="V128" s="96">
        <v>19.552439999999997</v>
      </c>
      <c r="W128" s="101">
        <v>20.686055</v>
      </c>
      <c r="X128" s="98">
        <v>22.620200000000001</v>
      </c>
      <c r="Y128" s="98">
        <v>25.859900000000003</v>
      </c>
      <c r="Z128" s="98">
        <v>25.699200000000001</v>
      </c>
      <c r="AA128" s="98">
        <v>26.449339999999999</v>
      </c>
      <c r="AB128" s="84">
        <v>16.413067000000002</v>
      </c>
      <c r="AC128" s="84">
        <v>16.405166000000001</v>
      </c>
      <c r="AD128" s="84">
        <v>23.703914000000001</v>
      </c>
      <c r="AE128" s="84">
        <v>27.643990000000002</v>
      </c>
      <c r="AF128" s="83">
        <v>27.106400000000001</v>
      </c>
      <c r="AG128" s="84">
        <v>27.064917999999999</v>
      </c>
      <c r="AI128" s="84"/>
      <c r="AJ128" s="11"/>
    </row>
    <row r="129" spans="1:201">
      <c r="A129" s="6" t="s">
        <v>53</v>
      </c>
      <c r="B129" s="7">
        <v>3.4038893488164357</v>
      </c>
      <c r="C129" s="7">
        <v>2.8305893488164355</v>
      </c>
      <c r="D129" s="7">
        <v>2.8525999999999998</v>
      </c>
      <c r="E129" s="7">
        <v>2.6974999999999998</v>
      </c>
      <c r="F129" s="7">
        <v>3.6829100151853504</v>
      </c>
      <c r="G129" s="7">
        <v>3.5926999999999998</v>
      </c>
      <c r="H129" s="7">
        <v>2.9944999999999999</v>
      </c>
      <c r="I129" s="7">
        <v>4.2549999999999999</v>
      </c>
      <c r="J129" s="7">
        <v>5.0999999999999996</v>
      </c>
      <c r="K129" s="7">
        <v>9.2615999999999996</v>
      </c>
      <c r="L129" s="7">
        <v>10.017700000000001</v>
      </c>
      <c r="M129" s="7">
        <v>10.8</v>
      </c>
      <c r="N129" s="7">
        <v>11.2</v>
      </c>
      <c r="O129" s="7">
        <v>12.4</v>
      </c>
      <c r="P129" s="7">
        <v>12.540899999999999</v>
      </c>
      <c r="Q129" s="98">
        <v>11.7624</v>
      </c>
      <c r="R129" s="98">
        <v>9.8160000000000007</v>
      </c>
      <c r="S129" s="98">
        <v>10.461799999999998</v>
      </c>
      <c r="T129" s="98">
        <v>9.8773999999999997</v>
      </c>
      <c r="U129" s="98">
        <v>10.555999999999999</v>
      </c>
      <c r="V129" s="96">
        <v>10.62439</v>
      </c>
      <c r="W129" s="101">
        <v>10.938700000000001</v>
      </c>
      <c r="X129" s="98">
        <v>10.4649</v>
      </c>
      <c r="Y129" s="98">
        <v>10.9686</v>
      </c>
      <c r="Z129" s="98">
        <v>9.9031000000000002</v>
      </c>
      <c r="AA129" s="98">
        <v>8.2528500000000005</v>
      </c>
      <c r="AB129" s="84">
        <v>7.4607600000000005</v>
      </c>
      <c r="AC129" s="84">
        <v>7.447007000000001</v>
      </c>
      <c r="AD129" s="84">
        <v>7.354989999999999</v>
      </c>
      <c r="AE129" s="84">
        <v>6.2039999999999997</v>
      </c>
      <c r="AF129" s="83">
        <v>7.4755000000000003</v>
      </c>
      <c r="AG129" s="84">
        <v>7.3246000000000002</v>
      </c>
      <c r="AI129" s="84"/>
      <c r="AJ129" s="11"/>
    </row>
    <row r="130" spans="1:201">
      <c r="A130" s="6" t="s">
        <v>54</v>
      </c>
      <c r="B130" s="7">
        <v>8.2683999999999997</v>
      </c>
      <c r="C130" s="7">
        <v>2.8554076820008931</v>
      </c>
      <c r="D130" s="7">
        <v>5.8849999999999998</v>
      </c>
      <c r="E130" s="7">
        <v>7.1882999999999999</v>
      </c>
      <c r="F130" s="7">
        <v>9.0797000000000008</v>
      </c>
      <c r="G130" s="7">
        <v>6.3567</v>
      </c>
      <c r="H130" s="7">
        <v>3.3614999999999999</v>
      </c>
      <c r="I130" s="7">
        <v>9.9459999999999997</v>
      </c>
      <c r="J130" s="7">
        <v>4.34</v>
      </c>
      <c r="K130" s="7">
        <v>9.4890000000000008</v>
      </c>
      <c r="L130" s="7">
        <v>12.7667</v>
      </c>
      <c r="M130" s="7">
        <v>19.024000000000001</v>
      </c>
      <c r="N130" s="7">
        <v>24.549299999999999</v>
      </c>
      <c r="O130" s="7">
        <v>26.5167</v>
      </c>
      <c r="P130" s="7">
        <v>26.284599999999998</v>
      </c>
      <c r="Q130" s="98">
        <v>27.268000000000001</v>
      </c>
      <c r="R130" s="98">
        <v>12.285500000000001</v>
      </c>
      <c r="S130" s="98">
        <v>9.0740999999999996</v>
      </c>
      <c r="T130" s="98">
        <v>11.1335</v>
      </c>
      <c r="U130" s="98">
        <v>12.779399999999999</v>
      </c>
      <c r="V130" s="96">
        <v>13.4009</v>
      </c>
      <c r="W130" s="101">
        <v>14.911700000000002</v>
      </c>
      <c r="X130" s="98">
        <v>16.5075</v>
      </c>
      <c r="Y130" s="98">
        <v>20.523199999999999</v>
      </c>
      <c r="Z130" s="98">
        <v>24.010099999999998</v>
      </c>
      <c r="AA130" s="98">
        <v>25.14218</v>
      </c>
      <c r="AB130" s="84">
        <v>30.675380000000001</v>
      </c>
      <c r="AC130" s="84">
        <v>31.439808000000003</v>
      </c>
      <c r="AD130" s="84">
        <v>29.68572</v>
      </c>
      <c r="AE130" s="84">
        <v>32.084400000000002</v>
      </c>
      <c r="AF130" s="83">
        <v>33.485999999999997</v>
      </c>
      <c r="AG130" s="84">
        <v>35.607900000000001</v>
      </c>
      <c r="AI130" s="84"/>
      <c r="AJ130" s="11"/>
    </row>
    <row r="131" spans="1:201">
      <c r="A131" s="6" t="s">
        <v>55</v>
      </c>
      <c r="B131" s="7">
        <v>2.2103388262617201</v>
      </c>
      <c r="C131" s="7">
        <v>2.3413388262617243</v>
      </c>
      <c r="D131" s="7">
        <v>2.5354999999999999</v>
      </c>
      <c r="E131" s="7">
        <v>2.5005999999999999</v>
      </c>
      <c r="F131" s="7">
        <v>3.5707020026797678</v>
      </c>
      <c r="G131" s="7">
        <v>3.2505000000000002</v>
      </c>
      <c r="H131" s="7" t="s">
        <v>10</v>
      </c>
      <c r="I131" s="7">
        <v>0.90360000000000007</v>
      </c>
      <c r="J131" s="7">
        <v>2.8260000000000001</v>
      </c>
      <c r="K131" s="7">
        <v>4.194</v>
      </c>
      <c r="L131" s="7">
        <v>6.3369999999999997</v>
      </c>
      <c r="M131" s="7">
        <v>6.64</v>
      </c>
      <c r="N131" s="7">
        <v>5.1609999999999996</v>
      </c>
      <c r="O131" s="7">
        <v>5.8419999999999996</v>
      </c>
      <c r="P131" s="7">
        <v>4.9643000000000006</v>
      </c>
      <c r="Q131" s="98">
        <v>5.1189999999999998</v>
      </c>
      <c r="R131" s="98">
        <v>4.1856</v>
      </c>
      <c r="S131" s="98">
        <v>5.3088999999999995</v>
      </c>
      <c r="T131" s="98">
        <v>4.4169</v>
      </c>
      <c r="U131" s="98">
        <v>5.3318000000000003</v>
      </c>
      <c r="V131" s="96">
        <v>6.0712999999999999</v>
      </c>
      <c r="W131" s="101">
        <v>6.3087999999999997</v>
      </c>
      <c r="X131" s="98">
        <v>7.7196999999999996</v>
      </c>
      <c r="Y131" s="98">
        <v>6.9431000000000003</v>
      </c>
      <c r="Z131" s="98">
        <v>9.9733999999999998</v>
      </c>
      <c r="AA131" s="98">
        <v>15.363580000000001</v>
      </c>
      <c r="AB131" s="84">
        <v>15.175834</v>
      </c>
      <c r="AC131" s="84">
        <v>12.090699000000001</v>
      </c>
      <c r="AD131" s="84">
        <v>15.448814000000002</v>
      </c>
      <c r="AE131" s="84">
        <v>16.024999999999999</v>
      </c>
      <c r="AF131" s="83">
        <v>13.7745</v>
      </c>
      <c r="AG131" s="84">
        <v>13.9565</v>
      </c>
      <c r="AI131" s="84"/>
      <c r="AJ131" s="11"/>
    </row>
    <row r="132" spans="1:201">
      <c r="A132" s="1" t="s">
        <v>56</v>
      </c>
      <c r="B132" s="8">
        <v>12.3889</v>
      </c>
      <c r="C132" s="8">
        <v>11.476899999999999</v>
      </c>
      <c r="D132" s="8">
        <v>11.474</v>
      </c>
      <c r="E132" s="8">
        <v>16.835999999999999</v>
      </c>
      <c r="F132" s="8">
        <v>24.472000000000001</v>
      </c>
      <c r="G132" s="8">
        <v>20.580299999999998</v>
      </c>
      <c r="H132" s="8">
        <v>7.9633000000000003</v>
      </c>
      <c r="I132" s="8">
        <v>4.8789999999999996</v>
      </c>
      <c r="J132" s="8">
        <v>5.4003000000000005</v>
      </c>
      <c r="K132" s="8">
        <v>7.7220000000000004</v>
      </c>
      <c r="L132" s="8">
        <v>12.901999999999999</v>
      </c>
      <c r="M132" s="8">
        <v>14</v>
      </c>
      <c r="N132" s="8">
        <v>15.11</v>
      </c>
      <c r="O132" s="8">
        <v>15</v>
      </c>
      <c r="P132" s="8">
        <v>15.045</v>
      </c>
      <c r="Q132" s="98">
        <v>12.93</v>
      </c>
      <c r="R132" s="98">
        <v>9.6682000000000006</v>
      </c>
      <c r="S132" s="98">
        <v>10.8232</v>
      </c>
      <c r="T132" s="98">
        <v>10.622200000000001</v>
      </c>
      <c r="U132" s="98">
        <v>15.9955</v>
      </c>
      <c r="V132" s="96">
        <v>18.231300000000001</v>
      </c>
      <c r="W132" s="101">
        <v>16.521999999999998</v>
      </c>
      <c r="X132" s="98">
        <v>14.2066</v>
      </c>
      <c r="Y132" s="98">
        <v>18.1541</v>
      </c>
      <c r="Z132" s="98">
        <v>17.1433</v>
      </c>
      <c r="AA132" s="98">
        <v>18.47392</v>
      </c>
      <c r="AB132" s="84">
        <v>19.612885000000002</v>
      </c>
      <c r="AC132" s="84">
        <v>15.799825</v>
      </c>
      <c r="AD132" s="84">
        <v>14.746182000000001</v>
      </c>
      <c r="AE132" s="84">
        <v>11.999253999999999</v>
      </c>
      <c r="AF132" s="83">
        <v>14.004973999999999</v>
      </c>
      <c r="AG132" s="84">
        <v>10.238321000000001</v>
      </c>
      <c r="AI132" s="84"/>
      <c r="AJ132" s="11"/>
    </row>
    <row r="133" spans="1:201">
      <c r="A133" s="6" t="s">
        <v>57</v>
      </c>
      <c r="B133" s="7">
        <v>4.7166004984368017</v>
      </c>
      <c r="C133" s="7">
        <v>6.0346000000000002</v>
      </c>
      <c r="D133" s="7">
        <v>7.7178000000000004</v>
      </c>
      <c r="E133" s="7">
        <v>9.0061</v>
      </c>
      <c r="F133" s="7">
        <v>5.4845276426976328</v>
      </c>
      <c r="G133" s="7">
        <v>4.4945000000000004</v>
      </c>
      <c r="H133" s="7">
        <v>4.3598999999999997</v>
      </c>
      <c r="I133" s="7">
        <v>7.4527000000000001</v>
      </c>
      <c r="J133" s="7">
        <v>12.5966</v>
      </c>
      <c r="K133" s="7">
        <v>24.495900000000002</v>
      </c>
      <c r="L133" s="7">
        <v>39.146999999999998</v>
      </c>
      <c r="M133" s="7">
        <v>36.715900000000005</v>
      </c>
      <c r="N133" s="7">
        <v>42.060300000000005</v>
      </c>
      <c r="O133" s="7">
        <v>40.051400000000001</v>
      </c>
      <c r="P133" s="7">
        <v>42.715300000000006</v>
      </c>
      <c r="Q133" s="98">
        <v>42.051000000000002</v>
      </c>
      <c r="R133" s="98">
        <v>45.110999999999997</v>
      </c>
      <c r="S133" s="98">
        <v>51.629100000000001</v>
      </c>
      <c r="T133" s="98">
        <v>49.44</v>
      </c>
      <c r="U133" s="98">
        <v>61.1083</v>
      </c>
      <c r="V133" s="96">
        <v>67.098799999999997</v>
      </c>
      <c r="W133" s="101">
        <v>58.183</v>
      </c>
      <c r="X133" s="98">
        <v>59.615400000000001</v>
      </c>
      <c r="Y133" s="98">
        <v>60.8797</v>
      </c>
      <c r="Z133" s="98">
        <v>61.297400000000003</v>
      </c>
      <c r="AA133" s="98">
        <v>62.872699999999995</v>
      </c>
      <c r="AB133" s="84">
        <v>61.716999999999999</v>
      </c>
      <c r="AC133" s="84">
        <v>59.883499999999998</v>
      </c>
      <c r="AD133" s="84">
        <v>60.015869999999993</v>
      </c>
      <c r="AE133" s="84">
        <v>61.834130000000002</v>
      </c>
      <c r="AF133" s="83">
        <v>60.871310000000001</v>
      </c>
      <c r="AG133" s="84">
        <v>60.853999999999999</v>
      </c>
      <c r="AI133" s="84"/>
      <c r="AJ133" s="11"/>
    </row>
    <row r="134" spans="1:201">
      <c r="A134" s="9" t="s">
        <v>58</v>
      </c>
      <c r="B134" s="10">
        <v>55.643800000000006</v>
      </c>
      <c r="C134" s="10">
        <v>55.368000000000002</v>
      </c>
      <c r="D134" s="10">
        <v>55.021999999999998</v>
      </c>
      <c r="E134" s="10">
        <v>55.448</v>
      </c>
      <c r="F134" s="10">
        <v>93.552399999999992</v>
      </c>
      <c r="G134" s="10">
        <v>76.275300000000001</v>
      </c>
      <c r="H134" s="10">
        <v>46.458400000000005</v>
      </c>
      <c r="I134" s="10">
        <v>7.3819999999999997</v>
      </c>
      <c r="J134" s="10">
        <v>7.0359999999999996</v>
      </c>
      <c r="K134" s="10">
        <v>10.17</v>
      </c>
      <c r="L134" s="10">
        <v>15.961</v>
      </c>
      <c r="M134" s="10">
        <v>24.6309</v>
      </c>
      <c r="N134" s="10">
        <v>19.7</v>
      </c>
      <c r="O134" s="10">
        <v>17.105</v>
      </c>
      <c r="P134" s="10">
        <v>20.55</v>
      </c>
      <c r="Q134" s="108">
        <v>16.86</v>
      </c>
      <c r="R134" s="110">
        <v>12.52</v>
      </c>
      <c r="S134" s="108">
        <v>10.4383</v>
      </c>
      <c r="T134" s="108">
        <v>9.1356999999999999</v>
      </c>
      <c r="U134" s="108">
        <v>23.310599999999997</v>
      </c>
      <c r="V134" s="113">
        <v>21.381130000000002</v>
      </c>
      <c r="W134" s="109">
        <v>19.8445</v>
      </c>
      <c r="X134" s="108">
        <v>19.527799999999999</v>
      </c>
      <c r="Y134" s="108">
        <v>26.863499999999998</v>
      </c>
      <c r="Z134" s="108">
        <v>27.6448</v>
      </c>
      <c r="AA134" s="108">
        <v>27.580580000000001</v>
      </c>
      <c r="AB134" s="88">
        <v>25.579546000000001</v>
      </c>
      <c r="AC134" s="88">
        <v>25.727895999999998</v>
      </c>
      <c r="AD134" s="88">
        <v>26.057501000000002</v>
      </c>
      <c r="AE134" s="88">
        <v>24.206601000000003</v>
      </c>
      <c r="AF134" s="87">
        <v>23.22795</v>
      </c>
      <c r="AG134" s="88">
        <v>21.311699999999998</v>
      </c>
      <c r="AI134" s="84"/>
      <c r="AJ134" s="11"/>
    </row>
    <row r="135" spans="1:20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7"/>
      <c r="X135" s="7"/>
      <c r="Y135" s="7"/>
      <c r="Z135" s="11"/>
      <c r="AA135" s="11"/>
      <c r="AB135" s="11"/>
      <c r="AC135" s="11"/>
      <c r="AD135" s="11"/>
      <c r="AE135" s="11"/>
      <c r="AF135" s="11"/>
      <c r="AG135" s="11"/>
      <c r="AJ135" s="11"/>
    </row>
    <row r="136" spans="1:201">
      <c r="A136" s="156" t="s">
        <v>16</v>
      </c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64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6"/>
      <c r="BR136" s="156"/>
      <c r="BS136" s="156"/>
      <c r="BT136" s="156"/>
      <c r="BU136" s="156"/>
      <c r="BV136" s="156"/>
      <c r="BW136" s="156"/>
      <c r="BX136" s="156"/>
      <c r="BY136" s="156"/>
      <c r="BZ136" s="156"/>
      <c r="CA136" s="156"/>
      <c r="CB136" s="156"/>
      <c r="CC136" s="156"/>
      <c r="CD136" s="156"/>
      <c r="CE136" s="156"/>
      <c r="CF136" s="156"/>
      <c r="CG136" s="156"/>
      <c r="CH136" s="156"/>
      <c r="CI136" s="156"/>
      <c r="CJ136" s="156"/>
      <c r="CK136" s="156"/>
      <c r="CL136" s="156"/>
      <c r="CM136" s="156"/>
      <c r="CN136" s="156"/>
      <c r="CO136" s="156"/>
      <c r="CP136" s="156"/>
      <c r="CQ136" s="156"/>
      <c r="CR136" s="156"/>
      <c r="CS136" s="156"/>
      <c r="CT136" s="156"/>
      <c r="CU136" s="156"/>
      <c r="CV136" s="156"/>
      <c r="CW136" s="156"/>
      <c r="CX136" s="156"/>
      <c r="CY136" s="156"/>
      <c r="CZ136" s="156"/>
      <c r="DA136" s="156"/>
      <c r="DB136" s="156"/>
      <c r="DC136" s="156"/>
      <c r="DD136" s="156"/>
      <c r="DE136" s="156"/>
      <c r="DF136" s="156"/>
      <c r="DG136" s="156"/>
      <c r="DH136" s="156"/>
      <c r="DI136" s="156"/>
      <c r="DJ136" s="156"/>
      <c r="DK136" s="156"/>
      <c r="DL136" s="156"/>
      <c r="DM136" s="156"/>
      <c r="DN136" s="156"/>
      <c r="DO136" s="156"/>
      <c r="DP136" s="156"/>
      <c r="DQ136" s="156"/>
      <c r="DR136" s="156"/>
      <c r="DS136" s="156"/>
      <c r="DT136" s="156"/>
      <c r="DU136" s="156"/>
      <c r="DV136" s="156"/>
      <c r="DW136" s="156"/>
      <c r="DX136" s="156"/>
      <c r="DY136" s="156"/>
      <c r="DZ136" s="156"/>
      <c r="EA136" s="156"/>
      <c r="EB136" s="156"/>
      <c r="EC136" s="156"/>
      <c r="ED136" s="156"/>
      <c r="EE136" s="156"/>
      <c r="EF136" s="156"/>
      <c r="EG136" s="156"/>
      <c r="EH136" s="156"/>
      <c r="EI136" s="156"/>
      <c r="EJ136" s="156"/>
      <c r="EK136" s="156"/>
      <c r="EL136" s="156"/>
      <c r="EM136" s="156"/>
      <c r="EN136" s="156"/>
      <c r="EO136" s="156"/>
      <c r="EP136" s="156"/>
      <c r="EQ136" s="156"/>
      <c r="ER136" s="156"/>
      <c r="ES136" s="156"/>
      <c r="ET136" s="156"/>
      <c r="EU136" s="156"/>
      <c r="EV136" s="156"/>
      <c r="EW136" s="156"/>
      <c r="EX136" s="156"/>
      <c r="EY136" s="156"/>
      <c r="EZ136" s="156"/>
      <c r="FA136" s="156"/>
      <c r="FB136" s="156"/>
      <c r="FC136" s="156"/>
      <c r="FD136" s="156"/>
      <c r="FE136" s="156"/>
      <c r="FF136" s="156"/>
      <c r="FG136" s="156"/>
      <c r="FH136" s="156"/>
      <c r="FI136" s="156"/>
      <c r="FJ136" s="156"/>
      <c r="FK136" s="156"/>
      <c r="FL136" s="156"/>
      <c r="FM136" s="156"/>
      <c r="FN136" s="156"/>
      <c r="FO136" s="156"/>
      <c r="FP136" s="156"/>
      <c r="FQ136" s="156"/>
      <c r="FR136" s="156"/>
      <c r="FS136" s="156"/>
      <c r="FT136" s="156"/>
      <c r="FU136" s="156"/>
      <c r="FV136" s="156"/>
      <c r="FW136" s="156"/>
      <c r="FX136" s="156"/>
      <c r="FY136" s="156"/>
      <c r="FZ136" s="156"/>
      <c r="GA136" s="156"/>
      <c r="GB136" s="156"/>
      <c r="GC136" s="156"/>
      <c r="GD136" s="156"/>
      <c r="GE136" s="156"/>
      <c r="GF136" s="156"/>
      <c r="GG136" s="156"/>
      <c r="GH136" s="156"/>
      <c r="GI136" s="156"/>
      <c r="GJ136" s="156"/>
      <c r="GK136" s="156"/>
      <c r="GL136" s="156"/>
      <c r="GM136" s="156"/>
      <c r="GN136" s="156"/>
      <c r="GO136" s="156"/>
      <c r="GP136" s="156"/>
      <c r="GQ136" s="156"/>
      <c r="GR136" s="156"/>
      <c r="GS136" s="156"/>
    </row>
    <row r="137" spans="1:201" ht="38.25" customHeight="1">
      <c r="A137" s="156" t="s">
        <v>39</v>
      </c>
      <c r="B137" s="156"/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65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157"/>
      <c r="BN137" s="157"/>
      <c r="BO137" s="157"/>
      <c r="BP137" s="157"/>
      <c r="BQ137" s="157"/>
      <c r="BR137" s="157"/>
      <c r="BS137" s="157"/>
      <c r="BT137" s="157"/>
      <c r="BU137" s="157"/>
      <c r="BV137" s="157"/>
      <c r="BW137" s="157"/>
      <c r="BX137" s="157"/>
      <c r="BY137" s="157"/>
      <c r="BZ137" s="157"/>
      <c r="CA137" s="157"/>
      <c r="CB137" s="157"/>
      <c r="CC137" s="157"/>
      <c r="CD137" s="157"/>
      <c r="CE137" s="157"/>
      <c r="CF137" s="157"/>
      <c r="CG137" s="157"/>
      <c r="CH137" s="157"/>
      <c r="CI137" s="157"/>
      <c r="CJ137" s="157"/>
      <c r="CK137" s="157"/>
      <c r="CL137" s="157"/>
      <c r="CM137" s="157"/>
      <c r="CN137" s="157"/>
      <c r="CO137" s="157"/>
      <c r="CP137" s="157"/>
      <c r="CQ137" s="157"/>
      <c r="CR137" s="157"/>
      <c r="CS137" s="157"/>
      <c r="CT137" s="157"/>
      <c r="CU137" s="157"/>
      <c r="CV137" s="157"/>
      <c r="CW137" s="157"/>
      <c r="CX137" s="157"/>
      <c r="CY137" s="157"/>
      <c r="CZ137" s="157"/>
      <c r="DA137" s="157"/>
      <c r="DB137" s="157"/>
      <c r="DC137" s="157"/>
      <c r="DD137" s="157"/>
      <c r="DE137" s="157"/>
      <c r="DF137" s="157"/>
      <c r="DG137" s="157"/>
      <c r="DH137" s="157"/>
      <c r="DI137" s="157"/>
      <c r="DJ137" s="157"/>
      <c r="DK137" s="157"/>
      <c r="DL137" s="157"/>
      <c r="DM137" s="157"/>
      <c r="DN137" s="157"/>
      <c r="DO137" s="157"/>
      <c r="DP137" s="157"/>
      <c r="DQ137" s="157"/>
      <c r="DR137" s="157"/>
      <c r="DS137" s="157"/>
      <c r="DT137" s="157"/>
      <c r="DU137" s="157"/>
      <c r="DV137" s="157"/>
      <c r="DW137" s="157"/>
      <c r="DX137" s="157"/>
      <c r="DY137" s="157"/>
      <c r="DZ137" s="157"/>
      <c r="EA137" s="157"/>
      <c r="EB137" s="157"/>
      <c r="EC137" s="157"/>
      <c r="ED137" s="157"/>
      <c r="EE137" s="157"/>
      <c r="EF137" s="157"/>
      <c r="EG137" s="157"/>
      <c r="EH137" s="157"/>
      <c r="EI137" s="157"/>
      <c r="EJ137" s="157"/>
      <c r="EK137" s="157"/>
      <c r="EL137" s="157"/>
      <c r="EM137" s="157"/>
      <c r="EN137" s="157"/>
      <c r="EO137" s="157"/>
      <c r="EP137" s="157"/>
      <c r="EQ137" s="157"/>
      <c r="ER137" s="157"/>
      <c r="ES137" s="157"/>
      <c r="ET137" s="157"/>
      <c r="EU137" s="157"/>
      <c r="EV137" s="157"/>
      <c r="EW137" s="157"/>
      <c r="EX137" s="157"/>
      <c r="EY137" s="157"/>
      <c r="EZ137" s="157"/>
      <c r="FA137" s="157"/>
      <c r="FB137" s="157"/>
      <c r="FC137" s="157"/>
      <c r="FD137" s="157"/>
      <c r="FE137" s="157"/>
      <c r="FF137" s="157"/>
      <c r="FG137" s="157"/>
      <c r="FH137" s="157"/>
      <c r="FI137" s="157"/>
      <c r="FJ137" s="157"/>
      <c r="FK137" s="157"/>
      <c r="FL137" s="157"/>
      <c r="FM137" s="157"/>
      <c r="FN137" s="157"/>
      <c r="FO137" s="157"/>
      <c r="FP137" s="157"/>
      <c r="FQ137" s="157"/>
      <c r="FR137" s="157"/>
      <c r="FS137" s="157"/>
      <c r="FT137" s="157"/>
      <c r="FU137" s="157"/>
      <c r="FV137" s="157"/>
      <c r="FW137" s="157"/>
      <c r="FX137" s="157"/>
      <c r="FY137" s="157"/>
      <c r="FZ137" s="157"/>
      <c r="GA137" s="157"/>
      <c r="GB137" s="157"/>
      <c r="GC137" s="157"/>
      <c r="GD137" s="157"/>
      <c r="GE137" s="157"/>
      <c r="GF137" s="157"/>
      <c r="GG137" s="157"/>
      <c r="GH137" s="157"/>
      <c r="GI137" s="157"/>
      <c r="GJ137" s="157"/>
      <c r="GK137" s="157"/>
      <c r="GL137" s="157"/>
      <c r="GM137" s="157"/>
      <c r="GN137" s="157"/>
      <c r="GO137" s="157"/>
      <c r="GP137" s="157"/>
      <c r="GQ137" s="157"/>
      <c r="GR137" s="157"/>
      <c r="GS137" s="157"/>
    </row>
    <row r="138" spans="1:201">
      <c r="A138" s="156" t="s">
        <v>59</v>
      </c>
      <c r="B138" s="156"/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</row>
    <row r="139" spans="1:201">
      <c r="A139" s="6"/>
    </row>
    <row r="140" spans="1:201">
      <c r="A140" s="6"/>
    </row>
    <row r="141" spans="1:201">
      <c r="A141" s="6"/>
    </row>
    <row r="142" spans="1:201">
      <c r="A142" s="6"/>
    </row>
    <row r="143" spans="1:201">
      <c r="A143" s="6"/>
    </row>
    <row r="144" spans="1:20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</sheetData>
  <mergeCells count="34">
    <mergeCell ref="A138:P138"/>
    <mergeCell ref="EX137:FM137"/>
    <mergeCell ref="BV137:CK137"/>
    <mergeCell ref="CL137:DA137"/>
    <mergeCell ref="DB137:DQ137"/>
    <mergeCell ref="DR137:EG137"/>
    <mergeCell ref="FN137:GC137"/>
    <mergeCell ref="GD137:GS137"/>
    <mergeCell ref="A2:AG2"/>
    <mergeCell ref="A4:AG4"/>
    <mergeCell ref="A29:AG29"/>
    <mergeCell ref="AP137:BE137"/>
    <mergeCell ref="BF137:BU137"/>
    <mergeCell ref="EH137:EW137"/>
    <mergeCell ref="EH136:EW136"/>
    <mergeCell ref="EX136:FM136"/>
    <mergeCell ref="FN136:GC136"/>
    <mergeCell ref="GD136:GS136"/>
    <mergeCell ref="A137:P137"/>
    <mergeCell ref="Q137:AF137"/>
    <mergeCell ref="AH137:AO137"/>
    <mergeCell ref="A56:AG56"/>
    <mergeCell ref="A82:AG82"/>
    <mergeCell ref="A88:AG88"/>
    <mergeCell ref="A112:AG112"/>
    <mergeCell ref="DR136:EG136"/>
    <mergeCell ref="A136:P136"/>
    <mergeCell ref="Q136:AF136"/>
    <mergeCell ref="AH136:AO136"/>
    <mergeCell ref="AP136:BE136"/>
    <mergeCell ref="BF136:BU136"/>
    <mergeCell ref="BV136:CK136"/>
    <mergeCell ref="CL136:DA136"/>
    <mergeCell ref="DB136:DQ136"/>
  </mergeCells>
  <phoneticPr fontId="0" type="noConversion"/>
  <pageMargins left="0.2" right="0.2" top="0.49" bottom="0.56999999999999995" header="0.35" footer="0.41"/>
  <pageSetup paperSize="9" scale="98" orientation="landscape" horizontalDpi="240" verticalDpi="144" r:id="rId1"/>
  <headerFooter alignWithMargins="0"/>
  <rowBreaks count="6" manualBreakCount="6">
    <brk id="27" max="35" man="1"/>
    <brk id="54" max="35" man="1"/>
    <brk id="78" max="35" man="1"/>
    <brk id="80" max="35" man="1"/>
    <brk id="86" max="35" man="1"/>
    <brk id="110" max="35" man="1"/>
  </rowBreaks>
  <colBreaks count="1" manualBreakCount="1">
    <brk id="17" max="27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4EA4-4356-418B-B110-2EF292117EA8}">
  <dimension ref="A1:AG90"/>
  <sheetViews>
    <sheetView workbookViewId="0">
      <selection activeCell="H12" sqref="H12"/>
    </sheetView>
  </sheetViews>
  <sheetFormatPr defaultRowHeight="12.95" customHeight="1"/>
  <cols>
    <col min="1" max="1" width="29.7109375" style="93" customWidth="1"/>
    <col min="2" max="16384" width="9.140625" style="93"/>
  </cols>
  <sheetData>
    <row r="1" spans="1:33" ht="12.95" customHeight="1">
      <c r="A1" s="159" t="s">
        <v>35</v>
      </c>
      <c r="B1" s="159"/>
      <c r="C1" s="159"/>
      <c r="D1" s="159"/>
      <c r="E1" s="159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</row>
    <row r="2" spans="1:33" ht="12.9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ht="12.95" customHeight="1">
      <c r="A3" s="160" t="s">
        <v>13</v>
      </c>
      <c r="B3" s="160"/>
      <c r="C3" s="160"/>
      <c r="D3" s="160"/>
      <c r="E3" s="16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</row>
    <row r="4" spans="1:33" ht="12.95" customHeight="1">
      <c r="E4" s="116" t="s">
        <v>8</v>
      </c>
    </row>
    <row r="5" spans="1:33" ht="12.95" customHeight="1">
      <c r="A5" s="141"/>
      <c r="B5" s="142">
        <v>2022</v>
      </c>
      <c r="C5" s="142">
        <v>2023</v>
      </c>
      <c r="D5" s="142">
        <v>2024</v>
      </c>
      <c r="E5" s="137">
        <v>2025</v>
      </c>
    </row>
    <row r="6" spans="1:33" ht="30.75" customHeight="1">
      <c r="A6" s="126" t="s">
        <v>88</v>
      </c>
      <c r="B6" s="66">
        <v>328.96842000000004</v>
      </c>
      <c r="C6" s="66">
        <v>223.30462999999997</v>
      </c>
      <c r="D6" s="66">
        <v>401.59929</v>
      </c>
      <c r="E6" s="89">
        <v>336.46582000000001</v>
      </c>
      <c r="G6" s="66"/>
      <c r="H6" s="102"/>
    </row>
    <row r="7" spans="1:33" ht="12.95" customHeight="1">
      <c r="A7" s="68" t="s">
        <v>71</v>
      </c>
      <c r="B7" s="66">
        <v>0.9113</v>
      </c>
      <c r="C7" s="66">
        <v>0.42394999999999999</v>
      </c>
      <c r="D7" s="66">
        <v>2.7945000000000002</v>
      </c>
      <c r="E7" s="66">
        <v>1.353</v>
      </c>
      <c r="G7" s="66"/>
      <c r="H7" s="102"/>
    </row>
    <row r="8" spans="1:33" ht="12.95" customHeight="1">
      <c r="A8" s="68" t="s">
        <v>84</v>
      </c>
      <c r="B8" s="66">
        <v>0.86280000000000001</v>
      </c>
      <c r="C8" s="66">
        <v>0.25690000000000002</v>
      </c>
      <c r="D8" s="66">
        <v>0.94158999999999993</v>
      </c>
      <c r="E8" s="66">
        <v>0.1348</v>
      </c>
      <c r="G8" s="66"/>
      <c r="H8" s="102"/>
    </row>
    <row r="9" spans="1:33" ht="12.95" customHeight="1">
      <c r="A9" s="68" t="s">
        <v>83</v>
      </c>
      <c r="B9" s="66">
        <v>100.72848</v>
      </c>
      <c r="C9" s="66">
        <v>63.503160000000001</v>
      </c>
      <c r="D9" s="66">
        <v>111.01281999999999</v>
      </c>
      <c r="E9" s="66">
        <v>90.571100000000001</v>
      </c>
      <c r="G9" s="66"/>
      <c r="H9" s="102"/>
    </row>
    <row r="10" spans="1:33" ht="12.95" customHeight="1">
      <c r="A10" s="68" t="s">
        <v>65</v>
      </c>
      <c r="B10" s="66">
        <v>6.2442000000000002</v>
      </c>
      <c r="C10" s="66">
        <v>5.4916999999999998</v>
      </c>
      <c r="D10" s="66">
        <v>2.7061000000000002</v>
      </c>
      <c r="E10" s="66">
        <v>2.4664000000000001</v>
      </c>
      <c r="G10" s="66"/>
      <c r="H10" s="102"/>
    </row>
    <row r="11" spans="1:33" ht="12.95" customHeight="1">
      <c r="A11" s="68" t="s">
        <v>61</v>
      </c>
      <c r="B11" s="66">
        <v>60.322230000000005</v>
      </c>
      <c r="C11" s="66">
        <v>44.668859999999995</v>
      </c>
      <c r="D11" s="66">
        <v>69.153769999999994</v>
      </c>
      <c r="E11" s="66">
        <v>67.186300000000003</v>
      </c>
      <c r="G11" s="66"/>
      <c r="H11" s="102"/>
    </row>
    <row r="12" spans="1:33" ht="12.95" customHeight="1">
      <c r="A12" s="68" t="s">
        <v>66</v>
      </c>
      <c r="B12" s="66">
        <v>1.1295999999999999</v>
      </c>
      <c r="C12" s="66">
        <v>1.6411</v>
      </c>
      <c r="D12" s="66">
        <v>1.1157999999999999</v>
      </c>
      <c r="E12" s="66">
        <v>0.33633000000000002</v>
      </c>
      <c r="G12" s="66"/>
      <c r="H12" s="102"/>
    </row>
    <row r="13" spans="1:33" ht="12.95" customHeight="1">
      <c r="A13" s="68" t="s">
        <v>82</v>
      </c>
      <c r="B13" s="66">
        <v>26.987829999999999</v>
      </c>
      <c r="C13" s="66">
        <v>27.450700000000001</v>
      </c>
      <c r="D13" s="66">
        <v>0.90400000000000003</v>
      </c>
      <c r="E13" s="66">
        <v>1.2262</v>
      </c>
      <c r="G13" s="66"/>
      <c r="H13" s="102"/>
    </row>
    <row r="14" spans="1:33" ht="12.95" customHeight="1">
      <c r="A14" s="68" t="s">
        <v>69</v>
      </c>
      <c r="B14" s="66">
        <v>0</v>
      </c>
      <c r="C14" s="66">
        <v>0</v>
      </c>
      <c r="D14" s="66">
        <v>0.53010000000000002</v>
      </c>
      <c r="E14" s="66">
        <v>0.47199999999999998</v>
      </c>
      <c r="G14" s="66"/>
      <c r="H14" s="102"/>
    </row>
    <row r="15" spans="1:33" ht="12.95" customHeight="1">
      <c r="A15" s="68" t="s">
        <v>63</v>
      </c>
      <c r="B15" s="66">
        <v>29.366379999999999</v>
      </c>
      <c r="C15" s="66">
        <v>13.35966</v>
      </c>
      <c r="D15" s="66">
        <v>25.968800000000002</v>
      </c>
      <c r="E15" s="66">
        <v>19.323599999999999</v>
      </c>
      <c r="G15" s="66"/>
      <c r="H15" s="102"/>
    </row>
    <row r="16" spans="1:33" ht="12.95" customHeight="1">
      <c r="A16" s="68" t="s">
        <v>81</v>
      </c>
      <c r="B16" s="66">
        <v>0.48749999999999999</v>
      </c>
      <c r="C16" s="66">
        <v>0.53439999999999999</v>
      </c>
      <c r="D16" s="66">
        <v>0.1134</v>
      </c>
      <c r="E16" s="66">
        <v>0.16385</v>
      </c>
      <c r="G16" s="66"/>
      <c r="H16" s="102"/>
    </row>
    <row r="17" spans="1:8" ht="12.95" customHeight="1">
      <c r="A17" s="68" t="s">
        <v>80</v>
      </c>
      <c r="B17" s="66">
        <v>22.435300000000002</v>
      </c>
      <c r="C17" s="66">
        <v>18.153400000000001</v>
      </c>
      <c r="D17" s="66">
        <v>38.575049999999997</v>
      </c>
      <c r="E17" s="66">
        <v>30.222820000000002</v>
      </c>
      <c r="G17" s="66"/>
      <c r="H17" s="102"/>
    </row>
    <row r="18" spans="1:8" ht="12.95" customHeight="1">
      <c r="A18" s="68" t="s">
        <v>70</v>
      </c>
      <c r="B18" s="66">
        <v>0</v>
      </c>
      <c r="C18" s="66">
        <v>0</v>
      </c>
      <c r="D18" s="66">
        <v>47.774000000000001</v>
      </c>
      <c r="E18" s="66">
        <v>36.824359999999999</v>
      </c>
      <c r="G18" s="66"/>
      <c r="H18" s="102"/>
    </row>
    <row r="19" spans="1:8" ht="12.95" customHeight="1">
      <c r="A19" s="79" t="s">
        <v>58</v>
      </c>
      <c r="B19" s="70">
        <v>79.492800000000003</v>
      </c>
      <c r="C19" s="70">
        <v>47.820799999999998</v>
      </c>
      <c r="D19" s="70">
        <v>100.00936</v>
      </c>
      <c r="E19" s="70">
        <v>86.185069999999996</v>
      </c>
      <c r="G19" s="66"/>
      <c r="H19" s="102"/>
    </row>
    <row r="22" spans="1:8" ht="12.75">
      <c r="A22" s="151" t="s">
        <v>5</v>
      </c>
      <c r="B22" s="151"/>
      <c r="C22" s="151"/>
      <c r="E22" s="96"/>
    </row>
    <row r="23" spans="1:8" ht="11.25">
      <c r="A23" s="143"/>
      <c r="B23" s="128"/>
      <c r="C23" s="128"/>
      <c r="E23" s="116" t="s">
        <v>8</v>
      </c>
    </row>
    <row r="24" spans="1:8" ht="11.25">
      <c r="A24" s="144"/>
      <c r="B24" s="142">
        <v>2022</v>
      </c>
      <c r="C24" s="142">
        <v>2023</v>
      </c>
      <c r="D24" s="142">
        <v>2024</v>
      </c>
      <c r="E24" s="137">
        <v>2025</v>
      </c>
    </row>
    <row r="25" spans="1:8" ht="22.5">
      <c r="A25" s="126" t="s">
        <v>88</v>
      </c>
      <c r="B25" s="66">
        <v>137.26894999999999</v>
      </c>
      <c r="C25" s="66">
        <v>113.77756000000001</v>
      </c>
      <c r="D25" s="66">
        <v>124.09844</v>
      </c>
      <c r="E25" s="102">
        <v>130.52868000000001</v>
      </c>
      <c r="G25" s="66"/>
      <c r="H25" s="102"/>
    </row>
    <row r="26" spans="1:8" ht="11.25">
      <c r="A26" s="68" t="s">
        <v>71</v>
      </c>
      <c r="B26" s="66">
        <v>1.39347</v>
      </c>
      <c r="C26" s="66">
        <v>0.65278999999999998</v>
      </c>
      <c r="D26" s="66">
        <v>0.89770000000000005</v>
      </c>
      <c r="E26" s="102">
        <v>0.88456000000000001</v>
      </c>
      <c r="G26" s="66"/>
      <c r="H26" s="102"/>
    </row>
    <row r="27" spans="1:8" ht="11.25">
      <c r="A27" s="68" t="s">
        <v>84</v>
      </c>
      <c r="B27" s="66">
        <v>0.91420000000000001</v>
      </c>
      <c r="C27" s="66">
        <v>0.71479999999999999</v>
      </c>
      <c r="D27" s="66">
        <v>0.89576</v>
      </c>
      <c r="E27" s="102">
        <v>0.76083000000000001</v>
      </c>
      <c r="G27" s="66"/>
      <c r="H27" s="102"/>
    </row>
    <row r="28" spans="1:8" ht="11.25">
      <c r="A28" s="68" t="s">
        <v>83</v>
      </c>
      <c r="B28" s="66">
        <v>38.349719999999998</v>
      </c>
      <c r="C28" s="66">
        <v>31.332820000000002</v>
      </c>
      <c r="D28" s="66">
        <v>45.969949999999997</v>
      </c>
      <c r="E28" s="102">
        <v>49.820340000000002</v>
      </c>
      <c r="G28" s="66"/>
      <c r="H28" s="102"/>
    </row>
    <row r="29" spans="1:8" ht="11.25">
      <c r="A29" s="68" t="s">
        <v>65</v>
      </c>
      <c r="B29" s="66">
        <v>0.67310000000000003</v>
      </c>
      <c r="C29" s="66">
        <v>1.7643</v>
      </c>
      <c r="D29" s="66">
        <v>0.51480000000000004</v>
      </c>
      <c r="E29" s="102">
        <v>0.72189999999999999</v>
      </c>
      <c r="G29" s="66"/>
      <c r="H29" s="102"/>
    </row>
    <row r="30" spans="1:8" ht="11.25">
      <c r="A30" s="68" t="s">
        <v>61</v>
      </c>
      <c r="B30" s="66">
        <v>29.195699999999999</v>
      </c>
      <c r="C30" s="66">
        <v>24.678739999999998</v>
      </c>
      <c r="D30" s="66">
        <v>12.138310000000001</v>
      </c>
      <c r="E30" s="102">
        <v>15.270320000000002</v>
      </c>
      <c r="G30" s="66"/>
      <c r="H30" s="102"/>
    </row>
    <row r="31" spans="1:8" ht="11.25">
      <c r="A31" s="68" t="s">
        <v>66</v>
      </c>
      <c r="B31" s="66">
        <v>1.7249000000000001</v>
      </c>
      <c r="C31" s="66">
        <v>2.0909</v>
      </c>
      <c r="D31" s="66">
        <v>0.87190000000000001</v>
      </c>
      <c r="E31" s="102">
        <v>0.54</v>
      </c>
      <c r="G31" s="66"/>
      <c r="H31" s="102"/>
    </row>
    <row r="32" spans="1:8" ht="11.25">
      <c r="A32" s="68" t="s">
        <v>82</v>
      </c>
      <c r="B32" s="66">
        <v>14.118</v>
      </c>
      <c r="C32" s="66">
        <v>14.1557</v>
      </c>
      <c r="D32" s="66">
        <v>1.202</v>
      </c>
      <c r="E32" s="102">
        <v>0.13299</v>
      </c>
      <c r="G32" s="66"/>
      <c r="H32" s="102"/>
    </row>
    <row r="33" spans="1:8" ht="11.25">
      <c r="A33" s="68" t="s">
        <v>73</v>
      </c>
      <c r="B33" s="66">
        <v>0</v>
      </c>
      <c r="C33" s="66">
        <v>0</v>
      </c>
      <c r="D33" s="66">
        <v>0.30709999999999998</v>
      </c>
      <c r="E33" s="102">
        <v>0.34920000000000001</v>
      </c>
      <c r="G33" s="66"/>
      <c r="H33" s="102"/>
    </row>
    <row r="34" spans="1:8" ht="11.25">
      <c r="A34" s="68" t="s">
        <v>63</v>
      </c>
      <c r="B34" s="66">
        <v>4.5461599999999995</v>
      </c>
      <c r="C34" s="66">
        <v>2.2188099999999999</v>
      </c>
      <c r="D34" s="66">
        <v>4.5961999999999996</v>
      </c>
      <c r="E34" s="102">
        <v>4.1028000000000002</v>
      </c>
      <c r="G34" s="66"/>
      <c r="H34" s="102"/>
    </row>
    <row r="35" spans="1:8" ht="11.25">
      <c r="A35" s="68" t="s">
        <v>81</v>
      </c>
      <c r="B35" s="66">
        <v>0.41449999999999998</v>
      </c>
      <c r="C35" s="66">
        <v>0.24679999999999999</v>
      </c>
      <c r="D35" s="66">
        <v>9.0399999999999994E-2</v>
      </c>
      <c r="E35" s="102">
        <v>7.7280000000000001E-2</v>
      </c>
      <c r="G35" s="66"/>
      <c r="H35" s="102"/>
    </row>
    <row r="36" spans="1:8" ht="11.25">
      <c r="A36" s="68" t="s">
        <v>80</v>
      </c>
      <c r="B36" s="66">
        <v>8.7856000000000005</v>
      </c>
      <c r="C36" s="66">
        <v>6.3182</v>
      </c>
      <c r="D36" s="66">
        <v>11.566800000000001</v>
      </c>
      <c r="E36" s="102">
        <v>7.7774000000000001</v>
      </c>
      <c r="G36" s="66"/>
      <c r="H36" s="102"/>
    </row>
    <row r="37" spans="1:8" ht="11.25">
      <c r="A37" s="68" t="s">
        <v>74</v>
      </c>
      <c r="B37" s="66">
        <v>0</v>
      </c>
      <c r="C37" s="66">
        <v>0</v>
      </c>
      <c r="D37" s="66">
        <v>9.0751799999999996</v>
      </c>
      <c r="E37" s="102">
        <v>11.204700000000001</v>
      </c>
      <c r="G37" s="66"/>
      <c r="H37" s="102"/>
    </row>
    <row r="38" spans="1:8" ht="11.25">
      <c r="A38" s="79" t="s">
        <v>58</v>
      </c>
      <c r="B38" s="70">
        <v>37.153599999999997</v>
      </c>
      <c r="C38" s="70">
        <v>29.6037</v>
      </c>
      <c r="D38" s="70">
        <v>35.972349999999999</v>
      </c>
      <c r="E38" s="110">
        <v>38.886359999999996</v>
      </c>
      <c r="G38" s="66"/>
      <c r="H38" s="102"/>
    </row>
    <row r="41" spans="1:8" ht="12.95" customHeight="1">
      <c r="A41" s="151" t="s">
        <v>6</v>
      </c>
      <c r="B41" s="151"/>
      <c r="C41" s="151"/>
      <c r="E41" s="96"/>
    </row>
    <row r="42" spans="1:8" ht="12.95" customHeight="1">
      <c r="A42" s="143"/>
      <c r="B42" s="128"/>
      <c r="C42" s="128"/>
      <c r="E42" s="116" t="s">
        <v>8</v>
      </c>
    </row>
    <row r="43" spans="1:8" ht="12.95" customHeight="1">
      <c r="A43" s="141"/>
      <c r="B43" s="145">
        <v>2022</v>
      </c>
      <c r="C43" s="145">
        <v>2023</v>
      </c>
      <c r="D43" s="145">
        <v>2024</v>
      </c>
      <c r="E43" s="137">
        <v>2025</v>
      </c>
    </row>
    <row r="44" spans="1:8" ht="21.75" customHeight="1">
      <c r="A44" s="126" t="s">
        <v>88</v>
      </c>
      <c r="B44" s="89">
        <v>6.3407999999999998</v>
      </c>
      <c r="C44" s="66">
        <v>12.3863</v>
      </c>
      <c r="D44" s="66">
        <v>12.5724</v>
      </c>
      <c r="E44" s="89">
        <v>19.218699999999998</v>
      </c>
      <c r="G44" s="66"/>
      <c r="H44" s="102"/>
    </row>
    <row r="45" spans="1:8" ht="12.95" customHeight="1">
      <c r="A45" s="68" t="s">
        <v>83</v>
      </c>
      <c r="B45" s="66">
        <v>1.30606</v>
      </c>
      <c r="C45" s="66">
        <v>1.9</v>
      </c>
      <c r="D45" s="66">
        <v>3.1644999999999999</v>
      </c>
      <c r="E45" s="66">
        <v>3.9942000000000002</v>
      </c>
      <c r="G45" s="66"/>
      <c r="H45" s="102"/>
    </row>
    <row r="46" spans="1:8" ht="12.95" customHeight="1">
      <c r="A46" s="68" t="s">
        <v>65</v>
      </c>
      <c r="B46" s="66" t="s">
        <v>10</v>
      </c>
      <c r="C46" s="66">
        <v>0.30009999999999998</v>
      </c>
      <c r="D46" s="66">
        <v>0.30959999999999999</v>
      </c>
      <c r="E46" s="66">
        <v>6.2210999999999999</v>
      </c>
      <c r="G46" s="66"/>
      <c r="H46" s="102"/>
    </row>
    <row r="47" spans="1:8" ht="12.95" customHeight="1">
      <c r="A47" s="68" t="s">
        <v>61</v>
      </c>
      <c r="B47" s="66">
        <v>0.6139</v>
      </c>
      <c r="C47" s="114" t="s">
        <v>10</v>
      </c>
      <c r="D47" s="114" t="s">
        <v>10</v>
      </c>
      <c r="E47" s="66">
        <v>3.706</v>
      </c>
      <c r="G47" s="66"/>
      <c r="H47" s="102"/>
    </row>
    <row r="48" spans="1:8" ht="12.95" customHeight="1">
      <c r="A48" s="68" t="s">
        <v>66</v>
      </c>
      <c r="B48" s="66">
        <v>0</v>
      </c>
      <c r="C48" s="114">
        <v>0</v>
      </c>
      <c r="D48" s="66">
        <v>2.7000000000000001E-3</v>
      </c>
      <c r="E48" s="66">
        <v>2.7000000000000001E-3</v>
      </c>
      <c r="G48" s="66"/>
      <c r="H48" s="102"/>
    </row>
    <row r="49" spans="1:8" ht="12.95" customHeight="1">
      <c r="A49" s="68" t="s">
        <v>75</v>
      </c>
      <c r="B49" s="66">
        <v>0</v>
      </c>
      <c r="C49" s="114">
        <v>0</v>
      </c>
      <c r="D49" s="66">
        <v>2.5999999999999999E-2</v>
      </c>
      <c r="E49" s="78">
        <v>0</v>
      </c>
      <c r="G49" s="78"/>
      <c r="H49" s="102"/>
    </row>
    <row r="50" spans="1:8" ht="12.95" customHeight="1">
      <c r="A50" s="68" t="s">
        <v>73</v>
      </c>
      <c r="B50" s="66">
        <v>0</v>
      </c>
      <c r="C50" s="114">
        <v>0</v>
      </c>
      <c r="D50" s="66">
        <v>0.01</v>
      </c>
      <c r="E50" s="78">
        <v>0</v>
      </c>
      <c r="G50" s="78"/>
      <c r="H50" s="102"/>
    </row>
    <row r="51" spans="1:8" ht="12.95" customHeight="1">
      <c r="A51" s="68" t="s">
        <v>63</v>
      </c>
      <c r="B51" s="66">
        <v>0.75793999999999995</v>
      </c>
      <c r="C51" s="66">
        <v>1.58</v>
      </c>
      <c r="D51" s="66">
        <v>0.4</v>
      </c>
      <c r="E51" s="66">
        <v>0.32</v>
      </c>
      <c r="G51" s="66"/>
      <c r="H51" s="102"/>
    </row>
    <row r="52" spans="1:8" ht="12.95" customHeight="1">
      <c r="A52" s="68" t="s">
        <v>80</v>
      </c>
      <c r="B52" s="66">
        <v>0.44879999999999998</v>
      </c>
      <c r="C52" s="66">
        <v>0.34050000000000002</v>
      </c>
      <c r="D52" s="66">
        <v>1.4298</v>
      </c>
      <c r="E52" s="66">
        <v>0.46039999999999998</v>
      </c>
      <c r="G52" s="66"/>
      <c r="H52" s="102"/>
    </row>
    <row r="53" spans="1:8" ht="12.95" customHeight="1">
      <c r="A53" s="79" t="s">
        <v>58</v>
      </c>
      <c r="B53" s="70">
        <v>3.2141000000000002</v>
      </c>
      <c r="C53" s="70">
        <v>8.2657000000000007</v>
      </c>
      <c r="D53" s="70">
        <v>7.2298</v>
      </c>
      <c r="E53" s="70">
        <v>4.5143000000000004</v>
      </c>
      <c r="G53" s="66"/>
      <c r="H53" s="102"/>
    </row>
    <row r="56" spans="1:8" ht="12.95" customHeight="1">
      <c r="A56" s="151" t="s">
        <v>3</v>
      </c>
      <c r="B56" s="151"/>
      <c r="C56" s="151"/>
      <c r="E56" s="96"/>
    </row>
    <row r="57" spans="1:8" ht="12.95" customHeight="1">
      <c r="A57" s="143"/>
      <c r="B57" s="128"/>
      <c r="C57" s="128"/>
      <c r="E57" s="116" t="s">
        <v>8</v>
      </c>
    </row>
    <row r="58" spans="1:8" ht="12.95" customHeight="1">
      <c r="A58" s="141"/>
      <c r="B58" s="142">
        <v>2022</v>
      </c>
      <c r="C58" s="142">
        <v>2023</v>
      </c>
      <c r="D58" s="142">
        <v>2024</v>
      </c>
      <c r="E58" s="137">
        <v>2025</v>
      </c>
    </row>
    <row r="59" spans="1:8" ht="23.25" customHeight="1">
      <c r="A59" s="126" t="s">
        <v>88</v>
      </c>
      <c r="B59" s="66">
        <v>358.46456000000001</v>
      </c>
      <c r="C59" s="66">
        <v>334.67842999999999</v>
      </c>
      <c r="D59" s="66">
        <v>384.52567999999997</v>
      </c>
      <c r="E59" s="66">
        <v>446.30409000000003</v>
      </c>
      <c r="G59" s="66"/>
      <c r="H59" s="102"/>
    </row>
    <row r="60" spans="1:8" ht="12.95" customHeight="1">
      <c r="A60" s="68" t="s">
        <v>71</v>
      </c>
      <c r="B60" s="66">
        <v>1.7556</v>
      </c>
      <c r="C60" s="66">
        <v>1.47786</v>
      </c>
      <c r="D60" s="66">
        <v>2.5777000000000001</v>
      </c>
      <c r="E60" s="66">
        <v>2.6865999999999999</v>
      </c>
      <c r="G60" s="66"/>
      <c r="H60" s="102"/>
    </row>
    <row r="61" spans="1:8" ht="12.95" customHeight="1">
      <c r="A61" s="68" t="s">
        <v>84</v>
      </c>
      <c r="B61" s="77" t="s">
        <v>10</v>
      </c>
      <c r="C61" s="77" t="s">
        <v>10</v>
      </c>
      <c r="D61" s="77" t="s">
        <v>10</v>
      </c>
      <c r="E61" s="66">
        <v>0.23</v>
      </c>
      <c r="G61" s="66"/>
      <c r="H61" s="102"/>
    </row>
    <row r="62" spans="1:8" ht="12.95" customHeight="1">
      <c r="A62" s="68" t="s">
        <v>83</v>
      </c>
      <c r="B62" s="66">
        <v>69.912149999999997</v>
      </c>
      <c r="C62" s="66">
        <v>65.155900000000003</v>
      </c>
      <c r="D62" s="66">
        <v>83.376850000000005</v>
      </c>
      <c r="E62" s="66">
        <v>97.831890000000001</v>
      </c>
      <c r="G62" s="66"/>
      <c r="H62" s="102"/>
    </row>
    <row r="63" spans="1:8" ht="12.95" customHeight="1">
      <c r="A63" s="68" t="s">
        <v>65</v>
      </c>
      <c r="B63" s="66">
        <v>0.65329999999999999</v>
      </c>
      <c r="C63" s="66">
        <v>0.49790000000000001</v>
      </c>
      <c r="D63" s="66">
        <v>0.47620000000000001</v>
      </c>
      <c r="E63" s="66">
        <v>0.55520000000000003</v>
      </c>
      <c r="G63" s="66"/>
      <c r="H63" s="102"/>
    </row>
    <row r="64" spans="1:8" ht="12.95" customHeight="1">
      <c r="A64" s="68" t="s">
        <v>61</v>
      </c>
      <c r="B64" s="66">
        <v>51.880569999999999</v>
      </c>
      <c r="C64" s="66">
        <v>46.48048</v>
      </c>
      <c r="D64" s="66">
        <v>69.719499999999996</v>
      </c>
      <c r="E64" s="66">
        <v>72.437179999999998</v>
      </c>
      <c r="G64" s="66"/>
      <c r="H64" s="102"/>
    </row>
    <row r="65" spans="1:8" ht="12.95" customHeight="1">
      <c r="A65" s="68" t="s">
        <v>66</v>
      </c>
      <c r="B65" s="66">
        <v>1.8469</v>
      </c>
      <c r="C65" s="66">
        <v>1.9207000000000001</v>
      </c>
      <c r="D65" s="66">
        <v>0.1</v>
      </c>
      <c r="E65" s="66">
        <v>1.1174999999999999</v>
      </c>
      <c r="G65" s="66"/>
      <c r="H65" s="102"/>
    </row>
    <row r="66" spans="1:8" ht="12.95" customHeight="1">
      <c r="A66" s="68" t="s">
        <v>82</v>
      </c>
      <c r="B66" s="66">
        <v>49.222120000000004</v>
      </c>
      <c r="C66" s="66">
        <v>51.995660000000001</v>
      </c>
      <c r="D66" s="66">
        <v>0.15490000000000001</v>
      </c>
      <c r="E66" s="66">
        <v>0.64844999999999997</v>
      </c>
      <c r="G66" s="66"/>
      <c r="H66" s="102"/>
    </row>
    <row r="67" spans="1:8" ht="12.95" customHeight="1">
      <c r="A67" s="68" t="s">
        <v>73</v>
      </c>
      <c r="B67" s="66">
        <v>0</v>
      </c>
      <c r="C67" s="66">
        <v>0</v>
      </c>
      <c r="D67" s="66">
        <v>0.65900000000000003</v>
      </c>
      <c r="E67" s="66">
        <v>0.38400000000000001</v>
      </c>
      <c r="G67" s="66"/>
      <c r="H67" s="102"/>
    </row>
    <row r="68" spans="1:8" ht="12.95" customHeight="1">
      <c r="A68" s="68" t="s">
        <v>63</v>
      </c>
      <c r="B68" s="66">
        <v>30.810459999999999</v>
      </c>
      <c r="C68" s="66">
        <v>20.656660000000002</v>
      </c>
      <c r="D68" s="66">
        <v>31.704279999999997</v>
      </c>
      <c r="E68" s="66">
        <v>39.756659999999997</v>
      </c>
      <c r="G68" s="66"/>
      <c r="H68" s="102"/>
    </row>
    <row r="69" spans="1:8" ht="12.95" customHeight="1">
      <c r="A69" s="68" t="s">
        <v>80</v>
      </c>
      <c r="B69" s="66">
        <v>30.920300000000001</v>
      </c>
      <c r="C69" s="66">
        <v>33.326229999999995</v>
      </c>
      <c r="D69" s="66">
        <v>44.29712</v>
      </c>
      <c r="E69" s="66">
        <v>41.985799999999998</v>
      </c>
      <c r="G69" s="66"/>
      <c r="H69" s="102"/>
    </row>
    <row r="70" spans="1:8" ht="12.95" customHeight="1">
      <c r="A70" s="68" t="s">
        <v>74</v>
      </c>
      <c r="B70" s="66">
        <v>0</v>
      </c>
      <c r="C70" s="66">
        <v>0</v>
      </c>
      <c r="D70" s="66">
        <v>45.178329999999995</v>
      </c>
      <c r="E70" s="66">
        <v>55.436360000000001</v>
      </c>
      <c r="G70" s="66"/>
      <c r="H70" s="102"/>
    </row>
    <row r="71" spans="1:8" ht="12.95" customHeight="1">
      <c r="A71" s="79" t="s">
        <v>58</v>
      </c>
      <c r="B71" s="70">
        <v>121.46316999999999</v>
      </c>
      <c r="C71" s="70">
        <v>113.16703999999999</v>
      </c>
      <c r="D71" s="70">
        <v>106.28178999999999</v>
      </c>
      <c r="E71" s="70">
        <v>133.23445000000001</v>
      </c>
      <c r="G71" s="66"/>
      <c r="H71" s="102"/>
    </row>
    <row r="74" spans="1:8" ht="12.95" customHeight="1">
      <c r="A74" s="151" t="s">
        <v>4</v>
      </c>
      <c r="B74" s="151"/>
      <c r="C74" s="151"/>
      <c r="E74" s="96"/>
    </row>
    <row r="75" spans="1:8" ht="12.95" customHeight="1">
      <c r="A75" s="143"/>
      <c r="B75" s="128"/>
      <c r="C75" s="128"/>
      <c r="E75" s="116" t="s">
        <v>8</v>
      </c>
    </row>
    <row r="76" spans="1:8" ht="12.95" customHeight="1">
      <c r="A76" s="141"/>
      <c r="B76" s="142">
        <v>2022</v>
      </c>
      <c r="C76" s="142">
        <v>2023</v>
      </c>
      <c r="D76" s="142">
        <v>2024</v>
      </c>
      <c r="E76" s="137">
        <v>2025</v>
      </c>
    </row>
    <row r="77" spans="1:8" ht="24.75" customHeight="1">
      <c r="A77" s="126" t="s">
        <v>88</v>
      </c>
      <c r="B77" s="66">
        <v>279.34724999999997</v>
      </c>
      <c r="C77" s="66">
        <v>258.91677999999996</v>
      </c>
      <c r="D77" s="66">
        <v>191.38669999999999</v>
      </c>
      <c r="E77" s="89">
        <v>178.25817000000001</v>
      </c>
      <c r="G77" s="66"/>
      <c r="H77" s="102"/>
    </row>
    <row r="78" spans="1:8" ht="12.95" customHeight="1">
      <c r="A78" s="68" t="s">
        <v>71</v>
      </c>
      <c r="B78" s="66">
        <v>36.040469999999999</v>
      </c>
      <c r="C78" s="66">
        <v>36.81035</v>
      </c>
      <c r="D78" s="66">
        <v>37.808799999999998</v>
      </c>
      <c r="E78" s="66">
        <v>36.558399999999999</v>
      </c>
      <c r="G78" s="66"/>
      <c r="H78" s="102"/>
    </row>
    <row r="79" spans="1:8" ht="12.95" customHeight="1">
      <c r="A79" s="68" t="s">
        <v>84</v>
      </c>
      <c r="B79" s="66">
        <v>27.1751</v>
      </c>
      <c r="C79" s="66">
        <v>24.649100000000001</v>
      </c>
      <c r="D79" s="66">
        <v>26.152620000000002</v>
      </c>
      <c r="E79" s="66">
        <v>25.744220000000002</v>
      </c>
      <c r="G79" s="66"/>
      <c r="H79" s="102"/>
    </row>
    <row r="80" spans="1:8" ht="12.95" customHeight="1">
      <c r="A80" s="68" t="s">
        <v>83</v>
      </c>
      <c r="B80" s="66">
        <v>44.625190000000003</v>
      </c>
      <c r="C80" s="66">
        <v>48.131779999999999</v>
      </c>
      <c r="D80" s="66">
        <v>35.152859999999997</v>
      </c>
      <c r="E80" s="66">
        <v>33.145790000000005</v>
      </c>
      <c r="G80" s="66"/>
      <c r="H80" s="102"/>
    </row>
    <row r="81" spans="1:8" ht="12.95" customHeight="1">
      <c r="A81" s="68" t="s">
        <v>65</v>
      </c>
      <c r="B81" s="66">
        <v>37.298909999999999</v>
      </c>
      <c r="C81" s="66">
        <v>27.9008</v>
      </c>
      <c r="D81" s="66">
        <v>5.7058400000000002</v>
      </c>
      <c r="E81" s="66">
        <v>5.6889199999999995</v>
      </c>
      <c r="G81" s="66"/>
      <c r="H81" s="102"/>
    </row>
    <row r="82" spans="1:8" ht="12.95" customHeight="1">
      <c r="A82" s="68" t="s">
        <v>61</v>
      </c>
      <c r="B82" s="66">
        <v>30.212</v>
      </c>
      <c r="C82" s="66">
        <v>29.970600000000001</v>
      </c>
      <c r="D82" s="66">
        <v>27.27533</v>
      </c>
      <c r="E82" s="66">
        <v>17.671500000000002</v>
      </c>
      <c r="G82" s="66"/>
      <c r="H82" s="102"/>
    </row>
    <row r="83" spans="1:8" ht="12.95" customHeight="1">
      <c r="A83" s="68" t="s">
        <v>66</v>
      </c>
      <c r="B83" s="66">
        <v>36.5349</v>
      </c>
      <c r="C83" s="66">
        <v>31.285699999999999</v>
      </c>
      <c r="D83" s="66">
        <v>7.0850800000000005</v>
      </c>
      <c r="E83" s="66">
        <v>12.2806</v>
      </c>
      <c r="G83" s="66"/>
      <c r="H83" s="102"/>
    </row>
    <row r="84" spans="1:8" ht="12.95" customHeight="1">
      <c r="A84" s="68" t="s">
        <v>82</v>
      </c>
      <c r="B84" s="66">
        <v>26.592090000000002</v>
      </c>
      <c r="C84" s="66">
        <v>22.35369</v>
      </c>
      <c r="D84" s="66">
        <v>9.1866500000000002</v>
      </c>
      <c r="E84" s="66">
        <v>8.5285399999999996</v>
      </c>
      <c r="G84" s="66"/>
      <c r="H84" s="102"/>
    </row>
    <row r="85" spans="1:8" ht="12.95" customHeight="1">
      <c r="A85" s="68" t="s">
        <v>73</v>
      </c>
      <c r="B85" s="66">
        <v>0</v>
      </c>
      <c r="C85" s="66">
        <v>0</v>
      </c>
      <c r="D85" s="66">
        <v>6.1363799999999999</v>
      </c>
      <c r="E85" s="66">
        <v>4.5076300000000007</v>
      </c>
      <c r="G85" s="66"/>
      <c r="H85" s="102"/>
    </row>
    <row r="86" spans="1:8" ht="12.95" customHeight="1">
      <c r="A86" s="68" t="s">
        <v>63</v>
      </c>
      <c r="B86" s="66">
        <v>4.4218999999999999</v>
      </c>
      <c r="C86" s="66">
        <v>4.3287699999999996</v>
      </c>
      <c r="D86" s="66">
        <v>2.8854599999999997</v>
      </c>
      <c r="E86" s="66">
        <v>2.7587700000000002</v>
      </c>
      <c r="G86" s="66"/>
      <c r="H86" s="102"/>
    </row>
    <row r="87" spans="1:8" ht="12.95" customHeight="1">
      <c r="A87" s="68" t="s">
        <v>81</v>
      </c>
      <c r="B87" s="66">
        <v>6.0292000000000003</v>
      </c>
      <c r="C87" s="66">
        <v>4.5529199999999994</v>
      </c>
      <c r="D87" s="66">
        <v>1.57684</v>
      </c>
      <c r="E87" s="66">
        <v>1.8033999999999999</v>
      </c>
      <c r="G87" s="66"/>
      <c r="H87" s="102"/>
    </row>
    <row r="88" spans="1:8" ht="12.95" customHeight="1">
      <c r="A88" s="68" t="s">
        <v>80</v>
      </c>
      <c r="B88" s="66">
        <v>9.2304399999999998</v>
      </c>
      <c r="C88" s="66">
        <v>7.6324600000000009</v>
      </c>
      <c r="D88" s="66">
        <v>5.6814599999999995</v>
      </c>
      <c r="E88" s="66">
        <v>4.8517299999999999</v>
      </c>
      <c r="G88" s="66"/>
      <c r="H88" s="102"/>
    </row>
    <row r="89" spans="1:8" ht="12.95" customHeight="1">
      <c r="A89" s="68" t="s">
        <v>74</v>
      </c>
      <c r="B89" s="66">
        <v>0</v>
      </c>
      <c r="C89" s="66">
        <v>0</v>
      </c>
      <c r="D89" s="66">
        <v>5.6825999999999999</v>
      </c>
      <c r="E89" s="66">
        <v>4.6383999999999999</v>
      </c>
      <c r="G89" s="66"/>
      <c r="H89" s="102"/>
    </row>
    <row r="90" spans="1:8" ht="12.95" customHeight="1">
      <c r="A90" s="79" t="s">
        <v>58</v>
      </c>
      <c r="B90" s="70">
        <v>21.187049999999999</v>
      </c>
      <c r="C90" s="70">
        <v>21.300599999999999</v>
      </c>
      <c r="D90" s="70">
        <v>21.056789999999999</v>
      </c>
      <c r="E90" s="70">
        <v>20.080270000000002</v>
      </c>
      <c r="G90" s="66"/>
      <c r="H90" s="102"/>
    </row>
  </sheetData>
  <mergeCells count="6">
    <mergeCell ref="A1:E1"/>
    <mergeCell ref="A41:C41"/>
    <mergeCell ref="A56:C56"/>
    <mergeCell ref="A74:C74"/>
    <mergeCell ref="A22:C2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36"/>
  <sheetViews>
    <sheetView workbookViewId="0">
      <selection activeCell="M33" sqref="M33"/>
    </sheetView>
  </sheetViews>
  <sheetFormatPr defaultRowHeight="11.25"/>
  <cols>
    <col min="1" max="1" width="12.140625" style="13" customWidth="1"/>
    <col min="2" max="2" width="16.28515625" style="2" customWidth="1"/>
    <col min="3" max="3" width="13.85546875" style="2" customWidth="1"/>
    <col min="4" max="4" width="16" style="2" customWidth="1"/>
    <col min="5" max="5" width="12.85546875" style="2" customWidth="1"/>
    <col min="6" max="6" width="13.140625" style="2" customWidth="1"/>
    <col min="7" max="7" width="12.28515625" style="2" customWidth="1"/>
    <col min="8" max="16384" width="9.140625" style="2"/>
  </cols>
  <sheetData>
    <row r="1" spans="1:7" s="20" customFormat="1" ht="12.75">
      <c r="A1" s="148" t="s">
        <v>28</v>
      </c>
      <c r="B1" s="148"/>
      <c r="C1" s="148"/>
      <c r="D1" s="148"/>
      <c r="E1" s="148"/>
      <c r="F1" s="148"/>
      <c r="G1" s="148"/>
    </row>
    <row r="2" spans="1:7" ht="12.75" customHeight="1">
      <c r="E2" s="154" t="s">
        <v>29</v>
      </c>
      <c r="F2" s="154"/>
      <c r="G2" s="154"/>
    </row>
    <row r="3" spans="1:7" ht="65.25" customHeight="1">
      <c r="A3" s="47"/>
      <c r="B3" s="41" t="s">
        <v>30</v>
      </c>
      <c r="C3" s="41" t="s">
        <v>31</v>
      </c>
      <c r="D3" s="41" t="s">
        <v>32</v>
      </c>
      <c r="E3" s="41" t="s">
        <v>23</v>
      </c>
      <c r="F3" s="41" t="s">
        <v>24</v>
      </c>
      <c r="G3" s="41" t="s">
        <v>33</v>
      </c>
    </row>
    <row r="4" spans="1:7" s="31" customFormat="1">
      <c r="A4" s="29">
        <v>1997</v>
      </c>
      <c r="B4" s="30">
        <v>5.8</v>
      </c>
      <c r="C4" s="30">
        <v>4.5999999999999996</v>
      </c>
      <c r="D4" s="30">
        <v>3.8</v>
      </c>
      <c r="E4" s="30">
        <v>66.7</v>
      </c>
      <c r="F4" s="30">
        <v>83</v>
      </c>
      <c r="G4" s="30" t="s">
        <v>34</v>
      </c>
    </row>
    <row r="5" spans="1:7" s="31" customFormat="1">
      <c r="A5" s="29">
        <v>1998</v>
      </c>
      <c r="B5" s="30">
        <v>14</v>
      </c>
      <c r="C5" s="30">
        <v>6.3</v>
      </c>
      <c r="D5" s="30">
        <v>5.4</v>
      </c>
      <c r="E5" s="30">
        <v>72.400000000000006</v>
      </c>
      <c r="F5" s="30">
        <v>110.5</v>
      </c>
      <c r="G5" s="30" t="s">
        <v>34</v>
      </c>
    </row>
    <row r="6" spans="1:7" s="31" customFormat="1">
      <c r="A6" s="29">
        <v>1999</v>
      </c>
      <c r="B6" s="30">
        <v>12.3</v>
      </c>
      <c r="C6" s="30">
        <v>5.5</v>
      </c>
      <c r="D6" s="30">
        <v>5.5</v>
      </c>
      <c r="E6" s="30">
        <v>99.9</v>
      </c>
      <c r="F6" s="30">
        <v>159</v>
      </c>
      <c r="G6" s="30" t="s">
        <v>34</v>
      </c>
    </row>
    <row r="7" spans="1:7" s="31" customFormat="1">
      <c r="A7" s="29">
        <v>2000</v>
      </c>
      <c r="B7" s="30">
        <v>22.6</v>
      </c>
      <c r="C7" s="30">
        <v>4.5</v>
      </c>
      <c r="D7" s="30">
        <v>4.5</v>
      </c>
      <c r="E7" s="30">
        <v>110</v>
      </c>
      <c r="F7" s="30">
        <v>179.7</v>
      </c>
      <c r="G7" s="30">
        <v>151.6</v>
      </c>
    </row>
    <row r="8" spans="1:7" s="31" customFormat="1">
      <c r="A8" s="29">
        <v>2001</v>
      </c>
      <c r="B8" s="30">
        <v>18.899999999999999</v>
      </c>
      <c r="C8" s="30">
        <v>6.9</v>
      </c>
      <c r="D8" s="30">
        <v>7</v>
      </c>
      <c r="E8" s="30">
        <v>124.7</v>
      </c>
      <c r="F8" s="30">
        <v>184.4</v>
      </c>
      <c r="G8" s="30">
        <v>140.5</v>
      </c>
    </row>
    <row r="9" spans="1:7" s="31" customFormat="1">
      <c r="A9" s="29">
        <v>2002</v>
      </c>
      <c r="B9" s="30">
        <v>18.5</v>
      </c>
      <c r="C9" s="30">
        <v>5.7</v>
      </c>
      <c r="D9" s="30">
        <v>5.7</v>
      </c>
      <c r="E9" s="30">
        <v>135.30000000000001</v>
      </c>
      <c r="F9" s="30">
        <v>190.1</v>
      </c>
      <c r="G9" s="30">
        <v>196.1</v>
      </c>
    </row>
    <row r="10" spans="1:7" s="31" customFormat="1">
      <c r="A10" s="29">
        <v>2003</v>
      </c>
      <c r="B10" s="30">
        <v>14</v>
      </c>
      <c r="C10" s="26">
        <v>7.4</v>
      </c>
      <c r="D10" s="30">
        <v>7.4</v>
      </c>
      <c r="E10" s="30">
        <v>141.30000000000001</v>
      </c>
      <c r="F10" s="30">
        <v>197.4</v>
      </c>
      <c r="G10" s="30">
        <v>197.3</v>
      </c>
    </row>
    <row r="11" spans="1:7" s="31" customFormat="1">
      <c r="A11" s="29">
        <v>2004</v>
      </c>
      <c r="B11" s="30">
        <v>17.600000000000001</v>
      </c>
      <c r="C11" s="30">
        <v>6.5</v>
      </c>
      <c r="D11" s="30">
        <v>6.5</v>
      </c>
      <c r="E11" s="30">
        <v>135.9</v>
      </c>
      <c r="F11" s="30">
        <v>202.3</v>
      </c>
      <c r="G11" s="48">
        <v>245.5</v>
      </c>
    </row>
    <row r="12" spans="1:7" s="31" customFormat="1">
      <c r="A12" s="29">
        <v>2005</v>
      </c>
      <c r="B12" s="30">
        <v>10.4</v>
      </c>
      <c r="C12" s="30">
        <v>6.9</v>
      </c>
      <c r="D12" s="30">
        <v>6.9</v>
      </c>
      <c r="E12" s="30">
        <v>145</v>
      </c>
      <c r="F12" s="30">
        <v>211.4</v>
      </c>
      <c r="G12" s="48">
        <v>262.5</v>
      </c>
    </row>
    <row r="13" spans="1:7" s="31" customFormat="1">
      <c r="A13" s="29">
        <v>2006</v>
      </c>
      <c r="B13" s="30">
        <v>9.5</v>
      </c>
      <c r="C13" s="30">
        <v>6.6</v>
      </c>
      <c r="D13" s="30">
        <v>6.6</v>
      </c>
      <c r="E13" s="30">
        <v>154.9</v>
      </c>
      <c r="F13" s="30">
        <v>212.5</v>
      </c>
      <c r="G13" s="48">
        <v>254.1</v>
      </c>
    </row>
    <row r="14" spans="1:7" s="31" customFormat="1">
      <c r="A14" s="29">
        <v>2007</v>
      </c>
      <c r="B14" s="30">
        <v>11.9</v>
      </c>
      <c r="C14" s="30">
        <v>6.3</v>
      </c>
      <c r="D14" s="30">
        <v>6.3</v>
      </c>
      <c r="E14" s="30">
        <v>142.19999999999999</v>
      </c>
      <c r="F14" s="30">
        <v>217.8</v>
      </c>
      <c r="G14" s="48">
        <v>247.3</v>
      </c>
    </row>
    <row r="15" spans="1:7" s="31" customFormat="1">
      <c r="A15" s="32">
        <v>2008</v>
      </c>
      <c r="B15" s="33">
        <v>4.3</v>
      </c>
      <c r="C15" s="33">
        <v>4</v>
      </c>
      <c r="D15" s="33">
        <v>4</v>
      </c>
      <c r="E15" s="33">
        <v>119.2</v>
      </c>
      <c r="F15" s="34">
        <v>201.4</v>
      </c>
      <c r="G15" s="50">
        <v>192.8</v>
      </c>
    </row>
    <row r="16" spans="1:7" s="31" customFormat="1">
      <c r="A16" s="29">
        <v>2009</v>
      </c>
      <c r="B16" s="30">
        <v>15.9</v>
      </c>
      <c r="C16" s="51">
        <v>6.3</v>
      </c>
      <c r="D16" s="30">
        <v>6.3</v>
      </c>
      <c r="E16" s="30">
        <v>150.6</v>
      </c>
      <c r="F16" s="30">
        <v>229.3</v>
      </c>
      <c r="G16" s="49">
        <v>202.9</v>
      </c>
    </row>
    <row r="17" spans="1:7" s="31" customFormat="1">
      <c r="A17" s="29">
        <v>2010</v>
      </c>
      <c r="B17" s="30">
        <v>10</v>
      </c>
      <c r="C17" s="52">
        <v>5.4</v>
      </c>
      <c r="D17" s="30">
        <v>5.4</v>
      </c>
      <c r="E17" s="30">
        <v>155.6</v>
      </c>
      <c r="F17" s="30">
        <v>220.8</v>
      </c>
      <c r="G17" s="53">
        <v>221.7</v>
      </c>
    </row>
    <row r="18" spans="1:7" s="31" customFormat="1">
      <c r="A18" s="29">
        <v>2011</v>
      </c>
      <c r="B18" s="30">
        <v>10.6</v>
      </c>
      <c r="C18" s="30">
        <v>5.4</v>
      </c>
      <c r="D18" s="30">
        <v>5.4</v>
      </c>
      <c r="E18" s="30">
        <v>156.4</v>
      </c>
      <c r="F18" s="30">
        <v>230.6</v>
      </c>
      <c r="G18" s="30">
        <v>241.1</v>
      </c>
    </row>
    <row r="19" spans="1:7" s="31" customFormat="1">
      <c r="A19" s="29">
        <v>2012</v>
      </c>
      <c r="B19" s="30">
        <v>11</v>
      </c>
      <c r="C19" s="30">
        <v>7.7</v>
      </c>
      <c r="D19" s="30">
        <v>7.7</v>
      </c>
      <c r="E19" s="30">
        <v>167.7</v>
      </c>
      <c r="F19" s="30">
        <v>251.4</v>
      </c>
      <c r="G19" s="30">
        <v>250.6</v>
      </c>
    </row>
    <row r="20" spans="1:7">
      <c r="A20" s="29">
        <v>2013</v>
      </c>
      <c r="B20" s="30">
        <v>14.2</v>
      </c>
      <c r="C20" s="30">
        <v>8.1999999999999993</v>
      </c>
      <c r="D20" s="30">
        <v>8.1</v>
      </c>
      <c r="E20" s="30">
        <v>184.1</v>
      </c>
      <c r="F20" s="30">
        <v>252.8</v>
      </c>
      <c r="G20" s="30">
        <v>267.3</v>
      </c>
    </row>
    <row r="21" spans="1:7">
      <c r="A21" s="29">
        <v>2014</v>
      </c>
      <c r="B21" s="35">
        <v>12.6</v>
      </c>
      <c r="C21" s="30">
        <v>7.9</v>
      </c>
      <c r="D21" s="35">
        <v>7.8</v>
      </c>
      <c r="E21" s="38">
        <v>191.1</v>
      </c>
      <c r="F21" s="35">
        <v>260.60000000000002</v>
      </c>
      <c r="G21" s="35">
        <v>267</v>
      </c>
    </row>
    <row r="22" spans="1:7">
      <c r="A22" s="29">
        <v>2015</v>
      </c>
      <c r="B22" s="35">
        <v>11.3</v>
      </c>
      <c r="C22" s="30">
        <v>8.6999999999999993</v>
      </c>
      <c r="D22" s="35">
        <v>8.8000000000000007</v>
      </c>
      <c r="E22" s="38">
        <v>188.3</v>
      </c>
      <c r="F22" s="35">
        <v>256.60000000000002</v>
      </c>
      <c r="G22" s="35">
        <v>284.5</v>
      </c>
    </row>
    <row r="23" spans="1:7">
      <c r="A23" s="29">
        <v>2016</v>
      </c>
      <c r="B23" s="35">
        <v>13.7</v>
      </c>
      <c r="C23" s="30">
        <v>11</v>
      </c>
      <c r="D23" s="35">
        <v>11.1</v>
      </c>
      <c r="E23" s="38">
        <v>201.4</v>
      </c>
      <c r="F23" s="35">
        <v>276.8</v>
      </c>
      <c r="G23" s="35">
        <v>282.7</v>
      </c>
    </row>
    <row r="24" spans="1:7">
      <c r="A24" s="29">
        <v>2017</v>
      </c>
      <c r="B24" s="35">
        <v>11.8</v>
      </c>
      <c r="C24" s="30">
        <v>12.4</v>
      </c>
      <c r="D24" s="35">
        <v>12.5</v>
      </c>
      <c r="E24" s="38">
        <v>205.1</v>
      </c>
      <c r="F24" s="35">
        <v>276.8</v>
      </c>
      <c r="G24" s="35">
        <v>245.9</v>
      </c>
    </row>
    <row r="25" spans="1:7">
      <c r="A25" s="29">
        <v>2018</v>
      </c>
      <c r="B25" s="35">
        <v>15.1</v>
      </c>
      <c r="C25" s="30">
        <v>12.4</v>
      </c>
      <c r="D25" s="35">
        <v>12.3</v>
      </c>
      <c r="E25" s="38">
        <v>214.4</v>
      </c>
      <c r="F25" s="35">
        <v>284.7</v>
      </c>
      <c r="G25" s="35">
        <v>292.39999999999998</v>
      </c>
    </row>
    <row r="26" spans="1:7">
      <c r="A26" s="29">
        <v>2019</v>
      </c>
      <c r="B26" s="35">
        <v>17</v>
      </c>
      <c r="C26" s="30">
        <v>12.5</v>
      </c>
      <c r="D26" s="35">
        <v>12.5</v>
      </c>
      <c r="E26" s="38">
        <v>212</v>
      </c>
      <c r="F26" s="35">
        <v>288.3</v>
      </c>
      <c r="G26" s="35">
        <v>318.10000000000002</v>
      </c>
    </row>
    <row r="27" spans="1:7">
      <c r="A27" s="29">
        <v>2020</v>
      </c>
      <c r="B27" s="54">
        <v>13</v>
      </c>
      <c r="C27" s="54">
        <v>13.8</v>
      </c>
      <c r="D27" s="55">
        <v>13.9</v>
      </c>
      <c r="E27" s="55">
        <v>225.7</v>
      </c>
      <c r="F27" s="55">
        <v>294.3</v>
      </c>
      <c r="G27" s="55">
        <v>307.39999999999998</v>
      </c>
    </row>
    <row r="28" spans="1:7">
      <c r="A28" s="29">
        <v>2021</v>
      </c>
      <c r="B28" s="54">
        <v>16.5</v>
      </c>
      <c r="C28" s="54">
        <v>13.8</v>
      </c>
      <c r="D28" s="55">
        <v>13.8</v>
      </c>
      <c r="E28" s="55">
        <v>228.2</v>
      </c>
      <c r="F28" s="55">
        <v>294.3</v>
      </c>
      <c r="G28" s="55">
        <v>304.89999999999998</v>
      </c>
    </row>
    <row r="29" spans="1:7">
      <c r="A29" s="29">
        <v>2022</v>
      </c>
      <c r="B29" s="54">
        <v>18.600000000000001</v>
      </c>
      <c r="C29" s="54">
        <v>18.7</v>
      </c>
      <c r="D29" s="55">
        <v>18.899999999999999</v>
      </c>
      <c r="E29" s="55">
        <v>236.5</v>
      </c>
      <c r="F29" s="55">
        <v>337.9</v>
      </c>
      <c r="G29" s="55">
        <v>288.2</v>
      </c>
    </row>
    <row r="30" spans="1:7">
      <c r="A30" s="29" t="s">
        <v>27</v>
      </c>
      <c r="B30" s="54">
        <v>13.8</v>
      </c>
      <c r="C30" s="54">
        <v>16.899999999999999</v>
      </c>
      <c r="D30" s="55">
        <v>17</v>
      </c>
      <c r="E30" s="55">
        <v>239.5</v>
      </c>
      <c r="F30" s="55">
        <v>333.3</v>
      </c>
      <c r="G30" s="55">
        <v>296.3</v>
      </c>
    </row>
    <row r="31" spans="1:7">
      <c r="A31" s="29">
        <v>2024</v>
      </c>
      <c r="B31" s="54">
        <v>23</v>
      </c>
      <c r="C31" s="54">
        <v>19.100000000000001</v>
      </c>
      <c r="D31" s="55">
        <v>18.8</v>
      </c>
      <c r="E31" s="55">
        <v>237.4</v>
      </c>
      <c r="F31" s="55">
        <v>348.3</v>
      </c>
      <c r="G31" s="55">
        <v>248.9</v>
      </c>
    </row>
    <row r="32" spans="1:7">
      <c r="A32" s="29">
        <v>2025</v>
      </c>
      <c r="B32" s="59">
        <v>22.1</v>
      </c>
      <c r="C32" s="59">
        <v>19.100000000000001</v>
      </c>
      <c r="D32" s="59">
        <v>19</v>
      </c>
      <c r="E32" s="59">
        <v>239.4</v>
      </c>
      <c r="F32" s="59">
        <v>339.4</v>
      </c>
      <c r="G32" s="59">
        <v>260.39999999999998</v>
      </c>
    </row>
    <row r="34" spans="1:8" ht="35.25" customHeight="1">
      <c r="A34" s="161" t="s">
        <v>39</v>
      </c>
      <c r="B34" s="161"/>
      <c r="C34" s="161"/>
      <c r="D34" s="161"/>
      <c r="E34" s="161"/>
      <c r="F34" s="161"/>
      <c r="G34" s="161"/>
      <c r="H34" s="56"/>
    </row>
    <row r="35" spans="1:8">
      <c r="A35" s="56"/>
      <c r="B35" s="56"/>
      <c r="C35" s="56"/>
      <c r="D35" s="56"/>
      <c r="E35" s="56"/>
      <c r="F35" s="56"/>
      <c r="G35" s="56"/>
      <c r="H35" s="56"/>
    </row>
    <row r="36" spans="1:8">
      <c r="A36" s="56"/>
      <c r="B36" s="56"/>
      <c r="C36" s="56"/>
      <c r="D36" s="56"/>
      <c r="E36" s="56"/>
      <c r="F36" s="56"/>
      <c r="G36" s="56"/>
      <c r="H36" s="56"/>
    </row>
  </sheetData>
  <mergeCells count="3">
    <mergeCell ref="A1:G1"/>
    <mergeCell ref="A34:G34"/>
    <mergeCell ref="E2:G2"/>
  </mergeCells>
  <pageMargins left="0.7" right="0.7" top="0.75" bottom="0.75" header="0.3" footer="0.3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G138"/>
  <sheetViews>
    <sheetView topLeftCell="A106" workbookViewId="0">
      <pane xSplit="1" topLeftCell="B1" activePane="topRight" state="frozen"/>
      <selection pane="topRight" activeCell="A3" sqref="A3"/>
    </sheetView>
  </sheetViews>
  <sheetFormatPr defaultRowHeight="11.25"/>
  <cols>
    <col min="1" max="1" width="20.7109375" style="1" customWidth="1"/>
    <col min="2" max="13" width="6.7109375" style="2" customWidth="1"/>
    <col min="14" max="14" width="6.7109375" style="3" customWidth="1"/>
    <col min="15" max="20" width="6.7109375" style="2" customWidth="1"/>
    <col min="21" max="31" width="7.28515625" style="2" customWidth="1"/>
    <col min="32" max="33" width="6" style="2" customWidth="1"/>
    <col min="34" max="16384" width="9.140625" style="2"/>
  </cols>
  <sheetData>
    <row r="2" spans="1:33" ht="12.75">
      <c r="A2" s="162" t="s">
        <v>28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</row>
    <row r="3" spans="1:33" ht="12.75">
      <c r="A3" s="3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7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3" ht="12.75" customHeight="1">
      <c r="A4" s="155" t="s">
        <v>13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</row>
    <row r="5" spans="1:33" ht="12.7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AD5" s="154" t="s">
        <v>9</v>
      </c>
      <c r="AE5" s="154"/>
      <c r="AF5" s="154"/>
      <c r="AG5" s="154"/>
    </row>
    <row r="6" spans="1:33" s="91" customFormat="1">
      <c r="A6" s="90"/>
      <c r="B6" s="90">
        <v>1990</v>
      </c>
      <c r="C6" s="90">
        <v>1991</v>
      </c>
      <c r="D6" s="90">
        <v>1992</v>
      </c>
      <c r="E6" s="90">
        <v>1993</v>
      </c>
      <c r="F6" s="90">
        <v>1994</v>
      </c>
      <c r="G6" s="90">
        <v>1995</v>
      </c>
      <c r="H6" s="90">
        <v>1996</v>
      </c>
      <c r="I6" s="90">
        <v>1997</v>
      </c>
      <c r="J6" s="90">
        <v>1998</v>
      </c>
      <c r="K6" s="90">
        <v>1999</v>
      </c>
      <c r="L6" s="90">
        <v>2000</v>
      </c>
      <c r="M6" s="90">
        <v>2001</v>
      </c>
      <c r="N6" s="90">
        <v>2002</v>
      </c>
      <c r="O6" s="90">
        <v>2003</v>
      </c>
      <c r="P6" s="90">
        <v>2004</v>
      </c>
      <c r="Q6" s="90">
        <v>2005</v>
      </c>
      <c r="R6" s="90">
        <v>2006</v>
      </c>
      <c r="S6" s="90">
        <v>2007</v>
      </c>
      <c r="T6" s="90">
        <v>2008</v>
      </c>
      <c r="U6" s="90">
        <v>2009</v>
      </c>
      <c r="V6" s="90">
        <v>2010</v>
      </c>
      <c r="W6" s="90">
        <v>2011</v>
      </c>
      <c r="X6" s="90">
        <v>2012</v>
      </c>
      <c r="Y6" s="90">
        <v>2013</v>
      </c>
      <c r="Z6" s="90">
        <v>2014</v>
      </c>
      <c r="AA6" s="90">
        <v>2015</v>
      </c>
      <c r="AB6" s="90">
        <v>2016</v>
      </c>
      <c r="AC6" s="90">
        <v>2017</v>
      </c>
      <c r="AD6" s="90">
        <v>2018</v>
      </c>
      <c r="AE6" s="90">
        <v>2019</v>
      </c>
      <c r="AF6" s="90">
        <v>2020</v>
      </c>
      <c r="AG6" s="90">
        <v>2021</v>
      </c>
    </row>
    <row r="7" spans="1:33" s="93" customFormat="1" ht="27" customHeight="1">
      <c r="A7" s="134" t="s">
        <v>85</v>
      </c>
      <c r="B7" s="78">
        <v>8.1999999999999993</v>
      </c>
      <c r="C7" s="78">
        <v>4.5999999999999996</v>
      </c>
      <c r="D7" s="78">
        <v>6.6</v>
      </c>
      <c r="E7" s="78">
        <v>10.7</v>
      </c>
      <c r="F7" s="78">
        <v>5.2</v>
      </c>
      <c r="G7" s="78">
        <v>7.4</v>
      </c>
      <c r="H7" s="78">
        <v>4.9000000000000004</v>
      </c>
      <c r="I7" s="78">
        <v>5.8</v>
      </c>
      <c r="J7" s="78">
        <v>8.9</v>
      </c>
      <c r="K7" s="78">
        <v>10.5</v>
      </c>
      <c r="L7" s="78">
        <v>13.9</v>
      </c>
      <c r="M7" s="78">
        <v>15.3</v>
      </c>
      <c r="N7" s="78">
        <v>16.7</v>
      </c>
      <c r="O7" s="78">
        <v>11</v>
      </c>
      <c r="P7" s="78">
        <v>11.6</v>
      </c>
      <c r="Q7" s="78">
        <v>10.4</v>
      </c>
      <c r="R7" s="78">
        <v>9.4</v>
      </c>
      <c r="S7" s="78">
        <v>12.1</v>
      </c>
      <c r="T7" s="73">
        <v>4.2</v>
      </c>
      <c r="U7" s="78">
        <v>16</v>
      </c>
      <c r="V7" s="78">
        <v>9.8000000000000007</v>
      </c>
      <c r="W7" s="78">
        <v>10.7</v>
      </c>
      <c r="X7" s="78">
        <v>10.891999999999999</v>
      </c>
      <c r="Y7" s="78">
        <v>14.1859</v>
      </c>
      <c r="Z7" s="78">
        <v>12.4</v>
      </c>
      <c r="AA7" s="78">
        <v>11</v>
      </c>
      <c r="AB7" s="78">
        <v>12.7</v>
      </c>
      <c r="AC7" s="78">
        <v>11.3</v>
      </c>
      <c r="AD7" s="78">
        <v>14.390599999999999</v>
      </c>
      <c r="AE7" s="78">
        <v>16.197800000000001</v>
      </c>
      <c r="AF7" s="78">
        <v>12.6</v>
      </c>
      <c r="AG7" s="78">
        <v>15.9</v>
      </c>
    </row>
    <row r="8" spans="1:33" s="93" customFormat="1">
      <c r="A8" s="76" t="s">
        <v>40</v>
      </c>
      <c r="B8" s="78" t="s">
        <v>34</v>
      </c>
      <c r="C8" s="78" t="s">
        <v>34</v>
      </c>
      <c r="D8" s="78" t="s">
        <v>34</v>
      </c>
      <c r="E8" s="78" t="s">
        <v>34</v>
      </c>
      <c r="F8" s="78" t="s">
        <v>34</v>
      </c>
      <c r="G8" s="78" t="s">
        <v>34</v>
      </c>
      <c r="H8" s="78" t="s">
        <v>34</v>
      </c>
      <c r="I8" s="78" t="s">
        <v>34</v>
      </c>
      <c r="J8" s="78" t="s">
        <v>34</v>
      </c>
      <c r="K8" s="78" t="s">
        <v>34</v>
      </c>
      <c r="L8" s="78" t="s">
        <v>34</v>
      </c>
      <c r="M8" s="78">
        <v>9.1999999999999993</v>
      </c>
      <c r="N8" s="78">
        <v>12</v>
      </c>
      <c r="O8" s="78">
        <v>8.1</v>
      </c>
      <c r="P8" s="78">
        <v>11</v>
      </c>
      <c r="Q8" s="98">
        <v>12.5</v>
      </c>
      <c r="R8" s="99">
        <v>11.1</v>
      </c>
      <c r="S8" s="98">
        <v>10.4</v>
      </c>
      <c r="T8" s="99">
        <v>5.0999999999999996</v>
      </c>
      <c r="U8" s="98">
        <v>18.2</v>
      </c>
      <c r="V8" s="93">
        <v>11.2</v>
      </c>
      <c r="W8" s="101">
        <v>10.3935</v>
      </c>
      <c r="X8" s="101">
        <v>7.5129999999999999</v>
      </c>
      <c r="Y8" s="93">
        <v>11.8</v>
      </c>
      <c r="Z8" s="93">
        <v>11.5</v>
      </c>
      <c r="AA8" s="102">
        <v>8.1999999999999993</v>
      </c>
      <c r="AB8" s="101">
        <v>10.735300000000001</v>
      </c>
      <c r="AC8" s="114">
        <v>12.102600000000001</v>
      </c>
      <c r="AD8" s="101">
        <v>16.869700000000002</v>
      </c>
      <c r="AE8" s="101">
        <v>11.5924</v>
      </c>
      <c r="AF8" s="101">
        <v>9.4694000000000003</v>
      </c>
      <c r="AG8" s="101">
        <v>16.430800000000001</v>
      </c>
    </row>
    <row r="9" spans="1:33" s="93" customFormat="1">
      <c r="A9" s="76" t="s">
        <v>41</v>
      </c>
      <c r="B9" s="78" t="s">
        <v>34</v>
      </c>
      <c r="C9" s="78" t="s">
        <v>34</v>
      </c>
      <c r="D9" s="78" t="s">
        <v>34</v>
      </c>
      <c r="E9" s="78" t="s">
        <v>34</v>
      </c>
      <c r="F9" s="78" t="s">
        <v>34</v>
      </c>
      <c r="G9" s="78" t="s">
        <v>34</v>
      </c>
      <c r="H9" s="78" t="s">
        <v>34</v>
      </c>
      <c r="I9" s="78" t="s">
        <v>34</v>
      </c>
      <c r="J9" s="78" t="s">
        <v>34</v>
      </c>
      <c r="K9" s="78" t="s">
        <v>34</v>
      </c>
      <c r="L9" s="78" t="s">
        <v>34</v>
      </c>
      <c r="M9" s="78">
        <v>11.4</v>
      </c>
      <c r="N9" s="78">
        <v>8.9</v>
      </c>
      <c r="O9" s="78">
        <v>8.9</v>
      </c>
      <c r="P9" s="78">
        <v>7.3</v>
      </c>
      <c r="Q9" s="99">
        <v>6.6</v>
      </c>
      <c r="R9" s="98">
        <v>4.3</v>
      </c>
      <c r="S9" s="99">
        <v>6</v>
      </c>
      <c r="T9" s="98">
        <v>0.1</v>
      </c>
      <c r="U9" s="93" t="s">
        <v>10</v>
      </c>
      <c r="V9" s="93" t="s">
        <v>10</v>
      </c>
      <c r="W9" s="93" t="s">
        <v>10</v>
      </c>
      <c r="X9" s="101">
        <v>1.8</v>
      </c>
      <c r="Y9" s="105" t="s">
        <v>10</v>
      </c>
      <c r="Z9" s="105" t="s">
        <v>10</v>
      </c>
      <c r="AA9" s="102">
        <v>18.600000000000001</v>
      </c>
      <c r="AB9" s="101">
        <v>11.6279</v>
      </c>
      <c r="AC9" s="114">
        <v>5</v>
      </c>
      <c r="AD9" s="101">
        <v>9.4815000000000005</v>
      </c>
      <c r="AE9" s="101">
        <v>9.75</v>
      </c>
      <c r="AF9" s="101">
        <v>10.9091</v>
      </c>
      <c r="AG9" s="101">
        <v>11</v>
      </c>
    </row>
    <row r="10" spans="1:33" s="93" customFormat="1">
      <c r="A10" s="76" t="s">
        <v>42</v>
      </c>
      <c r="B10" s="78" t="s">
        <v>34</v>
      </c>
      <c r="C10" s="78" t="s">
        <v>34</v>
      </c>
      <c r="D10" s="78" t="s">
        <v>34</v>
      </c>
      <c r="E10" s="78" t="s">
        <v>34</v>
      </c>
      <c r="F10" s="78" t="s">
        <v>34</v>
      </c>
      <c r="G10" s="78" t="s">
        <v>34</v>
      </c>
      <c r="H10" s="78" t="s">
        <v>34</v>
      </c>
      <c r="I10" s="78" t="s">
        <v>34</v>
      </c>
      <c r="J10" s="78" t="s">
        <v>34</v>
      </c>
      <c r="K10" s="78" t="s">
        <v>34</v>
      </c>
      <c r="L10" s="78" t="s">
        <v>34</v>
      </c>
      <c r="M10" s="78">
        <v>19.2</v>
      </c>
      <c r="N10" s="78">
        <v>24.9</v>
      </c>
      <c r="O10" s="78">
        <v>23.9</v>
      </c>
      <c r="P10" s="78">
        <v>11.9</v>
      </c>
      <c r="Q10" s="98">
        <v>17.5</v>
      </c>
      <c r="R10" s="98">
        <v>21.3</v>
      </c>
      <c r="S10" s="98">
        <v>21.5</v>
      </c>
      <c r="T10" s="98">
        <v>12.5</v>
      </c>
      <c r="U10" s="98">
        <v>17.5</v>
      </c>
      <c r="V10" s="93">
        <v>14.5</v>
      </c>
      <c r="W10" s="101">
        <v>14.0839</v>
      </c>
      <c r="X10" s="101">
        <v>17.41</v>
      </c>
      <c r="Y10" s="114">
        <v>21.1</v>
      </c>
      <c r="Z10" s="93">
        <v>23.5</v>
      </c>
      <c r="AA10" s="102">
        <v>24.6</v>
      </c>
      <c r="AB10" s="101">
        <v>26.3611</v>
      </c>
      <c r="AC10" s="114">
        <v>22.9482</v>
      </c>
      <c r="AD10" s="101">
        <v>26.09</v>
      </c>
      <c r="AE10" s="101">
        <v>28.398499999999999</v>
      </c>
      <c r="AF10" s="101">
        <v>29.091200000000001</v>
      </c>
      <c r="AG10" s="101">
        <v>28.099</v>
      </c>
    </row>
    <row r="11" spans="1:33" s="93" customFormat="1">
      <c r="A11" s="76" t="s">
        <v>43</v>
      </c>
      <c r="B11" s="78" t="s">
        <v>34</v>
      </c>
      <c r="C11" s="78" t="s">
        <v>34</v>
      </c>
      <c r="D11" s="78" t="s">
        <v>34</v>
      </c>
      <c r="E11" s="78" t="s">
        <v>34</v>
      </c>
      <c r="F11" s="78" t="s">
        <v>34</v>
      </c>
      <c r="G11" s="78" t="s">
        <v>34</v>
      </c>
      <c r="H11" s="78" t="s">
        <v>34</v>
      </c>
      <c r="I11" s="78" t="s">
        <v>34</v>
      </c>
      <c r="J11" s="78" t="s">
        <v>34</v>
      </c>
      <c r="K11" s="78" t="s">
        <v>34</v>
      </c>
      <c r="L11" s="78" t="s">
        <v>34</v>
      </c>
      <c r="M11" s="78" t="s">
        <v>10</v>
      </c>
      <c r="N11" s="78" t="s">
        <v>10</v>
      </c>
      <c r="O11" s="78" t="s">
        <v>10</v>
      </c>
      <c r="P11" s="78" t="s">
        <v>10</v>
      </c>
      <c r="Q11" s="78" t="s">
        <v>10</v>
      </c>
      <c r="R11" s="78" t="s">
        <v>10</v>
      </c>
      <c r="S11" s="78" t="s">
        <v>10</v>
      </c>
      <c r="T11" s="78" t="s">
        <v>10</v>
      </c>
      <c r="U11" s="78" t="s">
        <v>10</v>
      </c>
      <c r="V11" s="78" t="s">
        <v>10</v>
      </c>
      <c r="W11" s="78" t="s">
        <v>10</v>
      </c>
      <c r="X11" s="114" t="s">
        <v>10</v>
      </c>
      <c r="Y11" s="114" t="s">
        <v>10</v>
      </c>
      <c r="Z11" s="114" t="s">
        <v>10</v>
      </c>
      <c r="AA11" s="98" t="s">
        <v>10</v>
      </c>
      <c r="AB11" s="98" t="s">
        <v>10</v>
      </c>
      <c r="AC11" s="98" t="s">
        <v>10</v>
      </c>
      <c r="AD11" s="98" t="s">
        <v>10</v>
      </c>
      <c r="AE11" s="98" t="s">
        <v>10</v>
      </c>
      <c r="AF11" s="98" t="s">
        <v>10</v>
      </c>
      <c r="AG11" s="98" t="s">
        <v>10</v>
      </c>
    </row>
    <row r="12" spans="1:33" s="93" customFormat="1">
      <c r="A12" s="76" t="s">
        <v>44</v>
      </c>
      <c r="B12" s="78" t="s">
        <v>34</v>
      </c>
      <c r="C12" s="78" t="s">
        <v>34</v>
      </c>
      <c r="D12" s="78" t="s">
        <v>34</v>
      </c>
      <c r="E12" s="78" t="s">
        <v>34</v>
      </c>
      <c r="F12" s="78" t="s">
        <v>34</v>
      </c>
      <c r="G12" s="78" t="s">
        <v>34</v>
      </c>
      <c r="H12" s="78" t="s">
        <v>34</v>
      </c>
      <c r="I12" s="78" t="s">
        <v>34</v>
      </c>
      <c r="J12" s="78" t="s">
        <v>34</v>
      </c>
      <c r="K12" s="78" t="s">
        <v>34</v>
      </c>
      <c r="L12" s="78" t="s">
        <v>34</v>
      </c>
      <c r="M12" s="78">
        <v>12</v>
      </c>
      <c r="N12" s="78">
        <v>9.3000000000000007</v>
      </c>
      <c r="O12" s="78">
        <v>7.6</v>
      </c>
      <c r="P12" s="78" t="s">
        <v>10</v>
      </c>
      <c r="Q12" s="78" t="s">
        <v>10</v>
      </c>
      <c r="R12" s="78" t="s">
        <v>10</v>
      </c>
      <c r="S12" s="78" t="s">
        <v>10</v>
      </c>
      <c r="T12" s="78" t="s">
        <v>10</v>
      </c>
      <c r="U12" s="78" t="s">
        <v>10</v>
      </c>
      <c r="V12" s="78" t="s">
        <v>10</v>
      </c>
      <c r="W12" s="78" t="s">
        <v>10</v>
      </c>
      <c r="X12" s="114" t="s">
        <v>10</v>
      </c>
      <c r="Y12" s="114" t="s">
        <v>10</v>
      </c>
      <c r="Z12" s="114" t="s">
        <v>10</v>
      </c>
      <c r="AA12" s="98" t="s">
        <v>10</v>
      </c>
      <c r="AB12" s="98" t="s">
        <v>10</v>
      </c>
      <c r="AC12" s="98" t="s">
        <v>10</v>
      </c>
      <c r="AD12" s="98" t="s">
        <v>10</v>
      </c>
      <c r="AE12" s="98" t="s">
        <v>10</v>
      </c>
      <c r="AF12" s="98" t="s">
        <v>10</v>
      </c>
      <c r="AG12" s="98" t="s">
        <v>10</v>
      </c>
    </row>
    <row r="13" spans="1:33" s="93" customFormat="1">
      <c r="A13" s="76" t="s">
        <v>45</v>
      </c>
      <c r="B13" s="78" t="s">
        <v>34</v>
      </c>
      <c r="C13" s="78" t="s">
        <v>34</v>
      </c>
      <c r="D13" s="78" t="s">
        <v>34</v>
      </c>
      <c r="E13" s="78" t="s">
        <v>34</v>
      </c>
      <c r="F13" s="78" t="s">
        <v>34</v>
      </c>
      <c r="G13" s="78" t="s">
        <v>34</v>
      </c>
      <c r="H13" s="78" t="s">
        <v>34</v>
      </c>
      <c r="I13" s="78" t="s">
        <v>34</v>
      </c>
      <c r="J13" s="78" t="s">
        <v>34</v>
      </c>
      <c r="K13" s="78" t="s">
        <v>34</v>
      </c>
      <c r="L13" s="78" t="s">
        <v>34</v>
      </c>
      <c r="M13" s="78">
        <v>6.5</v>
      </c>
      <c r="N13" s="78">
        <v>13.7</v>
      </c>
      <c r="O13" s="78">
        <v>13.7</v>
      </c>
      <c r="P13" s="78">
        <v>4.3</v>
      </c>
      <c r="Q13" s="98">
        <v>5</v>
      </c>
      <c r="R13" s="98">
        <v>5.8</v>
      </c>
      <c r="S13" s="98">
        <v>6</v>
      </c>
      <c r="T13" s="98">
        <v>1.4</v>
      </c>
      <c r="U13" s="98">
        <v>6.7</v>
      </c>
      <c r="V13" s="93">
        <v>9.3000000000000007</v>
      </c>
      <c r="W13" s="101">
        <v>7.8205</v>
      </c>
      <c r="X13" s="101">
        <v>9.2989999999999995</v>
      </c>
      <c r="Y13" s="114">
        <v>10.199999999999999</v>
      </c>
      <c r="Z13" s="93">
        <v>4.9000000000000004</v>
      </c>
      <c r="AA13" s="102">
        <v>4.9000000000000004</v>
      </c>
      <c r="AB13" s="101">
        <v>26.3611</v>
      </c>
      <c r="AC13" s="114">
        <v>22.9482</v>
      </c>
      <c r="AD13" s="101">
        <v>26.09</v>
      </c>
      <c r="AE13" s="101">
        <v>28.398499999999999</v>
      </c>
      <c r="AF13" s="101">
        <v>29.091200000000001</v>
      </c>
      <c r="AG13" s="101">
        <v>28.099</v>
      </c>
    </row>
    <row r="14" spans="1:33" s="93" customFormat="1">
      <c r="A14" s="76" t="s">
        <v>46</v>
      </c>
      <c r="B14" s="78" t="s">
        <v>34</v>
      </c>
      <c r="C14" s="78" t="s">
        <v>34</v>
      </c>
      <c r="D14" s="78" t="s">
        <v>34</v>
      </c>
      <c r="E14" s="78" t="s">
        <v>34</v>
      </c>
      <c r="F14" s="78" t="s">
        <v>34</v>
      </c>
      <c r="G14" s="78" t="s">
        <v>34</v>
      </c>
      <c r="H14" s="78" t="s">
        <v>34</v>
      </c>
      <c r="I14" s="78" t="s">
        <v>34</v>
      </c>
      <c r="J14" s="78" t="s">
        <v>34</v>
      </c>
      <c r="K14" s="78" t="s">
        <v>34</v>
      </c>
      <c r="L14" s="78" t="s">
        <v>34</v>
      </c>
      <c r="M14" s="78">
        <v>14.6</v>
      </c>
      <c r="N14" s="78">
        <v>14.9</v>
      </c>
      <c r="O14" s="78">
        <v>3.8</v>
      </c>
      <c r="P14" s="78">
        <v>6.1</v>
      </c>
      <c r="Q14" s="98">
        <v>3.3</v>
      </c>
      <c r="R14" s="98">
        <v>3.8</v>
      </c>
      <c r="S14" s="98">
        <v>7.8</v>
      </c>
      <c r="T14" s="98">
        <v>1</v>
      </c>
      <c r="U14" s="98">
        <v>8.4</v>
      </c>
      <c r="V14" s="102">
        <v>4.8</v>
      </c>
      <c r="W14" s="101">
        <v>7.8116000000000003</v>
      </c>
      <c r="X14" s="101">
        <v>7.7634999999999996</v>
      </c>
      <c r="Y14" s="114">
        <v>11.2</v>
      </c>
      <c r="Z14" s="93">
        <v>9.8000000000000007</v>
      </c>
      <c r="AA14" s="102">
        <v>8.8000000000000007</v>
      </c>
      <c r="AB14" s="101">
        <v>26.3611</v>
      </c>
      <c r="AC14" s="114">
        <v>22.9482</v>
      </c>
      <c r="AD14" s="101">
        <v>26.09</v>
      </c>
      <c r="AE14" s="101">
        <v>28.398499999999999</v>
      </c>
      <c r="AF14" s="101">
        <v>29.091200000000001</v>
      </c>
      <c r="AG14" s="101">
        <v>28.099</v>
      </c>
    </row>
    <row r="15" spans="1:33" s="93" customFormat="1">
      <c r="A15" s="76" t="s">
        <v>47</v>
      </c>
      <c r="B15" s="78" t="s">
        <v>34</v>
      </c>
      <c r="C15" s="78" t="s">
        <v>34</v>
      </c>
      <c r="D15" s="78" t="s">
        <v>34</v>
      </c>
      <c r="E15" s="78" t="s">
        <v>34</v>
      </c>
      <c r="F15" s="78" t="s">
        <v>34</v>
      </c>
      <c r="G15" s="78" t="s">
        <v>34</v>
      </c>
      <c r="H15" s="78" t="s">
        <v>34</v>
      </c>
      <c r="I15" s="78" t="s">
        <v>34</v>
      </c>
      <c r="J15" s="78" t="s">
        <v>34</v>
      </c>
      <c r="K15" s="78" t="s">
        <v>34</v>
      </c>
      <c r="L15" s="78" t="s">
        <v>34</v>
      </c>
      <c r="M15" s="78">
        <v>15.2</v>
      </c>
      <c r="N15" s="78">
        <v>14.1</v>
      </c>
      <c r="O15" s="78">
        <v>7.7</v>
      </c>
      <c r="P15" s="78">
        <v>8.8000000000000007</v>
      </c>
      <c r="Q15" s="98">
        <v>6.7</v>
      </c>
      <c r="R15" s="98">
        <v>7.7</v>
      </c>
      <c r="S15" s="98">
        <v>9.5</v>
      </c>
      <c r="T15" s="98">
        <v>2.2000000000000002</v>
      </c>
      <c r="U15" s="98">
        <v>17</v>
      </c>
      <c r="V15" s="102">
        <v>7.9</v>
      </c>
      <c r="W15" s="101">
        <v>9.3895999999999997</v>
      </c>
      <c r="X15" s="101">
        <v>11.043799999999999</v>
      </c>
      <c r="Y15" s="114">
        <v>14</v>
      </c>
      <c r="Z15" s="93">
        <v>11.2</v>
      </c>
      <c r="AA15" s="102">
        <v>8.1999999999999993</v>
      </c>
      <c r="AB15" s="101">
        <v>26.3611</v>
      </c>
      <c r="AC15" s="114">
        <v>22.9482</v>
      </c>
      <c r="AD15" s="101">
        <v>26.09</v>
      </c>
      <c r="AE15" s="101">
        <v>28.398499999999999</v>
      </c>
      <c r="AF15" s="101">
        <v>29.091200000000001</v>
      </c>
      <c r="AG15" s="101">
        <v>28.099</v>
      </c>
    </row>
    <row r="16" spans="1:33" s="93" customFormat="1">
      <c r="A16" s="76" t="s">
        <v>48</v>
      </c>
      <c r="B16" s="78" t="s">
        <v>34</v>
      </c>
      <c r="C16" s="78" t="s">
        <v>34</v>
      </c>
      <c r="D16" s="78" t="s">
        <v>34</v>
      </c>
      <c r="E16" s="78" t="s">
        <v>34</v>
      </c>
      <c r="F16" s="78" t="s">
        <v>34</v>
      </c>
      <c r="G16" s="78" t="s">
        <v>34</v>
      </c>
      <c r="H16" s="78" t="s">
        <v>34</v>
      </c>
      <c r="I16" s="78" t="s">
        <v>34</v>
      </c>
      <c r="J16" s="78" t="s">
        <v>34</v>
      </c>
      <c r="K16" s="78" t="s">
        <v>34</v>
      </c>
      <c r="L16" s="78" t="s">
        <v>34</v>
      </c>
      <c r="M16" s="78">
        <v>17.3</v>
      </c>
      <c r="N16" s="78">
        <v>18.399999999999999</v>
      </c>
      <c r="O16" s="78">
        <v>13.9</v>
      </c>
      <c r="P16" s="78">
        <v>15</v>
      </c>
      <c r="Q16" s="98">
        <v>12.9</v>
      </c>
      <c r="R16" s="98">
        <v>12.8</v>
      </c>
      <c r="S16" s="98">
        <v>14.8</v>
      </c>
      <c r="T16" s="98">
        <v>6.7</v>
      </c>
      <c r="U16" s="98">
        <v>19.600000000000001</v>
      </c>
      <c r="V16" s="102">
        <v>13.7</v>
      </c>
      <c r="W16" s="101">
        <v>14.3689</v>
      </c>
      <c r="X16" s="101">
        <v>13.9908</v>
      </c>
      <c r="Y16" s="114">
        <v>20.3</v>
      </c>
      <c r="Z16" s="93">
        <v>19.600000000000001</v>
      </c>
      <c r="AA16" s="102">
        <v>17</v>
      </c>
      <c r="AB16" s="101">
        <v>26.3611</v>
      </c>
      <c r="AC16" s="114">
        <v>22.9482</v>
      </c>
      <c r="AD16" s="101">
        <v>26.09</v>
      </c>
      <c r="AE16" s="101">
        <v>28.398499999999999</v>
      </c>
      <c r="AF16" s="101">
        <v>29.091200000000001</v>
      </c>
      <c r="AG16" s="101">
        <v>28.099</v>
      </c>
    </row>
    <row r="17" spans="1:33" s="93" customFormat="1">
      <c r="A17" s="76" t="s">
        <v>49</v>
      </c>
      <c r="B17" s="78" t="s">
        <v>34</v>
      </c>
      <c r="C17" s="78" t="s">
        <v>34</v>
      </c>
      <c r="D17" s="78" t="s">
        <v>34</v>
      </c>
      <c r="E17" s="78" t="s">
        <v>34</v>
      </c>
      <c r="F17" s="78" t="s">
        <v>34</v>
      </c>
      <c r="G17" s="78" t="s">
        <v>34</v>
      </c>
      <c r="H17" s="78" t="s">
        <v>34</v>
      </c>
      <c r="I17" s="78" t="s">
        <v>34</v>
      </c>
      <c r="J17" s="78" t="s">
        <v>34</v>
      </c>
      <c r="K17" s="78" t="s">
        <v>34</v>
      </c>
      <c r="L17" s="78" t="s">
        <v>34</v>
      </c>
      <c r="M17" s="78">
        <v>10.1</v>
      </c>
      <c r="N17" s="78">
        <v>9.4</v>
      </c>
      <c r="O17" s="78">
        <v>6.1</v>
      </c>
      <c r="P17" s="78">
        <v>7.5</v>
      </c>
      <c r="Q17" s="98">
        <v>6.7</v>
      </c>
      <c r="R17" s="98">
        <v>8.6999999999999993</v>
      </c>
      <c r="S17" s="98">
        <v>9.6</v>
      </c>
      <c r="T17" s="98">
        <v>4.4000000000000004</v>
      </c>
      <c r="U17" s="98">
        <v>12.4</v>
      </c>
      <c r="V17" s="102">
        <v>6.5</v>
      </c>
      <c r="W17" s="101">
        <v>6.5213999999999999</v>
      </c>
      <c r="X17" s="101">
        <v>7.0998000000000001</v>
      </c>
      <c r="Y17" s="114">
        <v>12.9</v>
      </c>
      <c r="Z17" s="93">
        <v>10.199999999999999</v>
      </c>
      <c r="AA17" s="102">
        <v>5.6</v>
      </c>
      <c r="AB17" s="101">
        <v>26.3611</v>
      </c>
      <c r="AC17" s="114">
        <v>22.9482</v>
      </c>
      <c r="AD17" s="101">
        <v>26.09</v>
      </c>
      <c r="AE17" s="101">
        <v>28.398499999999999</v>
      </c>
      <c r="AF17" s="101">
        <v>29.091200000000001</v>
      </c>
      <c r="AG17" s="101">
        <v>28.099</v>
      </c>
    </row>
    <row r="18" spans="1:33" s="93" customFormat="1">
      <c r="A18" s="93" t="s">
        <v>50</v>
      </c>
      <c r="B18" s="78" t="s">
        <v>34</v>
      </c>
      <c r="C18" s="78" t="s">
        <v>34</v>
      </c>
      <c r="D18" s="78" t="s">
        <v>34</v>
      </c>
      <c r="E18" s="78" t="s">
        <v>34</v>
      </c>
      <c r="F18" s="78" t="s">
        <v>34</v>
      </c>
      <c r="G18" s="78" t="s">
        <v>34</v>
      </c>
      <c r="H18" s="78" t="s">
        <v>34</v>
      </c>
      <c r="I18" s="78" t="s">
        <v>34</v>
      </c>
      <c r="J18" s="78" t="s">
        <v>34</v>
      </c>
      <c r="K18" s="78" t="s">
        <v>34</v>
      </c>
      <c r="L18" s="78" t="s">
        <v>34</v>
      </c>
      <c r="M18" s="78">
        <v>21.6</v>
      </c>
      <c r="N18" s="78">
        <v>19.3</v>
      </c>
      <c r="O18" s="78">
        <v>16.8</v>
      </c>
      <c r="P18" s="78">
        <v>15.2</v>
      </c>
      <c r="Q18" s="98">
        <v>16.7</v>
      </c>
      <c r="R18" s="98">
        <v>16</v>
      </c>
      <c r="S18" s="98">
        <v>17.899999999999999</v>
      </c>
      <c r="T18" s="98">
        <v>8.6999999999999993</v>
      </c>
      <c r="U18" s="98">
        <v>16.2</v>
      </c>
      <c r="V18" s="102">
        <v>13.8</v>
      </c>
      <c r="W18" s="101">
        <v>16.686299999999999</v>
      </c>
      <c r="X18" s="101">
        <v>11.0197</v>
      </c>
      <c r="Y18" s="114">
        <v>21.2</v>
      </c>
      <c r="Z18" s="93">
        <v>15.2</v>
      </c>
      <c r="AA18" s="102">
        <v>20.399999999999999</v>
      </c>
      <c r="AB18" s="101">
        <v>26.3611</v>
      </c>
      <c r="AC18" s="114">
        <v>22.9482</v>
      </c>
      <c r="AD18" s="101">
        <v>26.09</v>
      </c>
      <c r="AE18" s="101">
        <v>28.398499999999999</v>
      </c>
      <c r="AF18" s="101">
        <v>29.091200000000001</v>
      </c>
      <c r="AG18" s="101">
        <v>28.099</v>
      </c>
    </row>
    <row r="19" spans="1:33" s="93" customFormat="1">
      <c r="A19" s="76" t="s">
        <v>51</v>
      </c>
      <c r="B19" s="78" t="s">
        <v>34</v>
      </c>
      <c r="C19" s="78" t="s">
        <v>34</v>
      </c>
      <c r="D19" s="78" t="s">
        <v>34</v>
      </c>
      <c r="E19" s="78" t="s">
        <v>34</v>
      </c>
      <c r="F19" s="78" t="s">
        <v>34</v>
      </c>
      <c r="G19" s="78" t="s">
        <v>34</v>
      </c>
      <c r="H19" s="78" t="s">
        <v>34</v>
      </c>
      <c r="I19" s="78" t="s">
        <v>34</v>
      </c>
      <c r="J19" s="78" t="s">
        <v>34</v>
      </c>
      <c r="K19" s="78" t="s">
        <v>34</v>
      </c>
      <c r="L19" s="78" t="s">
        <v>34</v>
      </c>
      <c r="M19" s="78">
        <v>17</v>
      </c>
      <c r="N19" s="78">
        <v>16.5</v>
      </c>
      <c r="O19" s="78">
        <v>14.5</v>
      </c>
      <c r="P19" s="78">
        <v>16.5</v>
      </c>
      <c r="Q19" s="98">
        <v>15</v>
      </c>
      <c r="R19" s="98">
        <v>14.3</v>
      </c>
      <c r="S19" s="98">
        <v>14.9</v>
      </c>
      <c r="T19" s="98">
        <v>6</v>
      </c>
      <c r="U19" s="98">
        <v>20.5</v>
      </c>
      <c r="V19" s="102">
        <v>14.2</v>
      </c>
      <c r="W19" s="98">
        <f>17.2+15.4</f>
        <v>32.6</v>
      </c>
      <c r="X19" s="101">
        <v>12.714399999999999</v>
      </c>
      <c r="Y19" s="114">
        <v>16.899999999999999</v>
      </c>
      <c r="Z19" s="93">
        <v>20.6</v>
      </c>
      <c r="AA19" s="102">
        <v>16.5</v>
      </c>
      <c r="AB19" s="101">
        <v>26.3611</v>
      </c>
      <c r="AC19" s="114">
        <v>22.9482</v>
      </c>
      <c r="AD19" s="101">
        <v>26.09</v>
      </c>
      <c r="AE19" s="101">
        <v>28.398499999999999</v>
      </c>
      <c r="AF19" s="101">
        <v>29.091200000000001</v>
      </c>
      <c r="AG19" s="101">
        <v>28.099</v>
      </c>
    </row>
    <row r="20" spans="1:33" s="93" customFormat="1">
      <c r="A20" s="76" t="s">
        <v>52</v>
      </c>
      <c r="B20" s="78" t="s">
        <v>34</v>
      </c>
      <c r="C20" s="78" t="s">
        <v>34</v>
      </c>
      <c r="D20" s="78" t="s">
        <v>34</v>
      </c>
      <c r="E20" s="78" t="s">
        <v>34</v>
      </c>
      <c r="F20" s="78" t="s">
        <v>34</v>
      </c>
      <c r="G20" s="78" t="s">
        <v>34</v>
      </c>
      <c r="H20" s="78" t="s">
        <v>34</v>
      </c>
      <c r="I20" s="78" t="s">
        <v>34</v>
      </c>
      <c r="J20" s="78" t="s">
        <v>34</v>
      </c>
      <c r="K20" s="78" t="s">
        <v>34</v>
      </c>
      <c r="L20" s="78" t="s">
        <v>34</v>
      </c>
      <c r="M20" s="78">
        <v>17.3</v>
      </c>
      <c r="N20" s="78">
        <v>12.7</v>
      </c>
      <c r="O20" s="78">
        <v>9.4</v>
      </c>
      <c r="P20" s="78">
        <v>12.7</v>
      </c>
      <c r="Q20" s="98">
        <v>12.3</v>
      </c>
      <c r="R20" s="98">
        <v>9.5</v>
      </c>
      <c r="S20" s="98">
        <v>14.8</v>
      </c>
      <c r="T20" s="98">
        <v>4.0999999999999996</v>
      </c>
      <c r="U20" s="98">
        <v>23.7</v>
      </c>
      <c r="V20" s="102">
        <v>11.2</v>
      </c>
      <c r="W20" s="101">
        <v>13.067299999999999</v>
      </c>
      <c r="X20" s="101">
        <v>8.9664000000000001</v>
      </c>
      <c r="Y20" s="114">
        <v>18.5</v>
      </c>
      <c r="Z20" s="93">
        <v>13.4</v>
      </c>
      <c r="AA20" s="102">
        <v>15.1</v>
      </c>
      <c r="AB20" s="101">
        <v>19.6464</v>
      </c>
      <c r="AC20" s="114">
        <v>17.289200000000001</v>
      </c>
      <c r="AD20" s="101">
        <v>17.130800000000001</v>
      </c>
      <c r="AE20" s="101">
        <v>24.619499999999999</v>
      </c>
      <c r="AF20" s="101">
        <v>21.197399999999998</v>
      </c>
      <c r="AG20" s="101">
        <v>19.974900000000002</v>
      </c>
    </row>
    <row r="21" spans="1:33" s="93" customFormat="1">
      <c r="A21" s="76" t="s">
        <v>53</v>
      </c>
      <c r="B21" s="78" t="s">
        <v>34</v>
      </c>
      <c r="C21" s="78" t="s">
        <v>34</v>
      </c>
      <c r="D21" s="78" t="s">
        <v>34</v>
      </c>
      <c r="E21" s="78" t="s">
        <v>34</v>
      </c>
      <c r="F21" s="78" t="s">
        <v>34</v>
      </c>
      <c r="G21" s="78" t="s">
        <v>34</v>
      </c>
      <c r="H21" s="78" t="s">
        <v>34</v>
      </c>
      <c r="I21" s="78" t="s">
        <v>34</v>
      </c>
      <c r="J21" s="78" t="s">
        <v>34</v>
      </c>
      <c r="K21" s="78" t="s">
        <v>34</v>
      </c>
      <c r="L21" s="78" t="s">
        <v>34</v>
      </c>
      <c r="M21" s="78">
        <v>11.4</v>
      </c>
      <c r="N21" s="78">
        <v>15</v>
      </c>
      <c r="O21" s="78">
        <v>8.4</v>
      </c>
      <c r="P21" s="78">
        <v>9.6999999999999993</v>
      </c>
      <c r="Q21" s="98">
        <v>10.7</v>
      </c>
      <c r="R21" s="98">
        <v>6.8</v>
      </c>
      <c r="S21" s="98">
        <v>12.4</v>
      </c>
      <c r="T21" s="98">
        <v>2.6</v>
      </c>
      <c r="U21" s="98">
        <v>12.7</v>
      </c>
      <c r="V21" s="102">
        <v>7.7</v>
      </c>
      <c r="W21" s="101">
        <v>9.2066999999999997</v>
      </c>
      <c r="X21" s="101">
        <v>10.429</v>
      </c>
      <c r="Y21" s="114">
        <v>12.7</v>
      </c>
      <c r="Z21" s="93">
        <v>6.5</v>
      </c>
      <c r="AA21" s="102">
        <v>10.3</v>
      </c>
      <c r="AB21" s="101">
        <v>12.5312</v>
      </c>
      <c r="AC21" s="114">
        <v>9.4314999999999998</v>
      </c>
      <c r="AD21" s="101">
        <v>8.9753000000000007</v>
      </c>
      <c r="AE21" s="101">
        <v>12.742000000000001</v>
      </c>
      <c r="AF21" s="101">
        <v>12.907</v>
      </c>
      <c r="AG21" s="101">
        <v>8.5315999999999992</v>
      </c>
    </row>
    <row r="22" spans="1:33" s="93" customFormat="1">
      <c r="A22" s="76" t="s">
        <v>54</v>
      </c>
      <c r="B22" s="78" t="s">
        <v>34</v>
      </c>
      <c r="C22" s="78" t="s">
        <v>34</v>
      </c>
      <c r="D22" s="78" t="s">
        <v>34</v>
      </c>
      <c r="E22" s="78" t="s">
        <v>34</v>
      </c>
      <c r="F22" s="78" t="s">
        <v>34</v>
      </c>
      <c r="G22" s="78" t="s">
        <v>34</v>
      </c>
      <c r="H22" s="78" t="s">
        <v>34</v>
      </c>
      <c r="I22" s="78" t="s">
        <v>34</v>
      </c>
      <c r="J22" s="78" t="s">
        <v>34</v>
      </c>
      <c r="K22" s="78" t="s">
        <v>34</v>
      </c>
      <c r="L22" s="78" t="s">
        <v>34</v>
      </c>
      <c r="M22" s="78">
        <v>11.4</v>
      </c>
      <c r="N22" s="78">
        <v>11.4</v>
      </c>
      <c r="O22" s="78">
        <v>10.7</v>
      </c>
      <c r="P22" s="78">
        <v>8.3000000000000007</v>
      </c>
      <c r="Q22" s="98">
        <v>15.8</v>
      </c>
      <c r="R22" s="98">
        <v>5</v>
      </c>
      <c r="S22" s="98">
        <v>10.8</v>
      </c>
      <c r="T22" s="98">
        <v>2.6</v>
      </c>
      <c r="U22" s="98">
        <v>16.100000000000001</v>
      </c>
      <c r="V22" s="102">
        <v>13.5</v>
      </c>
      <c r="W22" s="101">
        <v>13.7928</v>
      </c>
      <c r="X22" s="101">
        <v>9.5808999999999997</v>
      </c>
      <c r="Y22" s="93">
        <v>18.899999999999999</v>
      </c>
      <c r="Z22" s="93">
        <v>12.8</v>
      </c>
      <c r="AA22" s="102">
        <v>16.3</v>
      </c>
      <c r="AB22" s="101">
        <v>15.521699999999999</v>
      </c>
      <c r="AC22" s="114">
        <v>10.815300000000001</v>
      </c>
      <c r="AD22" s="101">
        <v>10.4513</v>
      </c>
      <c r="AE22" s="101">
        <v>14.0937</v>
      </c>
      <c r="AF22" s="101">
        <v>12.708</v>
      </c>
      <c r="AG22" s="101">
        <v>4.4131</v>
      </c>
    </row>
    <row r="23" spans="1:33" s="93" customFormat="1">
      <c r="A23" s="76" t="s">
        <v>55</v>
      </c>
      <c r="B23" s="78" t="s">
        <v>34</v>
      </c>
      <c r="C23" s="78" t="s">
        <v>34</v>
      </c>
      <c r="D23" s="78" t="s">
        <v>34</v>
      </c>
      <c r="E23" s="78" t="s">
        <v>34</v>
      </c>
      <c r="F23" s="78" t="s">
        <v>34</v>
      </c>
      <c r="G23" s="78" t="s">
        <v>34</v>
      </c>
      <c r="H23" s="78" t="s">
        <v>34</v>
      </c>
      <c r="I23" s="78" t="s">
        <v>34</v>
      </c>
      <c r="J23" s="78" t="s">
        <v>34</v>
      </c>
      <c r="K23" s="78" t="s">
        <v>34</v>
      </c>
      <c r="L23" s="78" t="s">
        <v>34</v>
      </c>
      <c r="M23" s="78">
        <v>11</v>
      </c>
      <c r="N23" s="78">
        <v>11.7</v>
      </c>
      <c r="O23" s="78">
        <v>11.4</v>
      </c>
      <c r="P23" s="78">
        <v>11.3</v>
      </c>
      <c r="Q23" s="98">
        <v>9.6999999999999993</v>
      </c>
      <c r="R23" s="98">
        <v>9.6</v>
      </c>
      <c r="S23" s="98">
        <v>9.9</v>
      </c>
      <c r="T23" s="98">
        <v>7.5</v>
      </c>
      <c r="U23" s="98">
        <v>14.8</v>
      </c>
      <c r="V23" s="102">
        <v>15</v>
      </c>
      <c r="W23" s="101">
        <v>15.807600000000001</v>
      </c>
      <c r="X23" s="101">
        <v>14.642200000000001</v>
      </c>
      <c r="Y23" s="93">
        <v>14.7</v>
      </c>
      <c r="Z23" s="93">
        <v>15.1</v>
      </c>
      <c r="AA23" s="102">
        <v>16</v>
      </c>
      <c r="AB23" s="101">
        <v>21.901599999999998</v>
      </c>
      <c r="AC23" s="114">
        <v>21.540099999999999</v>
      </c>
      <c r="AD23" s="101">
        <v>21.1816</v>
      </c>
      <c r="AE23" s="101">
        <v>21.825199999999999</v>
      </c>
      <c r="AF23" s="101">
        <v>22.157499999999999</v>
      </c>
      <c r="AG23" s="101">
        <v>19.0593</v>
      </c>
    </row>
    <row r="24" spans="1:33" s="93" customFormat="1">
      <c r="A24" s="103" t="s">
        <v>56</v>
      </c>
      <c r="B24" s="78" t="s">
        <v>34</v>
      </c>
      <c r="C24" s="78" t="s">
        <v>34</v>
      </c>
      <c r="D24" s="78" t="s">
        <v>34</v>
      </c>
      <c r="E24" s="78" t="s">
        <v>34</v>
      </c>
      <c r="F24" s="78" t="s">
        <v>34</v>
      </c>
      <c r="G24" s="78" t="s">
        <v>34</v>
      </c>
      <c r="H24" s="78" t="s">
        <v>34</v>
      </c>
      <c r="I24" s="78" t="s">
        <v>34</v>
      </c>
      <c r="J24" s="78" t="s">
        <v>34</v>
      </c>
      <c r="K24" s="78" t="s">
        <v>34</v>
      </c>
      <c r="L24" s="78" t="s">
        <v>34</v>
      </c>
      <c r="M24" s="78">
        <v>15.8</v>
      </c>
      <c r="N24" s="78">
        <v>18.2</v>
      </c>
      <c r="O24" s="78">
        <v>9.9</v>
      </c>
      <c r="P24" s="78">
        <v>9</v>
      </c>
      <c r="Q24" s="98">
        <v>7.2</v>
      </c>
      <c r="R24" s="98">
        <v>8</v>
      </c>
      <c r="S24" s="98">
        <v>8.8000000000000007</v>
      </c>
      <c r="T24" s="98">
        <v>3.1</v>
      </c>
      <c r="U24" s="98">
        <v>15.6</v>
      </c>
      <c r="V24" s="102">
        <v>7</v>
      </c>
      <c r="W24" s="101">
        <v>7.1791999999999998</v>
      </c>
      <c r="X24" s="101">
        <v>6.4172000000000002</v>
      </c>
      <c r="Y24" s="114">
        <v>8.6</v>
      </c>
      <c r="Z24" s="93">
        <v>9.1</v>
      </c>
      <c r="AA24" s="102">
        <v>6.5</v>
      </c>
      <c r="AB24" s="101">
        <v>10.450699999999999</v>
      </c>
      <c r="AC24" s="114">
        <v>6.8601999999999999</v>
      </c>
      <c r="AD24" s="101">
        <v>11.2273</v>
      </c>
      <c r="AE24" s="101">
        <v>13.1074</v>
      </c>
      <c r="AF24" s="101">
        <v>8.1839999999999993</v>
      </c>
      <c r="AG24" s="101">
        <v>10.1273</v>
      </c>
    </row>
    <row r="25" spans="1:33" s="93" customFormat="1">
      <c r="A25" s="76" t="s">
        <v>57</v>
      </c>
      <c r="B25" s="78" t="s">
        <v>34</v>
      </c>
      <c r="C25" s="78" t="s">
        <v>34</v>
      </c>
      <c r="D25" s="78" t="s">
        <v>34</v>
      </c>
      <c r="E25" s="78" t="s">
        <v>34</v>
      </c>
      <c r="F25" s="78" t="s">
        <v>34</v>
      </c>
      <c r="G25" s="78" t="s">
        <v>34</v>
      </c>
      <c r="H25" s="78" t="s">
        <v>34</v>
      </c>
      <c r="I25" s="78" t="s">
        <v>34</v>
      </c>
      <c r="J25" s="78" t="s">
        <v>34</v>
      </c>
      <c r="K25" s="78" t="s">
        <v>34</v>
      </c>
      <c r="L25" s="78" t="s">
        <v>34</v>
      </c>
      <c r="M25" s="78">
        <v>12.9</v>
      </c>
      <c r="N25" s="78">
        <v>22.6</v>
      </c>
      <c r="O25" s="78">
        <v>15.2</v>
      </c>
      <c r="P25" s="78">
        <v>15.9</v>
      </c>
      <c r="Q25" s="98">
        <v>14.9</v>
      </c>
      <c r="R25" s="98">
        <v>9.3000000000000007</v>
      </c>
      <c r="S25" s="98">
        <v>13.7</v>
      </c>
      <c r="T25" s="98">
        <v>3</v>
      </c>
      <c r="U25" s="98">
        <v>10.8</v>
      </c>
      <c r="V25" s="102">
        <v>8</v>
      </c>
      <c r="W25" s="101">
        <v>9.9847999999999999</v>
      </c>
      <c r="X25" s="101">
        <v>9.77</v>
      </c>
      <c r="Y25" s="114">
        <v>13.4</v>
      </c>
      <c r="Z25" s="93">
        <v>11.2</v>
      </c>
      <c r="AA25" s="102">
        <v>14.1</v>
      </c>
      <c r="AB25" s="101">
        <v>19.703099999999999</v>
      </c>
      <c r="AC25" s="114">
        <v>14.737399999999999</v>
      </c>
      <c r="AD25" s="101">
        <v>16.867699999999999</v>
      </c>
      <c r="AE25" s="101">
        <v>21.502500000000001</v>
      </c>
      <c r="AF25" s="101">
        <v>18.4267</v>
      </c>
      <c r="AG25" s="101">
        <v>17.122699999999998</v>
      </c>
    </row>
    <row r="26" spans="1:33" s="93" customFormat="1">
      <c r="A26" s="104" t="s">
        <v>58</v>
      </c>
      <c r="B26" s="97" t="s">
        <v>34</v>
      </c>
      <c r="C26" s="97" t="s">
        <v>34</v>
      </c>
      <c r="D26" s="97" t="s">
        <v>34</v>
      </c>
      <c r="E26" s="97" t="s">
        <v>34</v>
      </c>
      <c r="F26" s="97" t="s">
        <v>34</v>
      </c>
      <c r="G26" s="97" t="s">
        <v>34</v>
      </c>
      <c r="H26" s="97" t="s">
        <v>34</v>
      </c>
      <c r="I26" s="97" t="s">
        <v>34</v>
      </c>
      <c r="J26" s="97" t="s">
        <v>34</v>
      </c>
      <c r="K26" s="97" t="s">
        <v>34</v>
      </c>
      <c r="L26" s="97" t="s">
        <v>34</v>
      </c>
      <c r="M26" s="97">
        <v>20.7</v>
      </c>
      <c r="N26" s="97">
        <v>20.8</v>
      </c>
      <c r="O26" s="97">
        <v>15.6</v>
      </c>
      <c r="P26" s="97">
        <v>14.4</v>
      </c>
      <c r="Q26" s="108">
        <v>12.8</v>
      </c>
      <c r="R26" s="108">
        <v>13.9</v>
      </c>
      <c r="S26" s="108">
        <v>17.5</v>
      </c>
      <c r="T26" s="108">
        <v>7.7</v>
      </c>
      <c r="U26" s="108">
        <v>19.899999999999999</v>
      </c>
      <c r="V26" s="110">
        <v>13.5</v>
      </c>
      <c r="W26" s="109">
        <v>11.993</v>
      </c>
      <c r="X26" s="109">
        <v>13.444800000000001</v>
      </c>
      <c r="Y26" s="115">
        <v>14.3</v>
      </c>
      <c r="Z26" s="116">
        <v>15.7</v>
      </c>
      <c r="AA26" s="116">
        <v>11.5</v>
      </c>
      <c r="AB26" s="109">
        <v>11.9674</v>
      </c>
      <c r="AC26" s="115">
        <v>13.578799999999999</v>
      </c>
      <c r="AD26" s="109">
        <v>19.9343</v>
      </c>
      <c r="AE26" s="109">
        <v>20.160900000000002</v>
      </c>
      <c r="AF26" s="109">
        <v>9.9632000000000005</v>
      </c>
      <c r="AG26" s="109">
        <v>24.098700000000001</v>
      </c>
    </row>
    <row r="27" spans="1:33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9" spans="1:33" ht="12.75" customHeight="1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</row>
    <row r="30" spans="1:33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AD30" s="154" t="s">
        <v>9</v>
      </c>
      <c r="AE30" s="154"/>
      <c r="AF30" s="154"/>
      <c r="AG30" s="154"/>
    </row>
    <row r="31" spans="1:33" s="91" customFormat="1">
      <c r="A31" s="90"/>
      <c r="B31" s="90">
        <v>1990</v>
      </c>
      <c r="C31" s="90">
        <v>1991</v>
      </c>
      <c r="D31" s="90">
        <v>1992</v>
      </c>
      <c r="E31" s="90">
        <v>1993</v>
      </c>
      <c r="F31" s="90">
        <v>1994</v>
      </c>
      <c r="G31" s="90">
        <v>1995</v>
      </c>
      <c r="H31" s="90">
        <v>1996</v>
      </c>
      <c r="I31" s="90">
        <v>1997</v>
      </c>
      <c r="J31" s="90">
        <v>1998</v>
      </c>
      <c r="K31" s="90">
        <v>1999</v>
      </c>
      <c r="L31" s="90">
        <v>2000</v>
      </c>
      <c r="M31" s="90">
        <v>2001</v>
      </c>
      <c r="N31" s="90">
        <v>2002</v>
      </c>
      <c r="O31" s="90">
        <v>2003</v>
      </c>
      <c r="P31" s="90">
        <v>2004</v>
      </c>
      <c r="Q31" s="90">
        <v>2005</v>
      </c>
      <c r="R31" s="90">
        <v>2006</v>
      </c>
      <c r="S31" s="90">
        <v>2007</v>
      </c>
      <c r="T31" s="90">
        <v>2008</v>
      </c>
      <c r="U31" s="90">
        <v>2009</v>
      </c>
      <c r="V31" s="90">
        <v>2010</v>
      </c>
      <c r="W31" s="90">
        <v>2011</v>
      </c>
      <c r="X31" s="90">
        <v>2012</v>
      </c>
      <c r="Y31" s="90">
        <v>2013</v>
      </c>
      <c r="Z31" s="90">
        <v>2014</v>
      </c>
      <c r="AA31" s="90">
        <v>2015</v>
      </c>
      <c r="AB31" s="90">
        <v>2016</v>
      </c>
      <c r="AC31" s="90">
        <v>2017</v>
      </c>
      <c r="AD31" s="90">
        <v>2018</v>
      </c>
      <c r="AE31" s="90">
        <v>2019</v>
      </c>
      <c r="AF31" s="90">
        <v>2020</v>
      </c>
      <c r="AG31" s="90">
        <v>2021</v>
      </c>
    </row>
    <row r="32" spans="1:33" s="93" customFormat="1" ht="23.25" customHeight="1">
      <c r="A32" s="134" t="s">
        <v>85</v>
      </c>
      <c r="B32" s="98">
        <v>6</v>
      </c>
      <c r="C32" s="98">
        <v>2.9</v>
      </c>
      <c r="D32" s="98">
        <v>7.8</v>
      </c>
      <c r="E32" s="98">
        <v>10.5</v>
      </c>
      <c r="F32" s="98">
        <v>3.9</v>
      </c>
      <c r="G32" s="98">
        <v>5.7</v>
      </c>
      <c r="H32" s="98">
        <v>4.2</v>
      </c>
      <c r="I32" s="98">
        <v>4.5999999999999996</v>
      </c>
      <c r="J32" s="98">
        <v>10.7</v>
      </c>
      <c r="K32" s="98">
        <v>11.3</v>
      </c>
      <c r="L32" s="98">
        <v>16.3</v>
      </c>
      <c r="M32" s="98">
        <v>14.6</v>
      </c>
      <c r="N32" s="98">
        <v>16.3</v>
      </c>
      <c r="O32" s="98">
        <v>10.8</v>
      </c>
      <c r="P32" s="98">
        <v>12.2</v>
      </c>
      <c r="Q32" s="98">
        <v>10.4</v>
      </c>
      <c r="R32" s="98">
        <v>9.6</v>
      </c>
      <c r="S32" s="98">
        <v>12.5</v>
      </c>
      <c r="T32" s="99">
        <v>4.4000000000000004</v>
      </c>
      <c r="U32" s="105">
        <v>16.100000000000001</v>
      </c>
      <c r="V32" s="105">
        <v>9.8000000000000007</v>
      </c>
      <c r="W32" s="98">
        <v>10.6069</v>
      </c>
      <c r="X32" s="105">
        <v>11.6</v>
      </c>
      <c r="Y32" s="105">
        <v>14.1</v>
      </c>
      <c r="Z32" s="105">
        <v>12.5</v>
      </c>
      <c r="AA32" s="105">
        <v>12</v>
      </c>
      <c r="AB32" s="105">
        <v>16.100000000000001</v>
      </c>
      <c r="AC32" s="105">
        <v>12.5</v>
      </c>
      <c r="AD32" s="105">
        <v>17.2</v>
      </c>
      <c r="AE32" s="105">
        <v>19.100000000000001</v>
      </c>
      <c r="AF32" s="105">
        <v>14.3</v>
      </c>
      <c r="AG32" s="105">
        <v>18.399999999999999</v>
      </c>
    </row>
    <row r="33" spans="1:33" s="93" customFormat="1">
      <c r="A33" s="76" t="s">
        <v>40</v>
      </c>
      <c r="B33" s="105" t="s">
        <v>34</v>
      </c>
      <c r="C33" s="105" t="s">
        <v>34</v>
      </c>
      <c r="D33" s="105" t="s">
        <v>34</v>
      </c>
      <c r="E33" s="105" t="s">
        <v>34</v>
      </c>
      <c r="F33" s="105" t="s">
        <v>34</v>
      </c>
      <c r="G33" s="105" t="s">
        <v>34</v>
      </c>
      <c r="H33" s="105" t="s">
        <v>34</v>
      </c>
      <c r="I33" s="98">
        <v>3.5</v>
      </c>
      <c r="J33" s="98">
        <v>7.4</v>
      </c>
      <c r="K33" s="98">
        <v>8</v>
      </c>
      <c r="L33" s="98">
        <v>14.1</v>
      </c>
      <c r="M33" s="98">
        <v>10.3</v>
      </c>
      <c r="N33" s="98">
        <v>7.9</v>
      </c>
      <c r="O33" s="98">
        <v>7</v>
      </c>
      <c r="P33" s="98">
        <v>9.5</v>
      </c>
      <c r="Q33" s="98" t="s">
        <v>10</v>
      </c>
      <c r="R33" s="98" t="s">
        <v>10</v>
      </c>
      <c r="S33" s="98" t="s">
        <v>10</v>
      </c>
      <c r="T33" s="98" t="s">
        <v>10</v>
      </c>
      <c r="U33" s="98" t="s">
        <v>10</v>
      </c>
      <c r="V33" s="105" t="s">
        <v>10</v>
      </c>
      <c r="W33" s="98" t="s">
        <v>10</v>
      </c>
      <c r="X33" s="114" t="s">
        <v>10</v>
      </c>
      <c r="Y33" s="114" t="s">
        <v>10</v>
      </c>
      <c r="Z33" s="114" t="s">
        <v>10</v>
      </c>
      <c r="AA33" s="114" t="s">
        <v>10</v>
      </c>
      <c r="AB33" s="101">
        <v>13.963800000000001</v>
      </c>
      <c r="AC33" s="101">
        <v>10.764900000000001</v>
      </c>
      <c r="AD33" s="101">
        <v>15.6256</v>
      </c>
      <c r="AE33" s="101">
        <v>15.007</v>
      </c>
      <c r="AF33" s="101">
        <v>12.0007</v>
      </c>
      <c r="AG33" s="101">
        <v>14.472899999999999</v>
      </c>
    </row>
    <row r="34" spans="1:33" s="93" customFormat="1">
      <c r="A34" s="76" t="s">
        <v>41</v>
      </c>
      <c r="B34" s="105" t="s">
        <v>34</v>
      </c>
      <c r="C34" s="105" t="s">
        <v>34</v>
      </c>
      <c r="D34" s="105" t="s">
        <v>34</v>
      </c>
      <c r="E34" s="105" t="s">
        <v>34</v>
      </c>
      <c r="F34" s="105" t="s">
        <v>34</v>
      </c>
      <c r="G34" s="105" t="s">
        <v>34</v>
      </c>
      <c r="H34" s="105" t="s">
        <v>34</v>
      </c>
      <c r="I34" s="98">
        <v>0.6</v>
      </c>
      <c r="J34" s="98">
        <v>4.7</v>
      </c>
      <c r="K34" s="98">
        <v>2.5</v>
      </c>
      <c r="L34" s="98">
        <v>6.4</v>
      </c>
      <c r="M34" s="98">
        <v>10.3</v>
      </c>
      <c r="N34" s="98">
        <v>8.6</v>
      </c>
      <c r="O34" s="98">
        <v>7</v>
      </c>
      <c r="P34" s="98">
        <v>7.8</v>
      </c>
      <c r="Q34" s="98" t="s">
        <v>10</v>
      </c>
      <c r="R34" s="98" t="s">
        <v>10</v>
      </c>
      <c r="S34" s="98" t="s">
        <v>10</v>
      </c>
      <c r="T34" s="98" t="s">
        <v>10</v>
      </c>
      <c r="U34" s="98" t="s">
        <v>10</v>
      </c>
      <c r="V34" s="105" t="s">
        <v>10</v>
      </c>
      <c r="W34" s="98" t="s">
        <v>10</v>
      </c>
      <c r="X34" s="114" t="s">
        <v>10</v>
      </c>
      <c r="Y34" s="114" t="s">
        <v>10</v>
      </c>
      <c r="Z34" s="114" t="s">
        <v>10</v>
      </c>
      <c r="AA34" s="114" t="s">
        <v>10</v>
      </c>
      <c r="AB34" s="101">
        <v>8.6316000000000006</v>
      </c>
      <c r="AC34" s="101">
        <v>5</v>
      </c>
      <c r="AD34" s="101">
        <v>12.890700000000001</v>
      </c>
      <c r="AE34" s="101">
        <v>6.9446000000000003</v>
      </c>
      <c r="AF34" s="101">
        <v>10.359400000000001</v>
      </c>
      <c r="AG34" s="101">
        <v>14.7867</v>
      </c>
    </row>
    <row r="35" spans="1:33" s="93" customFormat="1">
      <c r="A35" s="76" t="s">
        <v>42</v>
      </c>
      <c r="B35" s="105" t="s">
        <v>34</v>
      </c>
      <c r="C35" s="105" t="s">
        <v>34</v>
      </c>
      <c r="D35" s="105" t="s">
        <v>34</v>
      </c>
      <c r="E35" s="105" t="s">
        <v>34</v>
      </c>
      <c r="F35" s="105" t="s">
        <v>34</v>
      </c>
      <c r="G35" s="105" t="s">
        <v>34</v>
      </c>
      <c r="H35" s="105" t="s">
        <v>34</v>
      </c>
      <c r="I35" s="98">
        <v>7</v>
      </c>
      <c r="J35" s="98"/>
      <c r="K35" s="98">
        <v>18.100000000000001</v>
      </c>
      <c r="L35" s="98">
        <v>16.600000000000001</v>
      </c>
      <c r="M35" s="98">
        <v>17</v>
      </c>
      <c r="N35" s="98">
        <v>16</v>
      </c>
      <c r="O35" s="98">
        <v>19.600000000000001</v>
      </c>
      <c r="P35" s="98">
        <v>15.8</v>
      </c>
      <c r="Q35" s="98" t="s">
        <v>10</v>
      </c>
      <c r="R35" s="98" t="s">
        <v>10</v>
      </c>
      <c r="S35" s="98" t="s">
        <v>10</v>
      </c>
      <c r="T35" s="98" t="s">
        <v>10</v>
      </c>
      <c r="U35" s="98" t="s">
        <v>10</v>
      </c>
      <c r="V35" s="105" t="s">
        <v>10</v>
      </c>
      <c r="W35" s="98" t="s">
        <v>10</v>
      </c>
      <c r="X35" s="114" t="s">
        <v>10</v>
      </c>
      <c r="Y35" s="114" t="s">
        <v>10</v>
      </c>
      <c r="Z35" s="114" t="s">
        <v>10</v>
      </c>
      <c r="AA35" s="114" t="s">
        <v>10</v>
      </c>
      <c r="AB35" s="101">
        <v>23.378399999999999</v>
      </c>
      <c r="AC35" s="101">
        <v>24.645199999999999</v>
      </c>
      <c r="AD35" s="101">
        <v>24.502600000000001</v>
      </c>
      <c r="AE35" s="101">
        <v>22.8446</v>
      </c>
      <c r="AF35" s="101">
        <v>17.938300000000002</v>
      </c>
      <c r="AG35" s="101">
        <v>20.6236</v>
      </c>
    </row>
    <row r="36" spans="1:33" s="93" customFormat="1">
      <c r="A36" s="76" t="s">
        <v>43</v>
      </c>
      <c r="B36" s="105" t="s">
        <v>34</v>
      </c>
      <c r="C36" s="105" t="s">
        <v>34</v>
      </c>
      <c r="D36" s="105" t="s">
        <v>34</v>
      </c>
      <c r="E36" s="105" t="s">
        <v>34</v>
      </c>
      <c r="F36" s="105" t="s">
        <v>34</v>
      </c>
      <c r="G36" s="105" t="s">
        <v>34</v>
      </c>
      <c r="H36" s="105" t="s">
        <v>34</v>
      </c>
      <c r="I36" s="98" t="s">
        <v>10</v>
      </c>
      <c r="J36" s="98" t="s">
        <v>10</v>
      </c>
      <c r="K36" s="98" t="s">
        <v>10</v>
      </c>
      <c r="L36" s="98" t="s">
        <v>10</v>
      </c>
      <c r="M36" s="98" t="s">
        <v>10</v>
      </c>
      <c r="N36" s="98" t="s">
        <v>10</v>
      </c>
      <c r="O36" s="98" t="s">
        <v>10</v>
      </c>
      <c r="P36" s="98" t="s">
        <v>10</v>
      </c>
      <c r="Q36" s="98" t="s">
        <v>10</v>
      </c>
      <c r="R36" s="98" t="s">
        <v>10</v>
      </c>
      <c r="S36" s="98" t="s">
        <v>10</v>
      </c>
      <c r="T36" s="98" t="s">
        <v>10</v>
      </c>
      <c r="U36" s="98" t="s">
        <v>10</v>
      </c>
      <c r="V36" s="105" t="s">
        <v>10</v>
      </c>
      <c r="W36" s="98" t="s">
        <v>10</v>
      </c>
      <c r="Y36" s="114" t="s">
        <v>10</v>
      </c>
      <c r="Z36" s="114" t="s">
        <v>10</v>
      </c>
      <c r="AA36" s="114" t="s">
        <v>10</v>
      </c>
      <c r="AB36" s="114" t="s">
        <v>10</v>
      </c>
      <c r="AC36" s="114" t="s">
        <v>10</v>
      </c>
      <c r="AD36" s="114" t="s">
        <v>10</v>
      </c>
      <c r="AE36" s="114" t="s">
        <v>10</v>
      </c>
      <c r="AF36" s="114" t="s">
        <v>10</v>
      </c>
      <c r="AG36" s="114" t="s">
        <v>10</v>
      </c>
    </row>
    <row r="37" spans="1:33" s="93" customFormat="1">
      <c r="A37" s="76" t="s">
        <v>44</v>
      </c>
      <c r="B37" s="105" t="s">
        <v>34</v>
      </c>
      <c r="C37" s="105" t="s">
        <v>34</v>
      </c>
      <c r="D37" s="105" t="s">
        <v>34</v>
      </c>
      <c r="E37" s="105" t="s">
        <v>34</v>
      </c>
      <c r="F37" s="105" t="s">
        <v>34</v>
      </c>
      <c r="G37" s="105" t="s">
        <v>34</v>
      </c>
      <c r="H37" s="105" t="s">
        <v>34</v>
      </c>
      <c r="I37" s="98">
        <v>2</v>
      </c>
      <c r="J37" s="98" t="s">
        <v>10</v>
      </c>
      <c r="K37" s="98">
        <v>4.5999999999999996</v>
      </c>
      <c r="L37" s="98" t="s">
        <v>10</v>
      </c>
      <c r="M37" s="98" t="s">
        <v>10</v>
      </c>
      <c r="N37" s="98" t="s">
        <v>10</v>
      </c>
      <c r="O37" s="98" t="s">
        <v>10</v>
      </c>
      <c r="P37" s="98" t="s">
        <v>10</v>
      </c>
      <c r="Q37" s="98" t="s">
        <v>10</v>
      </c>
      <c r="R37" s="98" t="s">
        <v>10</v>
      </c>
      <c r="S37" s="98" t="s">
        <v>10</v>
      </c>
      <c r="T37" s="98" t="s">
        <v>10</v>
      </c>
      <c r="U37" s="98" t="s">
        <v>10</v>
      </c>
      <c r="V37" s="105" t="s">
        <v>10</v>
      </c>
      <c r="W37" s="98" t="s">
        <v>10</v>
      </c>
      <c r="Y37" s="114" t="s">
        <v>10</v>
      </c>
      <c r="Z37" s="114" t="s">
        <v>10</v>
      </c>
      <c r="AA37" s="114" t="s">
        <v>10</v>
      </c>
      <c r="AB37" s="114" t="s">
        <v>10</v>
      </c>
      <c r="AC37" s="114" t="s">
        <v>10</v>
      </c>
      <c r="AD37" s="114" t="s">
        <v>10</v>
      </c>
      <c r="AE37" s="114" t="s">
        <v>10</v>
      </c>
      <c r="AF37" s="114" t="s">
        <v>10</v>
      </c>
      <c r="AG37" s="114" t="s">
        <v>10</v>
      </c>
    </row>
    <row r="38" spans="1:33" s="93" customFormat="1">
      <c r="A38" s="76" t="s">
        <v>45</v>
      </c>
      <c r="B38" s="105" t="s">
        <v>34</v>
      </c>
      <c r="C38" s="105" t="s">
        <v>34</v>
      </c>
      <c r="D38" s="105" t="s">
        <v>34</v>
      </c>
      <c r="E38" s="105" t="s">
        <v>34</v>
      </c>
      <c r="F38" s="105" t="s">
        <v>34</v>
      </c>
      <c r="G38" s="105" t="s">
        <v>34</v>
      </c>
      <c r="H38" s="105" t="s">
        <v>34</v>
      </c>
      <c r="I38" s="98">
        <v>7</v>
      </c>
      <c r="J38" s="98">
        <v>7.6</v>
      </c>
      <c r="K38" s="98">
        <v>3.8</v>
      </c>
      <c r="L38" s="98">
        <v>8.4</v>
      </c>
      <c r="M38" s="98">
        <v>4.9000000000000004</v>
      </c>
      <c r="N38" s="98">
        <v>12.8</v>
      </c>
      <c r="O38" s="98">
        <v>15.4</v>
      </c>
      <c r="P38" s="98">
        <v>9.1</v>
      </c>
      <c r="Q38" s="98">
        <v>6.2</v>
      </c>
      <c r="R38" s="98">
        <v>2.2999999999999998</v>
      </c>
      <c r="S38" s="98" t="s">
        <v>10</v>
      </c>
      <c r="T38" s="98" t="s">
        <v>10</v>
      </c>
      <c r="U38" s="98" t="s">
        <v>10</v>
      </c>
      <c r="V38" s="105" t="s">
        <v>10</v>
      </c>
      <c r="W38" s="98" t="s">
        <v>10</v>
      </c>
      <c r="X38" s="114" t="s">
        <v>10</v>
      </c>
      <c r="Y38" s="114" t="s">
        <v>10</v>
      </c>
      <c r="Z38" s="114" t="s">
        <v>10</v>
      </c>
      <c r="AA38" s="114" t="s">
        <v>10</v>
      </c>
      <c r="AB38" s="101">
        <v>16.319500000000001</v>
      </c>
      <c r="AC38" s="101">
        <v>7.9145000000000003</v>
      </c>
      <c r="AD38" s="101">
        <v>11.6972</v>
      </c>
      <c r="AE38" s="101">
        <v>12.197699999999999</v>
      </c>
      <c r="AF38" s="101">
        <v>11.2416</v>
      </c>
      <c r="AG38" s="101">
        <v>2.2568000000000001</v>
      </c>
    </row>
    <row r="39" spans="1:33" s="93" customFormat="1">
      <c r="A39" s="76" t="s">
        <v>46</v>
      </c>
      <c r="B39" s="105" t="s">
        <v>34</v>
      </c>
      <c r="C39" s="105" t="s">
        <v>34</v>
      </c>
      <c r="D39" s="105" t="s">
        <v>34</v>
      </c>
      <c r="E39" s="105" t="s">
        <v>34</v>
      </c>
      <c r="F39" s="105" t="s">
        <v>34</v>
      </c>
      <c r="G39" s="105" t="s">
        <v>34</v>
      </c>
      <c r="H39" s="105" t="s">
        <v>34</v>
      </c>
      <c r="I39" s="78">
        <v>1</v>
      </c>
      <c r="J39" s="78">
        <v>6.1</v>
      </c>
      <c r="K39" s="78">
        <v>5.5</v>
      </c>
      <c r="L39" s="78">
        <v>15.4</v>
      </c>
      <c r="M39" s="78">
        <v>13.9</v>
      </c>
      <c r="N39" s="78">
        <v>15.1</v>
      </c>
      <c r="O39" s="78">
        <v>2.8</v>
      </c>
      <c r="P39" s="78">
        <v>4.2</v>
      </c>
      <c r="Q39" s="98" t="s">
        <v>10</v>
      </c>
      <c r="R39" s="98" t="s">
        <v>10</v>
      </c>
      <c r="S39" s="98" t="s">
        <v>10</v>
      </c>
      <c r="T39" s="98" t="s">
        <v>10</v>
      </c>
      <c r="U39" s="98" t="s">
        <v>10</v>
      </c>
      <c r="V39" s="105" t="s">
        <v>10</v>
      </c>
      <c r="W39" s="98" t="s">
        <v>10</v>
      </c>
      <c r="X39" s="114" t="s">
        <v>10</v>
      </c>
      <c r="Y39" s="114" t="s">
        <v>10</v>
      </c>
      <c r="Z39" s="114" t="s">
        <v>10</v>
      </c>
      <c r="AA39" s="114" t="s">
        <v>10</v>
      </c>
      <c r="AB39" s="101">
        <v>14.1762</v>
      </c>
      <c r="AC39" s="101">
        <v>11.521800000000001</v>
      </c>
      <c r="AD39" s="101">
        <v>12.816700000000001</v>
      </c>
      <c r="AE39" s="101">
        <v>9.0016999999999996</v>
      </c>
      <c r="AF39" s="101">
        <v>8.9951000000000008</v>
      </c>
      <c r="AG39" s="101">
        <v>6.4885000000000002</v>
      </c>
    </row>
    <row r="40" spans="1:33" s="93" customFormat="1">
      <c r="A40" s="76" t="s">
        <v>47</v>
      </c>
      <c r="B40" s="105" t="s">
        <v>34</v>
      </c>
      <c r="C40" s="105" t="s">
        <v>34</v>
      </c>
      <c r="D40" s="105" t="s">
        <v>34</v>
      </c>
      <c r="E40" s="105" t="s">
        <v>34</v>
      </c>
      <c r="F40" s="105" t="s">
        <v>34</v>
      </c>
      <c r="G40" s="105" t="s">
        <v>34</v>
      </c>
      <c r="H40" s="105" t="s">
        <v>34</v>
      </c>
      <c r="I40" s="98">
        <v>2</v>
      </c>
      <c r="J40" s="98">
        <v>8.8000000000000007</v>
      </c>
      <c r="K40" s="98">
        <v>7</v>
      </c>
      <c r="L40" s="98">
        <v>13.8</v>
      </c>
      <c r="M40" s="98">
        <v>14.7</v>
      </c>
      <c r="N40" s="98">
        <v>14.1</v>
      </c>
      <c r="O40" s="98">
        <v>7.1</v>
      </c>
      <c r="P40" s="98">
        <v>8.1999999999999993</v>
      </c>
      <c r="Q40" s="98" t="s">
        <v>10</v>
      </c>
      <c r="R40" s="98" t="s">
        <v>10</v>
      </c>
      <c r="S40" s="98" t="s">
        <v>10</v>
      </c>
      <c r="T40" s="98" t="s">
        <v>10</v>
      </c>
      <c r="U40" s="98" t="s">
        <v>10</v>
      </c>
      <c r="V40" s="105" t="s">
        <v>10</v>
      </c>
      <c r="W40" s="98" t="s">
        <v>10</v>
      </c>
      <c r="X40" s="114" t="s">
        <v>10</v>
      </c>
      <c r="Y40" s="114" t="s">
        <v>10</v>
      </c>
      <c r="Z40" s="114" t="s">
        <v>10</v>
      </c>
      <c r="AA40" s="114" t="s">
        <v>10</v>
      </c>
      <c r="AB40" s="101">
        <v>11.536300000000001</v>
      </c>
      <c r="AC40" s="101">
        <v>6.6528</v>
      </c>
      <c r="AD40" s="101">
        <v>14.1625</v>
      </c>
      <c r="AE40" s="101">
        <v>9.5260999999999996</v>
      </c>
      <c r="AF40" s="101">
        <v>7.0579999999999998</v>
      </c>
      <c r="AG40" s="101">
        <v>14.3058</v>
      </c>
    </row>
    <row r="41" spans="1:33" s="93" customFormat="1">
      <c r="A41" s="76" t="s">
        <v>48</v>
      </c>
      <c r="B41" s="105" t="s">
        <v>34</v>
      </c>
      <c r="C41" s="105" t="s">
        <v>34</v>
      </c>
      <c r="D41" s="105" t="s">
        <v>34</v>
      </c>
      <c r="E41" s="105" t="s">
        <v>34</v>
      </c>
      <c r="F41" s="105" t="s">
        <v>34</v>
      </c>
      <c r="G41" s="105" t="s">
        <v>34</v>
      </c>
      <c r="H41" s="105" t="s">
        <v>34</v>
      </c>
      <c r="I41" s="98">
        <v>4.8</v>
      </c>
      <c r="J41" s="98">
        <v>9.1999999999999993</v>
      </c>
      <c r="K41" s="98">
        <v>14.9</v>
      </c>
      <c r="L41" s="98">
        <v>19.600000000000001</v>
      </c>
      <c r="M41" s="98">
        <v>15.3</v>
      </c>
      <c r="N41" s="98">
        <v>18.100000000000001</v>
      </c>
      <c r="O41" s="98">
        <v>12.3</v>
      </c>
      <c r="P41" s="98">
        <v>15.4</v>
      </c>
      <c r="Q41" s="98" t="s">
        <v>10</v>
      </c>
      <c r="R41" s="98" t="s">
        <v>10</v>
      </c>
      <c r="S41" s="98" t="s">
        <v>10</v>
      </c>
      <c r="T41" s="98" t="s">
        <v>10</v>
      </c>
      <c r="U41" s="98">
        <v>18</v>
      </c>
      <c r="V41" s="105">
        <v>10</v>
      </c>
      <c r="W41" s="98" t="s">
        <v>10</v>
      </c>
      <c r="X41" s="114" t="s">
        <v>10</v>
      </c>
      <c r="Y41" s="114" t="s">
        <v>10</v>
      </c>
      <c r="Z41" s="114" t="s">
        <v>10</v>
      </c>
      <c r="AA41" s="114" t="s">
        <v>10</v>
      </c>
      <c r="AB41" s="101">
        <v>22.5059</v>
      </c>
      <c r="AC41" s="101">
        <v>19.1297</v>
      </c>
      <c r="AD41" s="101">
        <v>25.7638</v>
      </c>
      <c r="AE41" s="101">
        <v>32.481200000000001</v>
      </c>
      <c r="AF41" s="101">
        <v>16.075299999999999</v>
      </c>
      <c r="AG41" s="101">
        <v>29.357199999999999</v>
      </c>
    </row>
    <row r="42" spans="1:33" s="93" customFormat="1">
      <c r="A42" s="76" t="s">
        <v>49</v>
      </c>
      <c r="B42" s="105" t="s">
        <v>34</v>
      </c>
      <c r="C42" s="105" t="s">
        <v>34</v>
      </c>
      <c r="D42" s="105" t="s">
        <v>34</v>
      </c>
      <c r="E42" s="105" t="s">
        <v>34</v>
      </c>
      <c r="F42" s="105" t="s">
        <v>34</v>
      </c>
      <c r="G42" s="105" t="s">
        <v>34</v>
      </c>
      <c r="H42" s="105" t="s">
        <v>34</v>
      </c>
      <c r="I42" s="98">
        <v>5</v>
      </c>
      <c r="J42" s="98">
        <v>2.4</v>
      </c>
      <c r="K42" s="98">
        <v>3.9</v>
      </c>
      <c r="L42" s="98">
        <v>6.1</v>
      </c>
      <c r="M42" s="98">
        <v>11.3</v>
      </c>
      <c r="N42" s="98">
        <v>9.5</v>
      </c>
      <c r="O42" s="98">
        <v>6.6</v>
      </c>
      <c r="P42" s="98">
        <v>8.1999999999999993</v>
      </c>
      <c r="Q42" s="98" t="s">
        <v>10</v>
      </c>
      <c r="R42" s="98" t="s">
        <v>10</v>
      </c>
      <c r="S42" s="98" t="s">
        <v>10</v>
      </c>
      <c r="T42" s="98" t="s">
        <v>10</v>
      </c>
      <c r="U42" s="98" t="s">
        <v>10</v>
      </c>
      <c r="V42" s="105" t="s">
        <v>10</v>
      </c>
      <c r="W42" s="98" t="s">
        <v>10</v>
      </c>
      <c r="X42" s="114" t="s">
        <v>10</v>
      </c>
      <c r="Y42" s="114" t="s">
        <v>10</v>
      </c>
      <c r="Z42" s="114" t="s">
        <v>10</v>
      </c>
      <c r="AA42" s="114" t="s">
        <v>10</v>
      </c>
      <c r="AB42" s="101">
        <v>14.3423</v>
      </c>
      <c r="AC42" s="101">
        <v>13.939500000000001</v>
      </c>
      <c r="AD42" s="101">
        <v>8.0618999999999996</v>
      </c>
      <c r="AE42" s="101">
        <v>10.975300000000001</v>
      </c>
      <c r="AF42" s="101">
        <v>9.7004000000000001</v>
      </c>
      <c r="AG42" s="101">
        <v>8.7292000000000005</v>
      </c>
    </row>
    <row r="43" spans="1:33" s="93" customFormat="1">
      <c r="A43" s="93" t="s">
        <v>50</v>
      </c>
      <c r="B43" s="105" t="s">
        <v>34</v>
      </c>
      <c r="C43" s="105" t="s">
        <v>34</v>
      </c>
      <c r="D43" s="105" t="s">
        <v>34</v>
      </c>
      <c r="E43" s="105" t="s">
        <v>34</v>
      </c>
      <c r="F43" s="105" t="s">
        <v>34</v>
      </c>
      <c r="G43" s="105" t="s">
        <v>34</v>
      </c>
      <c r="H43" s="105" t="s">
        <v>34</v>
      </c>
      <c r="I43" s="98">
        <v>11.3</v>
      </c>
      <c r="J43" s="98">
        <v>13.5</v>
      </c>
      <c r="K43" s="98">
        <v>12.7</v>
      </c>
      <c r="L43" s="98">
        <v>16.600000000000001</v>
      </c>
      <c r="M43" s="98">
        <v>18</v>
      </c>
      <c r="N43" s="98">
        <v>18.100000000000001</v>
      </c>
      <c r="O43" s="98">
        <v>14.3</v>
      </c>
      <c r="P43" s="98">
        <v>16.7</v>
      </c>
      <c r="Q43" s="98">
        <v>18</v>
      </c>
      <c r="R43" s="98">
        <v>18.399999999999999</v>
      </c>
      <c r="S43" s="98">
        <v>17.600000000000001</v>
      </c>
      <c r="T43" s="98">
        <v>4.7</v>
      </c>
      <c r="U43" s="98">
        <v>19.8</v>
      </c>
      <c r="V43" s="105" t="s">
        <v>10</v>
      </c>
      <c r="W43" s="98" t="s">
        <v>10</v>
      </c>
      <c r="X43" s="114" t="s">
        <v>10</v>
      </c>
      <c r="Y43" s="114" t="s">
        <v>10</v>
      </c>
      <c r="Z43" s="114" t="s">
        <v>10</v>
      </c>
      <c r="AA43" s="114" t="s">
        <v>10</v>
      </c>
      <c r="AB43" s="101">
        <v>22.052700000000002</v>
      </c>
      <c r="AC43" s="101">
        <v>21.715399999999999</v>
      </c>
      <c r="AD43" s="101">
        <v>22.3949</v>
      </c>
      <c r="AE43" s="101">
        <v>20.985600000000002</v>
      </c>
      <c r="AF43" s="101">
        <v>21.480899999999998</v>
      </c>
      <c r="AG43" s="101">
        <v>21.781300000000002</v>
      </c>
    </row>
    <row r="44" spans="1:33" s="93" customFormat="1">
      <c r="A44" s="76" t="s">
        <v>51</v>
      </c>
      <c r="B44" s="105" t="s">
        <v>34</v>
      </c>
      <c r="C44" s="105" t="s">
        <v>34</v>
      </c>
      <c r="D44" s="105" t="s">
        <v>34</v>
      </c>
      <c r="E44" s="105" t="s">
        <v>34</v>
      </c>
      <c r="F44" s="105" t="s">
        <v>34</v>
      </c>
      <c r="G44" s="105" t="s">
        <v>34</v>
      </c>
      <c r="H44" s="105" t="s">
        <v>34</v>
      </c>
      <c r="I44" s="98">
        <v>8.6999999999999993</v>
      </c>
      <c r="J44" s="98">
        <v>13.7</v>
      </c>
      <c r="K44" s="98">
        <v>17.399999999999999</v>
      </c>
      <c r="L44" s="98">
        <v>18</v>
      </c>
      <c r="M44" s="98">
        <v>13.5</v>
      </c>
      <c r="N44" s="98">
        <v>16.600000000000001</v>
      </c>
      <c r="O44" s="98">
        <v>10.9</v>
      </c>
      <c r="P44" s="98">
        <v>15</v>
      </c>
      <c r="Q44" s="98" t="s">
        <v>10</v>
      </c>
      <c r="R44" s="98" t="s">
        <v>10</v>
      </c>
      <c r="S44" s="98" t="s">
        <v>10</v>
      </c>
      <c r="T44" s="98" t="s">
        <v>10</v>
      </c>
      <c r="U44" s="98" t="s">
        <v>10</v>
      </c>
      <c r="V44" s="105" t="s">
        <v>10</v>
      </c>
      <c r="W44" s="98" t="s">
        <v>10</v>
      </c>
      <c r="X44" s="114" t="s">
        <v>10</v>
      </c>
      <c r="Y44" s="114" t="s">
        <v>10</v>
      </c>
      <c r="Z44" s="114" t="s">
        <v>10</v>
      </c>
      <c r="AA44" s="114" t="s">
        <v>10</v>
      </c>
      <c r="AB44" s="101">
        <v>15.378299999999999</v>
      </c>
      <c r="AC44" s="101">
        <v>18.3538</v>
      </c>
      <c r="AD44" s="101">
        <v>24.487100000000002</v>
      </c>
      <c r="AE44" s="101">
        <v>34.000700000000002</v>
      </c>
      <c r="AF44" s="101">
        <v>27.623100000000001</v>
      </c>
      <c r="AG44" s="101">
        <v>28.824100000000001</v>
      </c>
    </row>
    <row r="45" spans="1:33" s="93" customFormat="1">
      <c r="A45" s="76" t="s">
        <v>52</v>
      </c>
      <c r="B45" s="105" t="s">
        <v>34</v>
      </c>
      <c r="C45" s="105" t="s">
        <v>34</v>
      </c>
      <c r="D45" s="105" t="s">
        <v>34</v>
      </c>
      <c r="E45" s="105" t="s">
        <v>34</v>
      </c>
      <c r="F45" s="105" t="s">
        <v>34</v>
      </c>
      <c r="G45" s="105" t="s">
        <v>34</v>
      </c>
      <c r="H45" s="105" t="s">
        <v>34</v>
      </c>
      <c r="I45" s="98">
        <v>2.9</v>
      </c>
      <c r="J45" s="98">
        <v>7.9</v>
      </c>
      <c r="K45" s="98">
        <v>11</v>
      </c>
      <c r="L45" s="98">
        <v>14.5</v>
      </c>
      <c r="M45" s="98">
        <v>13.7</v>
      </c>
      <c r="N45" s="98">
        <v>13.8</v>
      </c>
      <c r="O45" s="98">
        <v>10.4</v>
      </c>
      <c r="P45" s="98">
        <v>13.5</v>
      </c>
      <c r="Q45" s="98" t="s">
        <v>10</v>
      </c>
      <c r="R45" s="98">
        <v>7.5</v>
      </c>
      <c r="S45" s="98" t="s">
        <v>10</v>
      </c>
      <c r="T45" s="98" t="s">
        <v>10</v>
      </c>
      <c r="U45" s="98" t="s">
        <v>10</v>
      </c>
      <c r="V45" s="105" t="s">
        <v>10</v>
      </c>
      <c r="W45" s="98" t="s">
        <v>10</v>
      </c>
      <c r="X45" s="114" t="s">
        <v>10</v>
      </c>
      <c r="Y45" s="114" t="s">
        <v>10</v>
      </c>
      <c r="Z45" s="114" t="s">
        <v>10</v>
      </c>
      <c r="AA45" s="114" t="s">
        <v>10</v>
      </c>
      <c r="AB45" s="101">
        <v>21.336300000000001</v>
      </c>
      <c r="AC45" s="101">
        <v>19.454799999999999</v>
      </c>
      <c r="AD45" s="101">
        <v>22.587199999999999</v>
      </c>
      <c r="AE45" s="101">
        <v>32.991999999999997</v>
      </c>
      <c r="AF45" s="101">
        <v>37.716200000000001</v>
      </c>
      <c r="AG45" s="101">
        <v>32.758400000000002</v>
      </c>
    </row>
    <row r="46" spans="1:33" s="93" customFormat="1">
      <c r="A46" s="76" t="s">
        <v>53</v>
      </c>
      <c r="B46" s="105" t="s">
        <v>34</v>
      </c>
      <c r="C46" s="105" t="s">
        <v>34</v>
      </c>
      <c r="D46" s="105" t="s">
        <v>34</v>
      </c>
      <c r="E46" s="105" t="s">
        <v>34</v>
      </c>
      <c r="F46" s="105" t="s">
        <v>34</v>
      </c>
      <c r="G46" s="105" t="s">
        <v>34</v>
      </c>
      <c r="H46" s="105" t="s">
        <v>34</v>
      </c>
      <c r="I46" s="98">
        <v>3.5</v>
      </c>
      <c r="J46" s="98">
        <v>9.9</v>
      </c>
      <c r="K46" s="98">
        <v>7.4</v>
      </c>
      <c r="L46" s="98">
        <v>8.6</v>
      </c>
      <c r="M46" s="98">
        <v>11.2</v>
      </c>
      <c r="N46" s="98">
        <v>14.6</v>
      </c>
      <c r="O46" s="98">
        <v>9</v>
      </c>
      <c r="P46" s="98">
        <v>9.8000000000000007</v>
      </c>
      <c r="Q46" s="98">
        <v>4</v>
      </c>
      <c r="R46" s="98" t="s">
        <v>10</v>
      </c>
      <c r="S46" s="98">
        <v>10.6</v>
      </c>
      <c r="T46" s="98">
        <v>1</v>
      </c>
      <c r="U46" s="98">
        <v>7.2</v>
      </c>
      <c r="V46" s="105">
        <v>8.8000000000000007</v>
      </c>
      <c r="W46" s="98" t="s">
        <v>10</v>
      </c>
      <c r="X46" s="114" t="s">
        <v>10</v>
      </c>
      <c r="Y46" s="114" t="s">
        <v>10</v>
      </c>
      <c r="Z46" s="114" t="s">
        <v>10</v>
      </c>
      <c r="AA46" s="114" t="s">
        <v>10</v>
      </c>
      <c r="AB46" s="101">
        <v>13.0825</v>
      </c>
      <c r="AC46" s="101">
        <v>9.2985000000000007</v>
      </c>
      <c r="AD46" s="101">
        <v>9.9987999999999992</v>
      </c>
      <c r="AE46" s="101">
        <v>14.2502</v>
      </c>
      <c r="AF46" s="101">
        <v>14.7507</v>
      </c>
      <c r="AG46" s="101">
        <v>10.0273</v>
      </c>
    </row>
    <row r="47" spans="1:33" s="93" customFormat="1">
      <c r="A47" s="76" t="s">
        <v>54</v>
      </c>
      <c r="B47" s="105" t="s">
        <v>34</v>
      </c>
      <c r="C47" s="105" t="s">
        <v>34</v>
      </c>
      <c r="D47" s="105" t="s">
        <v>34</v>
      </c>
      <c r="E47" s="105" t="s">
        <v>34</v>
      </c>
      <c r="F47" s="105" t="s">
        <v>34</v>
      </c>
      <c r="G47" s="105" t="s">
        <v>34</v>
      </c>
      <c r="H47" s="105" t="s">
        <v>34</v>
      </c>
      <c r="I47" s="78">
        <v>6.8</v>
      </c>
      <c r="J47" s="78">
        <v>6.9</v>
      </c>
      <c r="K47" s="78">
        <v>7.4</v>
      </c>
      <c r="L47" s="78">
        <v>9.8000000000000007</v>
      </c>
      <c r="M47" s="78">
        <v>10.8</v>
      </c>
      <c r="N47" s="78">
        <v>11.2</v>
      </c>
      <c r="O47" s="78">
        <v>7.5</v>
      </c>
      <c r="P47" s="78">
        <v>8.1999999999999993</v>
      </c>
      <c r="Q47" s="98" t="s">
        <v>10</v>
      </c>
      <c r="R47" s="98" t="s">
        <v>10</v>
      </c>
      <c r="S47" s="98" t="s">
        <v>10</v>
      </c>
      <c r="T47" s="98" t="s">
        <v>10</v>
      </c>
      <c r="U47" s="98">
        <v>17.899999999999999</v>
      </c>
      <c r="V47" s="105" t="s">
        <v>10</v>
      </c>
      <c r="W47" s="98" t="s">
        <v>10</v>
      </c>
      <c r="X47" s="114" t="s">
        <v>10</v>
      </c>
      <c r="Y47" s="114">
        <v>28</v>
      </c>
      <c r="Z47" s="114" t="s">
        <v>10</v>
      </c>
      <c r="AA47" s="114" t="s">
        <v>10</v>
      </c>
      <c r="AB47" s="101">
        <v>20.681000000000001</v>
      </c>
      <c r="AC47" s="101">
        <v>13.9389</v>
      </c>
      <c r="AD47" s="101">
        <v>13.222899999999999</v>
      </c>
      <c r="AE47" s="101">
        <v>15.268700000000001</v>
      </c>
      <c r="AF47" s="101">
        <v>14.7524</v>
      </c>
      <c r="AG47" s="101">
        <v>11.7805</v>
      </c>
    </row>
    <row r="48" spans="1:33" s="93" customFormat="1">
      <c r="A48" s="76" t="s">
        <v>55</v>
      </c>
      <c r="B48" s="105" t="s">
        <v>34</v>
      </c>
      <c r="C48" s="105" t="s">
        <v>34</v>
      </c>
      <c r="D48" s="105" t="s">
        <v>34</v>
      </c>
      <c r="E48" s="105" t="s">
        <v>34</v>
      </c>
      <c r="F48" s="105" t="s">
        <v>34</v>
      </c>
      <c r="G48" s="105" t="s">
        <v>34</v>
      </c>
      <c r="H48" s="105" t="s">
        <v>34</v>
      </c>
      <c r="I48" s="78">
        <v>9.6</v>
      </c>
      <c r="J48" s="78">
        <v>6.7</v>
      </c>
      <c r="K48" s="78">
        <v>7.2</v>
      </c>
      <c r="L48" s="78">
        <v>6.2</v>
      </c>
      <c r="M48" s="78">
        <v>10</v>
      </c>
      <c r="N48" s="78">
        <v>6.8</v>
      </c>
      <c r="O48" s="78">
        <v>8.5</v>
      </c>
      <c r="P48" s="78">
        <v>9.6999999999999993</v>
      </c>
      <c r="Q48" s="98" t="s">
        <v>10</v>
      </c>
      <c r="R48" s="98" t="s">
        <v>10</v>
      </c>
      <c r="S48" s="98" t="s">
        <v>10</v>
      </c>
      <c r="T48" s="98" t="s">
        <v>10</v>
      </c>
      <c r="U48" s="98" t="s">
        <v>10</v>
      </c>
      <c r="V48" s="105">
        <v>14.5</v>
      </c>
      <c r="W48" s="101">
        <v>17.313099999999999</v>
      </c>
      <c r="X48" s="114" t="s">
        <v>10</v>
      </c>
      <c r="Y48" s="114" t="s">
        <v>10</v>
      </c>
      <c r="Z48" s="114" t="s">
        <v>10</v>
      </c>
      <c r="AA48" s="114" t="s">
        <v>10</v>
      </c>
      <c r="AB48" s="101">
        <v>18.941299999999998</v>
      </c>
      <c r="AC48" s="101">
        <v>20.939</v>
      </c>
      <c r="AD48" s="101">
        <v>20.2197</v>
      </c>
      <c r="AE48" s="101">
        <v>20.8994</v>
      </c>
      <c r="AF48" s="101">
        <v>18.722100000000001</v>
      </c>
      <c r="AG48" s="101">
        <v>18.021799999999999</v>
      </c>
    </row>
    <row r="49" spans="1:33" s="93" customFormat="1">
      <c r="A49" s="103" t="s">
        <v>56</v>
      </c>
      <c r="B49" s="105" t="s">
        <v>34</v>
      </c>
      <c r="C49" s="105" t="s">
        <v>34</v>
      </c>
      <c r="D49" s="105" t="s">
        <v>34</v>
      </c>
      <c r="E49" s="105" t="s">
        <v>34</v>
      </c>
      <c r="F49" s="105" t="s">
        <v>34</v>
      </c>
      <c r="G49" s="105" t="s">
        <v>34</v>
      </c>
      <c r="H49" s="105" t="s">
        <v>34</v>
      </c>
      <c r="I49" s="93">
        <v>1.8</v>
      </c>
      <c r="J49" s="93">
        <v>10</v>
      </c>
      <c r="K49" s="93">
        <v>7.9</v>
      </c>
      <c r="L49" s="93">
        <v>11.9</v>
      </c>
      <c r="M49" s="93">
        <v>14.4</v>
      </c>
      <c r="N49" s="93">
        <v>15.2</v>
      </c>
      <c r="O49" s="93">
        <v>8.1</v>
      </c>
      <c r="P49" s="93">
        <v>11</v>
      </c>
      <c r="Q49" s="98" t="s">
        <v>10</v>
      </c>
      <c r="R49" s="98" t="s">
        <v>10</v>
      </c>
      <c r="S49" s="98" t="s">
        <v>10</v>
      </c>
      <c r="T49" s="98" t="s">
        <v>10</v>
      </c>
      <c r="U49" s="98" t="s">
        <v>10</v>
      </c>
      <c r="V49" s="105" t="s">
        <v>10</v>
      </c>
      <c r="W49" s="98" t="s">
        <v>10</v>
      </c>
      <c r="X49" s="114" t="s">
        <v>10</v>
      </c>
      <c r="Y49" s="114" t="s">
        <v>10</v>
      </c>
      <c r="Z49" s="114" t="s">
        <v>10</v>
      </c>
      <c r="AA49" s="114" t="s">
        <v>10</v>
      </c>
      <c r="AB49" s="101">
        <v>13.5524</v>
      </c>
      <c r="AC49" s="101">
        <v>9.5695999999999994</v>
      </c>
      <c r="AD49" s="101">
        <v>11.889900000000001</v>
      </c>
      <c r="AE49" s="101">
        <v>16.108799999999999</v>
      </c>
      <c r="AF49" s="101">
        <v>8.1674000000000007</v>
      </c>
      <c r="AG49" s="101">
        <v>12.857900000000001</v>
      </c>
    </row>
    <row r="50" spans="1:33" s="93" customFormat="1">
      <c r="A50" s="76" t="s">
        <v>57</v>
      </c>
      <c r="B50" s="105" t="s">
        <v>34</v>
      </c>
      <c r="C50" s="105" t="s">
        <v>34</v>
      </c>
      <c r="D50" s="105" t="s">
        <v>34</v>
      </c>
      <c r="E50" s="105" t="s">
        <v>34</v>
      </c>
      <c r="F50" s="105" t="s">
        <v>34</v>
      </c>
      <c r="G50" s="105" t="s">
        <v>34</v>
      </c>
      <c r="H50" s="105" t="s">
        <v>34</v>
      </c>
      <c r="I50" s="98">
        <v>7.2</v>
      </c>
      <c r="J50" s="98">
        <v>9.9</v>
      </c>
      <c r="K50" s="98">
        <v>12.5</v>
      </c>
      <c r="L50" s="98">
        <v>12.9</v>
      </c>
      <c r="M50" s="98">
        <v>12.2</v>
      </c>
      <c r="N50" s="98">
        <v>19.3</v>
      </c>
      <c r="O50" s="98">
        <v>17.3</v>
      </c>
      <c r="P50" s="98">
        <v>17</v>
      </c>
      <c r="Q50" s="98">
        <v>20.3</v>
      </c>
      <c r="R50" s="98">
        <v>9.6</v>
      </c>
      <c r="S50" s="98">
        <v>12.5</v>
      </c>
      <c r="T50" s="98">
        <v>3.4</v>
      </c>
      <c r="U50" s="98">
        <v>9</v>
      </c>
      <c r="V50" s="105" t="s">
        <v>10</v>
      </c>
      <c r="W50" s="98" t="s">
        <v>10</v>
      </c>
      <c r="X50" s="114" t="s">
        <v>10</v>
      </c>
      <c r="Y50" s="114" t="s">
        <v>10</v>
      </c>
      <c r="Z50" s="114" t="s">
        <v>10</v>
      </c>
      <c r="AA50" s="114" t="s">
        <v>10</v>
      </c>
      <c r="AB50" s="101">
        <v>24.093699999999998</v>
      </c>
      <c r="AC50" s="101">
        <v>17.042300000000001</v>
      </c>
      <c r="AD50" s="101">
        <v>27.031300000000002</v>
      </c>
      <c r="AE50" s="101">
        <v>21.799499999999998</v>
      </c>
      <c r="AF50" s="101">
        <v>18.0806</v>
      </c>
      <c r="AG50" s="101">
        <v>18.170500000000001</v>
      </c>
    </row>
    <row r="51" spans="1:33" s="93" customFormat="1">
      <c r="A51" s="104" t="s">
        <v>58</v>
      </c>
      <c r="B51" s="117" t="s">
        <v>34</v>
      </c>
      <c r="C51" s="117" t="s">
        <v>34</v>
      </c>
      <c r="D51" s="117" t="s">
        <v>34</v>
      </c>
      <c r="E51" s="117" t="s">
        <v>34</v>
      </c>
      <c r="F51" s="117" t="s">
        <v>34</v>
      </c>
      <c r="G51" s="117" t="s">
        <v>34</v>
      </c>
      <c r="H51" s="117" t="s">
        <v>34</v>
      </c>
      <c r="I51" s="108">
        <v>5.6</v>
      </c>
      <c r="J51" s="108">
        <v>14.6</v>
      </c>
      <c r="K51" s="108">
        <v>14.9</v>
      </c>
      <c r="L51" s="108">
        <v>23</v>
      </c>
      <c r="M51" s="108">
        <v>18.2</v>
      </c>
      <c r="N51" s="108">
        <v>20.100000000000001</v>
      </c>
      <c r="O51" s="108">
        <v>15.2</v>
      </c>
      <c r="P51" s="108">
        <v>15</v>
      </c>
      <c r="Q51" s="108" t="s">
        <v>10</v>
      </c>
      <c r="R51" s="108" t="s">
        <v>10</v>
      </c>
      <c r="S51" s="108" t="s">
        <v>10</v>
      </c>
      <c r="T51" s="108" t="s">
        <v>10</v>
      </c>
      <c r="U51" s="108" t="s">
        <v>10</v>
      </c>
      <c r="V51" s="117" t="s">
        <v>10</v>
      </c>
      <c r="W51" s="108" t="s">
        <v>10</v>
      </c>
      <c r="X51" s="115" t="s">
        <v>10</v>
      </c>
      <c r="Y51" s="115" t="s">
        <v>10</v>
      </c>
      <c r="Z51" s="115" t="s">
        <v>10</v>
      </c>
      <c r="AA51" s="115" t="s">
        <v>10</v>
      </c>
      <c r="AB51" s="109">
        <v>16.317900000000002</v>
      </c>
      <c r="AC51" s="109">
        <v>12.693</v>
      </c>
      <c r="AD51" s="109">
        <v>19.4407</v>
      </c>
      <c r="AE51" s="109">
        <v>20.524000000000001</v>
      </c>
      <c r="AF51" s="109">
        <v>12.597200000000001</v>
      </c>
      <c r="AG51" s="109">
        <v>24.164000000000001</v>
      </c>
    </row>
    <row r="52" spans="1:33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3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33">
      <c r="A54" s="6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33" ht="12.75" customHeight="1">
      <c r="A55" s="155" t="s">
        <v>6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</row>
    <row r="56" spans="1:33" ht="12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AD56" s="154" t="s">
        <v>9</v>
      </c>
      <c r="AE56" s="154"/>
      <c r="AF56" s="154"/>
      <c r="AG56" s="154"/>
    </row>
    <row r="57" spans="1:33" s="91" customFormat="1">
      <c r="A57" s="90"/>
      <c r="B57" s="90">
        <v>1990</v>
      </c>
      <c r="C57" s="90">
        <v>1991</v>
      </c>
      <c r="D57" s="90">
        <v>1992</v>
      </c>
      <c r="E57" s="90">
        <v>1993</v>
      </c>
      <c r="F57" s="90">
        <v>1994</v>
      </c>
      <c r="G57" s="90">
        <v>1995</v>
      </c>
      <c r="H57" s="90">
        <v>1996</v>
      </c>
      <c r="I57" s="90">
        <v>1997</v>
      </c>
      <c r="J57" s="90">
        <v>1998</v>
      </c>
      <c r="K57" s="90">
        <v>1999</v>
      </c>
      <c r="L57" s="90">
        <v>2000</v>
      </c>
      <c r="M57" s="90">
        <v>2001</v>
      </c>
      <c r="N57" s="90">
        <v>2002</v>
      </c>
      <c r="O57" s="90">
        <v>2003</v>
      </c>
      <c r="P57" s="90">
        <v>2004</v>
      </c>
      <c r="Q57" s="90">
        <v>2005</v>
      </c>
      <c r="R57" s="90">
        <v>2006</v>
      </c>
      <c r="S57" s="90">
        <v>2007</v>
      </c>
      <c r="T57" s="90">
        <v>2008</v>
      </c>
      <c r="U57" s="90">
        <v>2009</v>
      </c>
      <c r="V57" s="90">
        <v>2010</v>
      </c>
      <c r="W57" s="90">
        <v>2011</v>
      </c>
      <c r="X57" s="90">
        <v>2012</v>
      </c>
      <c r="Y57" s="90">
        <v>2013</v>
      </c>
      <c r="Z57" s="90">
        <v>2014</v>
      </c>
      <c r="AA57" s="90">
        <v>2015</v>
      </c>
      <c r="AB57" s="90">
        <v>2016</v>
      </c>
      <c r="AC57" s="90">
        <v>2017</v>
      </c>
      <c r="AD57" s="90">
        <v>2018</v>
      </c>
      <c r="AE57" s="90">
        <v>2019</v>
      </c>
      <c r="AF57" s="90">
        <v>2020</v>
      </c>
      <c r="AG57" s="90">
        <v>2021</v>
      </c>
    </row>
    <row r="58" spans="1:33" s="93" customFormat="1" ht="30" customHeight="1">
      <c r="A58" s="134" t="s">
        <v>85</v>
      </c>
      <c r="B58" s="78">
        <v>10</v>
      </c>
      <c r="C58" s="78">
        <v>1.7</v>
      </c>
      <c r="D58" s="78">
        <v>6.7</v>
      </c>
      <c r="E58" s="78">
        <v>6.7</v>
      </c>
      <c r="F58" s="78">
        <v>5</v>
      </c>
      <c r="G58" s="78">
        <v>3.3</v>
      </c>
      <c r="H58" s="78">
        <v>4</v>
      </c>
      <c r="I58" s="78">
        <v>11.8</v>
      </c>
      <c r="J58" s="78">
        <v>12.7</v>
      </c>
      <c r="K58" s="78">
        <v>9.5</v>
      </c>
      <c r="L58" s="78">
        <v>16.7</v>
      </c>
      <c r="M58" s="78">
        <v>15.4</v>
      </c>
      <c r="N58" s="78">
        <v>17.2</v>
      </c>
      <c r="O58" s="78">
        <v>21.3</v>
      </c>
      <c r="P58" s="78">
        <v>16.8</v>
      </c>
      <c r="Q58" s="78">
        <v>23.1</v>
      </c>
      <c r="R58" s="78">
        <v>28.9</v>
      </c>
      <c r="S58" s="78">
        <v>18.399999999999999</v>
      </c>
      <c r="T58" s="73">
        <v>4.4000000000000004</v>
      </c>
      <c r="U58" s="78">
        <v>4.0999999999999996</v>
      </c>
      <c r="V58" s="78">
        <v>12.2</v>
      </c>
      <c r="W58" s="78">
        <v>26.637899999999998</v>
      </c>
      <c r="X58" s="78" t="s">
        <v>10</v>
      </c>
      <c r="Y58" s="78">
        <v>19.399999999999999</v>
      </c>
      <c r="Z58" s="78">
        <v>23.5</v>
      </c>
      <c r="AA58" s="78">
        <v>25.5</v>
      </c>
      <c r="AB58" s="78">
        <v>33.6</v>
      </c>
      <c r="AC58" s="78">
        <v>27.9</v>
      </c>
      <c r="AD58" s="78">
        <v>24.9</v>
      </c>
      <c r="AE58" s="78">
        <v>29.9</v>
      </c>
      <c r="AF58" s="78">
        <v>22.3</v>
      </c>
      <c r="AG58" s="78">
        <v>22.9</v>
      </c>
    </row>
    <row r="59" spans="1:33" s="118" customFormat="1">
      <c r="A59" s="93" t="s">
        <v>40</v>
      </c>
      <c r="B59" s="118" t="s">
        <v>34</v>
      </c>
      <c r="C59" s="118" t="s">
        <v>34</v>
      </c>
      <c r="D59" s="118" t="s">
        <v>34</v>
      </c>
      <c r="E59" s="118" t="s">
        <v>34</v>
      </c>
      <c r="F59" s="118" t="s">
        <v>34</v>
      </c>
      <c r="G59" s="118" t="s">
        <v>34</v>
      </c>
      <c r="H59" s="118" t="s">
        <v>34</v>
      </c>
      <c r="I59" s="98" t="s">
        <v>10</v>
      </c>
      <c r="J59" s="99" t="s">
        <v>10</v>
      </c>
      <c r="K59" s="98" t="s">
        <v>10</v>
      </c>
      <c r="L59" s="99" t="s">
        <v>10</v>
      </c>
      <c r="M59" s="98">
        <v>5</v>
      </c>
      <c r="N59" s="98">
        <v>15.5</v>
      </c>
      <c r="O59" s="98">
        <v>25</v>
      </c>
      <c r="P59" s="98" t="s">
        <v>10</v>
      </c>
      <c r="Q59" s="98" t="s">
        <v>10</v>
      </c>
      <c r="R59" s="99">
        <v>5</v>
      </c>
      <c r="S59" s="98">
        <v>18</v>
      </c>
      <c r="T59" s="99">
        <v>27.6</v>
      </c>
      <c r="U59" s="98" t="s">
        <v>10</v>
      </c>
      <c r="V59" s="98" t="s">
        <v>10</v>
      </c>
      <c r="W59" s="98" t="s">
        <v>10</v>
      </c>
      <c r="X59" s="105" t="s">
        <v>10</v>
      </c>
      <c r="Y59" s="105" t="s">
        <v>10</v>
      </c>
      <c r="Z59" s="105" t="s">
        <v>10</v>
      </c>
      <c r="AA59" s="105" t="s">
        <v>10</v>
      </c>
      <c r="AB59" s="80" t="s">
        <v>10</v>
      </c>
      <c r="AC59" s="80" t="s">
        <v>10</v>
      </c>
      <c r="AD59" s="114" t="s">
        <v>10</v>
      </c>
      <c r="AE59" s="114" t="s">
        <v>10</v>
      </c>
      <c r="AF59" s="114" t="s">
        <v>10</v>
      </c>
      <c r="AG59" s="114" t="s">
        <v>10</v>
      </c>
    </row>
    <row r="60" spans="1:33" s="118" customFormat="1">
      <c r="A60" s="93" t="s">
        <v>41</v>
      </c>
      <c r="B60" s="118" t="s">
        <v>34</v>
      </c>
      <c r="C60" s="118" t="s">
        <v>34</v>
      </c>
      <c r="D60" s="118" t="s">
        <v>34</v>
      </c>
      <c r="E60" s="118" t="s">
        <v>34</v>
      </c>
      <c r="F60" s="118" t="s">
        <v>34</v>
      </c>
      <c r="G60" s="118" t="s">
        <v>34</v>
      </c>
      <c r="H60" s="118" t="s">
        <v>34</v>
      </c>
      <c r="I60" s="99" t="s">
        <v>10</v>
      </c>
      <c r="J60" s="98" t="s">
        <v>10</v>
      </c>
      <c r="K60" s="99" t="s">
        <v>10</v>
      </c>
      <c r="L60" s="98" t="s">
        <v>10</v>
      </c>
      <c r="M60" s="98" t="s">
        <v>10</v>
      </c>
      <c r="N60" s="98" t="s">
        <v>10</v>
      </c>
      <c r="O60" s="98" t="s">
        <v>10</v>
      </c>
      <c r="P60" s="98" t="s">
        <v>10</v>
      </c>
      <c r="Q60" s="98" t="s">
        <v>10</v>
      </c>
      <c r="R60" s="98">
        <v>24</v>
      </c>
      <c r="S60" s="99">
        <v>25.5</v>
      </c>
      <c r="T60" s="98">
        <v>24.5</v>
      </c>
      <c r="U60" s="98">
        <v>24.5</v>
      </c>
      <c r="V60" s="98" t="s">
        <v>10</v>
      </c>
      <c r="W60" s="98" t="s">
        <v>10</v>
      </c>
      <c r="X60" s="105" t="s">
        <v>10</v>
      </c>
      <c r="Y60" s="105" t="s">
        <v>10</v>
      </c>
      <c r="Z60" s="93">
        <v>40</v>
      </c>
      <c r="AA60" s="105">
        <v>30</v>
      </c>
      <c r="AB60" s="80" t="s">
        <v>10</v>
      </c>
      <c r="AC60" s="80" t="s">
        <v>10</v>
      </c>
      <c r="AD60" s="114" t="s">
        <v>10</v>
      </c>
      <c r="AE60" s="114" t="s">
        <v>10</v>
      </c>
      <c r="AF60" s="101">
        <v>31.852699999999999</v>
      </c>
      <c r="AG60" s="101">
        <v>45</v>
      </c>
    </row>
    <row r="61" spans="1:33" s="93" customFormat="1">
      <c r="A61" s="93" t="s">
        <v>42</v>
      </c>
      <c r="B61" s="118" t="s">
        <v>34</v>
      </c>
      <c r="C61" s="118" t="s">
        <v>34</v>
      </c>
      <c r="D61" s="118" t="s">
        <v>34</v>
      </c>
      <c r="E61" s="118" t="s">
        <v>34</v>
      </c>
      <c r="F61" s="118" t="s">
        <v>34</v>
      </c>
      <c r="G61" s="118" t="s">
        <v>34</v>
      </c>
      <c r="H61" s="118" t="s">
        <v>34</v>
      </c>
      <c r="I61" s="98" t="s">
        <v>10</v>
      </c>
      <c r="J61" s="105" t="s">
        <v>10</v>
      </c>
      <c r="K61" s="98" t="s">
        <v>10</v>
      </c>
      <c r="L61" s="98" t="s">
        <v>10</v>
      </c>
      <c r="M61" s="98" t="s">
        <v>10</v>
      </c>
      <c r="N61" s="98" t="s">
        <v>10</v>
      </c>
      <c r="O61" s="98" t="s">
        <v>10</v>
      </c>
      <c r="P61" s="98" t="s">
        <v>10</v>
      </c>
      <c r="Q61" s="98" t="s">
        <v>10</v>
      </c>
      <c r="R61" s="98" t="s">
        <v>10</v>
      </c>
      <c r="S61" s="98" t="s">
        <v>10</v>
      </c>
      <c r="T61" s="98" t="s">
        <v>10</v>
      </c>
      <c r="U61" s="98" t="s">
        <v>10</v>
      </c>
      <c r="V61" s="98" t="s">
        <v>10</v>
      </c>
      <c r="W61" s="98" t="s">
        <v>10</v>
      </c>
      <c r="X61" s="105" t="s">
        <v>10</v>
      </c>
      <c r="Y61" s="105" t="s">
        <v>10</v>
      </c>
      <c r="Z61" s="105" t="s">
        <v>10</v>
      </c>
      <c r="AA61" s="105" t="s">
        <v>10</v>
      </c>
      <c r="AB61" s="80" t="s">
        <v>10</v>
      </c>
      <c r="AC61" s="80" t="s">
        <v>10</v>
      </c>
      <c r="AD61" s="114" t="s">
        <v>10</v>
      </c>
      <c r="AE61" s="114" t="s">
        <v>10</v>
      </c>
      <c r="AF61" s="114" t="s">
        <v>10</v>
      </c>
      <c r="AG61" s="114" t="s">
        <v>10</v>
      </c>
    </row>
    <row r="62" spans="1:33" s="93" customFormat="1">
      <c r="A62" s="93" t="s">
        <v>43</v>
      </c>
      <c r="B62" s="118" t="s">
        <v>34</v>
      </c>
      <c r="C62" s="118" t="s">
        <v>34</v>
      </c>
      <c r="D62" s="118" t="s">
        <v>34</v>
      </c>
      <c r="E62" s="118" t="s">
        <v>34</v>
      </c>
      <c r="F62" s="118" t="s">
        <v>34</v>
      </c>
      <c r="G62" s="118" t="s">
        <v>34</v>
      </c>
      <c r="H62" s="118" t="s">
        <v>34</v>
      </c>
      <c r="I62" s="98" t="s">
        <v>10</v>
      </c>
      <c r="J62" s="98" t="s">
        <v>10</v>
      </c>
      <c r="K62" s="98" t="s">
        <v>10</v>
      </c>
      <c r="L62" s="98" t="s">
        <v>10</v>
      </c>
      <c r="M62" s="98" t="s">
        <v>10</v>
      </c>
      <c r="N62" s="98" t="s">
        <v>10</v>
      </c>
      <c r="O62" s="98" t="s">
        <v>10</v>
      </c>
      <c r="P62" s="98" t="s">
        <v>10</v>
      </c>
      <c r="Q62" s="98" t="s">
        <v>10</v>
      </c>
      <c r="R62" s="98" t="s">
        <v>10</v>
      </c>
      <c r="S62" s="98" t="s">
        <v>10</v>
      </c>
      <c r="T62" s="98" t="s">
        <v>10</v>
      </c>
      <c r="U62" s="98" t="s">
        <v>10</v>
      </c>
      <c r="V62" s="98" t="s">
        <v>10</v>
      </c>
      <c r="W62" s="98" t="s">
        <v>10</v>
      </c>
      <c r="X62" s="105" t="s">
        <v>10</v>
      </c>
      <c r="Y62" s="105" t="s">
        <v>10</v>
      </c>
      <c r="Z62" s="105" t="s">
        <v>10</v>
      </c>
      <c r="AA62" s="105" t="s">
        <v>10</v>
      </c>
      <c r="AB62" s="80" t="s">
        <v>10</v>
      </c>
      <c r="AC62" s="80" t="s">
        <v>10</v>
      </c>
      <c r="AD62" s="114" t="s">
        <v>10</v>
      </c>
      <c r="AE62" s="114" t="s">
        <v>10</v>
      </c>
      <c r="AF62" s="114" t="s">
        <v>10</v>
      </c>
      <c r="AG62" s="114" t="s">
        <v>10</v>
      </c>
    </row>
    <row r="63" spans="1:33" s="93" customFormat="1">
      <c r="A63" s="93" t="s">
        <v>44</v>
      </c>
      <c r="B63" s="118" t="s">
        <v>34</v>
      </c>
      <c r="C63" s="118" t="s">
        <v>34</v>
      </c>
      <c r="D63" s="118" t="s">
        <v>34</v>
      </c>
      <c r="E63" s="118" t="s">
        <v>34</v>
      </c>
      <c r="F63" s="118" t="s">
        <v>34</v>
      </c>
      <c r="G63" s="118" t="s">
        <v>34</v>
      </c>
      <c r="H63" s="118" t="s">
        <v>34</v>
      </c>
      <c r="I63" s="98" t="s">
        <v>10</v>
      </c>
      <c r="J63" s="98" t="s">
        <v>10</v>
      </c>
      <c r="K63" s="98" t="s">
        <v>10</v>
      </c>
      <c r="L63" s="98" t="s">
        <v>10</v>
      </c>
      <c r="M63" s="98" t="s">
        <v>10</v>
      </c>
      <c r="N63" s="98" t="s">
        <v>10</v>
      </c>
      <c r="O63" s="98" t="s">
        <v>10</v>
      </c>
      <c r="P63" s="98" t="s">
        <v>10</v>
      </c>
      <c r="Q63" s="98" t="s">
        <v>10</v>
      </c>
      <c r="R63" s="98" t="s">
        <v>10</v>
      </c>
      <c r="S63" s="98" t="s">
        <v>10</v>
      </c>
      <c r="T63" s="98" t="s">
        <v>10</v>
      </c>
      <c r="U63" s="98" t="s">
        <v>10</v>
      </c>
      <c r="V63" s="98" t="s">
        <v>10</v>
      </c>
      <c r="W63" s="98" t="s">
        <v>10</v>
      </c>
      <c r="X63" s="105" t="s">
        <v>10</v>
      </c>
      <c r="Y63" s="105" t="s">
        <v>10</v>
      </c>
      <c r="Z63" s="105" t="s">
        <v>10</v>
      </c>
      <c r="AA63" s="105" t="s">
        <v>10</v>
      </c>
      <c r="AB63" s="80" t="s">
        <v>10</v>
      </c>
      <c r="AC63" s="80" t="s">
        <v>10</v>
      </c>
      <c r="AD63" s="114" t="s">
        <v>10</v>
      </c>
      <c r="AE63" s="114" t="s">
        <v>10</v>
      </c>
      <c r="AF63" s="114" t="s">
        <v>10</v>
      </c>
      <c r="AG63" s="114" t="s">
        <v>10</v>
      </c>
    </row>
    <row r="64" spans="1:33" s="93" customFormat="1">
      <c r="A64" s="93" t="s">
        <v>45</v>
      </c>
      <c r="B64" s="118" t="s">
        <v>34</v>
      </c>
      <c r="C64" s="118" t="s">
        <v>34</v>
      </c>
      <c r="D64" s="118" t="s">
        <v>34</v>
      </c>
      <c r="E64" s="118" t="s">
        <v>34</v>
      </c>
      <c r="F64" s="118" t="s">
        <v>34</v>
      </c>
      <c r="G64" s="118" t="s">
        <v>34</v>
      </c>
      <c r="H64" s="118" t="s">
        <v>34</v>
      </c>
      <c r="I64" s="98" t="s">
        <v>10</v>
      </c>
      <c r="J64" s="98" t="s">
        <v>10</v>
      </c>
      <c r="K64" s="98" t="s">
        <v>10</v>
      </c>
      <c r="L64" s="98" t="s">
        <v>10</v>
      </c>
      <c r="M64" s="98" t="s">
        <v>10</v>
      </c>
      <c r="N64" s="98" t="s">
        <v>10</v>
      </c>
      <c r="O64" s="98" t="s">
        <v>10</v>
      </c>
      <c r="P64" s="98" t="s">
        <v>10</v>
      </c>
      <c r="Q64" s="98" t="s">
        <v>10</v>
      </c>
      <c r="R64" s="98" t="s">
        <v>10</v>
      </c>
      <c r="S64" s="98" t="s">
        <v>10</v>
      </c>
      <c r="T64" s="98" t="s">
        <v>10</v>
      </c>
      <c r="U64" s="98" t="s">
        <v>10</v>
      </c>
      <c r="V64" s="98" t="s">
        <v>10</v>
      </c>
      <c r="W64" s="98" t="s">
        <v>10</v>
      </c>
      <c r="X64" s="105" t="s">
        <v>10</v>
      </c>
      <c r="Y64" s="105" t="s">
        <v>10</v>
      </c>
      <c r="Z64" s="105" t="s">
        <v>10</v>
      </c>
      <c r="AA64" s="105" t="s">
        <v>10</v>
      </c>
      <c r="AB64" s="80" t="s">
        <v>10</v>
      </c>
      <c r="AC64" s="80" t="s">
        <v>10</v>
      </c>
      <c r="AD64" s="114" t="s">
        <v>10</v>
      </c>
      <c r="AE64" s="114" t="s">
        <v>10</v>
      </c>
      <c r="AF64" s="114" t="s">
        <v>10</v>
      </c>
      <c r="AG64" s="114" t="s">
        <v>10</v>
      </c>
    </row>
    <row r="65" spans="1:33" s="93" customFormat="1">
      <c r="A65" s="93" t="s">
        <v>46</v>
      </c>
      <c r="B65" s="118" t="s">
        <v>34</v>
      </c>
      <c r="C65" s="118" t="s">
        <v>34</v>
      </c>
      <c r="D65" s="118" t="s">
        <v>34</v>
      </c>
      <c r="E65" s="118" t="s">
        <v>34</v>
      </c>
      <c r="F65" s="118" t="s">
        <v>34</v>
      </c>
      <c r="G65" s="118" t="s">
        <v>34</v>
      </c>
      <c r="H65" s="118" t="s">
        <v>34</v>
      </c>
      <c r="I65" s="98" t="s">
        <v>10</v>
      </c>
      <c r="J65" s="98" t="s">
        <v>10</v>
      </c>
      <c r="K65" s="98" t="s">
        <v>10</v>
      </c>
      <c r="L65" s="98" t="s">
        <v>10</v>
      </c>
      <c r="M65" s="98" t="s">
        <v>10</v>
      </c>
      <c r="N65" s="98" t="s">
        <v>10</v>
      </c>
      <c r="O65" s="98" t="s">
        <v>10</v>
      </c>
      <c r="P65" s="98" t="s">
        <v>10</v>
      </c>
      <c r="Q65" s="98" t="s">
        <v>10</v>
      </c>
      <c r="R65" s="98" t="s">
        <v>10</v>
      </c>
      <c r="S65" s="98" t="s">
        <v>10</v>
      </c>
      <c r="T65" s="98" t="s">
        <v>10</v>
      </c>
      <c r="U65" s="98">
        <v>8</v>
      </c>
      <c r="V65" s="98">
        <v>8</v>
      </c>
      <c r="W65" s="101">
        <v>26.575299999999999</v>
      </c>
      <c r="X65" s="105" t="s">
        <v>10</v>
      </c>
      <c r="Y65" s="105" t="s">
        <v>10</v>
      </c>
      <c r="Z65" s="93">
        <v>10</v>
      </c>
      <c r="AA65" s="105" t="s">
        <v>10</v>
      </c>
      <c r="AB65" s="80" t="s">
        <v>10</v>
      </c>
      <c r="AC65" s="80">
        <v>10</v>
      </c>
      <c r="AD65" s="101">
        <v>11.08</v>
      </c>
      <c r="AE65" s="114" t="s">
        <v>10</v>
      </c>
      <c r="AF65" s="114" t="s">
        <v>10</v>
      </c>
      <c r="AG65" s="114" t="s">
        <v>10</v>
      </c>
    </row>
    <row r="66" spans="1:33" s="93" customFormat="1">
      <c r="A66" s="93" t="s">
        <v>47</v>
      </c>
      <c r="B66" s="118" t="s">
        <v>34</v>
      </c>
      <c r="C66" s="118" t="s">
        <v>34</v>
      </c>
      <c r="D66" s="118" t="s">
        <v>34</v>
      </c>
      <c r="E66" s="118" t="s">
        <v>34</v>
      </c>
      <c r="F66" s="118" t="s">
        <v>34</v>
      </c>
      <c r="G66" s="118" t="s">
        <v>34</v>
      </c>
      <c r="H66" s="118" t="s">
        <v>34</v>
      </c>
      <c r="I66" s="98" t="s">
        <v>10</v>
      </c>
      <c r="J66" s="98" t="s">
        <v>10</v>
      </c>
      <c r="K66" s="98" t="s">
        <v>10</v>
      </c>
      <c r="L66" s="98" t="s">
        <v>10</v>
      </c>
      <c r="M66" s="98" t="s">
        <v>10</v>
      </c>
      <c r="N66" s="98" t="s">
        <v>10</v>
      </c>
      <c r="O66" s="98" t="s">
        <v>10</v>
      </c>
      <c r="P66" s="98" t="s">
        <v>10</v>
      </c>
      <c r="Q66" s="98" t="s">
        <v>10</v>
      </c>
      <c r="R66" s="98" t="s">
        <v>10</v>
      </c>
      <c r="S66" s="98" t="s">
        <v>10</v>
      </c>
      <c r="T66" s="98" t="s">
        <v>10</v>
      </c>
      <c r="U66" s="98" t="s">
        <v>10</v>
      </c>
      <c r="V66" s="98" t="s">
        <v>10</v>
      </c>
      <c r="W66" s="98" t="s">
        <v>10</v>
      </c>
      <c r="X66" s="105" t="s">
        <v>10</v>
      </c>
      <c r="Y66" s="105" t="s">
        <v>10</v>
      </c>
      <c r="Z66" s="105" t="s">
        <v>10</v>
      </c>
      <c r="AA66" s="105">
        <v>13.8</v>
      </c>
      <c r="AB66" s="80">
        <v>9.3332999999999995</v>
      </c>
      <c r="AC66" s="80" t="s">
        <v>10</v>
      </c>
      <c r="AD66" s="101">
        <v>16.913900000000002</v>
      </c>
      <c r="AE66" s="101">
        <v>30.490200000000002</v>
      </c>
      <c r="AF66" s="101">
        <v>18.487500000000001</v>
      </c>
      <c r="AG66" s="101">
        <v>15.5786</v>
      </c>
    </row>
    <row r="67" spans="1:33" s="93" customFormat="1">
      <c r="A67" s="93" t="s">
        <v>48</v>
      </c>
      <c r="B67" s="118" t="s">
        <v>34</v>
      </c>
      <c r="C67" s="118" t="s">
        <v>34</v>
      </c>
      <c r="D67" s="118" t="s">
        <v>34</v>
      </c>
      <c r="E67" s="118" t="s">
        <v>34</v>
      </c>
      <c r="F67" s="118" t="s">
        <v>34</v>
      </c>
      <c r="G67" s="118" t="s">
        <v>34</v>
      </c>
      <c r="H67" s="118" t="s">
        <v>34</v>
      </c>
      <c r="I67" s="98">
        <v>16.899999999999999</v>
      </c>
      <c r="J67" s="98">
        <v>9.9</v>
      </c>
      <c r="K67" s="98">
        <v>8.6999999999999993</v>
      </c>
      <c r="L67" s="98" t="s">
        <v>10</v>
      </c>
      <c r="M67" s="98">
        <v>10</v>
      </c>
      <c r="N67" s="98" t="s">
        <v>10</v>
      </c>
      <c r="O67" s="98" t="s">
        <v>10</v>
      </c>
      <c r="P67" s="98" t="s">
        <v>10</v>
      </c>
      <c r="Q67" s="98" t="s">
        <v>10</v>
      </c>
      <c r="R67" s="98">
        <v>10.9</v>
      </c>
      <c r="S67" s="98" t="s">
        <v>10</v>
      </c>
      <c r="T67" s="98" t="s">
        <v>10</v>
      </c>
      <c r="U67" s="98" t="s">
        <v>10</v>
      </c>
      <c r="V67" s="98" t="s">
        <v>10</v>
      </c>
      <c r="W67" s="98" t="s">
        <v>10</v>
      </c>
      <c r="X67" s="105" t="s">
        <v>10</v>
      </c>
      <c r="Y67" s="105" t="s">
        <v>10</v>
      </c>
      <c r="Z67" s="93">
        <v>19</v>
      </c>
      <c r="AA67" s="105">
        <v>41.3</v>
      </c>
      <c r="AB67" s="80">
        <v>55.366399999999999</v>
      </c>
      <c r="AC67" s="80">
        <v>53.97</v>
      </c>
      <c r="AD67" s="101">
        <v>44.153599999999997</v>
      </c>
      <c r="AE67" s="101">
        <v>80.759</v>
      </c>
      <c r="AF67" s="101">
        <v>22.808499999999999</v>
      </c>
      <c r="AG67" s="101">
        <v>73.408500000000004</v>
      </c>
    </row>
    <row r="68" spans="1:33" s="93" customFormat="1">
      <c r="A68" s="93" t="s">
        <v>49</v>
      </c>
      <c r="B68" s="118" t="s">
        <v>34</v>
      </c>
      <c r="C68" s="118" t="s">
        <v>34</v>
      </c>
      <c r="D68" s="118" t="s">
        <v>34</v>
      </c>
      <c r="E68" s="118" t="s">
        <v>34</v>
      </c>
      <c r="F68" s="118" t="s">
        <v>34</v>
      </c>
      <c r="G68" s="118" t="s">
        <v>34</v>
      </c>
      <c r="H68" s="118" t="s">
        <v>34</v>
      </c>
      <c r="I68" s="98" t="s">
        <v>10</v>
      </c>
      <c r="J68" s="98" t="s">
        <v>10</v>
      </c>
      <c r="K68" s="98" t="s">
        <v>10</v>
      </c>
      <c r="L68" s="98" t="s">
        <v>10</v>
      </c>
      <c r="M68" s="98" t="s">
        <v>10</v>
      </c>
      <c r="N68" s="98" t="s">
        <v>10</v>
      </c>
      <c r="O68" s="98" t="s">
        <v>10</v>
      </c>
      <c r="P68" s="98" t="s">
        <v>10</v>
      </c>
      <c r="Q68" s="98" t="s">
        <v>10</v>
      </c>
      <c r="R68" s="98" t="s">
        <v>10</v>
      </c>
      <c r="S68" s="98" t="s">
        <v>10</v>
      </c>
      <c r="T68" s="98" t="s">
        <v>10</v>
      </c>
      <c r="U68" s="98" t="s">
        <v>10</v>
      </c>
      <c r="V68" s="98" t="s">
        <v>10</v>
      </c>
      <c r="W68" s="98" t="s">
        <v>10</v>
      </c>
      <c r="X68" s="105" t="s">
        <v>10</v>
      </c>
      <c r="Y68" s="105" t="s">
        <v>10</v>
      </c>
      <c r="Z68" s="105" t="s">
        <v>10</v>
      </c>
      <c r="AA68" s="105" t="s">
        <v>10</v>
      </c>
      <c r="AB68" s="80" t="s">
        <v>10</v>
      </c>
      <c r="AC68" s="80" t="s">
        <v>10</v>
      </c>
      <c r="AD68" s="114" t="s">
        <v>10</v>
      </c>
      <c r="AE68" s="114" t="s">
        <v>10</v>
      </c>
      <c r="AF68" s="114" t="s">
        <v>10</v>
      </c>
      <c r="AG68" s="114" t="s">
        <v>10</v>
      </c>
    </row>
    <row r="69" spans="1:33" s="93" customFormat="1">
      <c r="A69" s="93" t="s">
        <v>50</v>
      </c>
      <c r="B69" s="118" t="s">
        <v>34</v>
      </c>
      <c r="C69" s="118" t="s">
        <v>34</v>
      </c>
      <c r="D69" s="118" t="s">
        <v>34</v>
      </c>
      <c r="E69" s="118" t="s">
        <v>34</v>
      </c>
      <c r="F69" s="118" t="s">
        <v>34</v>
      </c>
      <c r="G69" s="118" t="s">
        <v>34</v>
      </c>
      <c r="H69" s="118" t="s">
        <v>34</v>
      </c>
      <c r="I69" s="98" t="s">
        <v>10</v>
      </c>
      <c r="J69" s="98" t="s">
        <v>10</v>
      </c>
      <c r="K69" s="98" t="s">
        <v>10</v>
      </c>
      <c r="L69" s="98" t="s">
        <v>10</v>
      </c>
      <c r="M69" s="98" t="s">
        <v>10</v>
      </c>
      <c r="N69" s="98" t="s">
        <v>10</v>
      </c>
      <c r="O69" s="98" t="s">
        <v>10</v>
      </c>
      <c r="P69" s="98" t="s">
        <v>10</v>
      </c>
      <c r="Q69" s="98" t="s">
        <v>10</v>
      </c>
      <c r="R69" s="98" t="s">
        <v>10</v>
      </c>
      <c r="S69" s="98" t="s">
        <v>10</v>
      </c>
      <c r="T69" s="98" t="s">
        <v>10</v>
      </c>
      <c r="U69" s="98" t="s">
        <v>10</v>
      </c>
      <c r="V69" s="98" t="s">
        <v>10</v>
      </c>
      <c r="W69" s="98" t="s">
        <v>10</v>
      </c>
      <c r="X69" s="105" t="s">
        <v>10</v>
      </c>
      <c r="Y69" s="102">
        <v>20</v>
      </c>
      <c r="Z69" s="93">
        <v>25</v>
      </c>
      <c r="AA69" s="105">
        <v>19.100000000000001</v>
      </c>
      <c r="AB69" s="80">
        <v>24.8688</v>
      </c>
      <c r="AC69" s="80">
        <v>33.79</v>
      </c>
      <c r="AD69" s="101">
        <v>38.375</v>
      </c>
      <c r="AE69" s="101">
        <v>34.321399999999997</v>
      </c>
      <c r="AF69" s="101">
        <v>32.11</v>
      </c>
      <c r="AG69" s="101">
        <v>32.11</v>
      </c>
    </row>
    <row r="70" spans="1:33" s="93" customFormat="1">
      <c r="A70" s="93" t="s">
        <v>51</v>
      </c>
      <c r="B70" s="118" t="s">
        <v>34</v>
      </c>
      <c r="C70" s="118" t="s">
        <v>34</v>
      </c>
      <c r="D70" s="118" t="s">
        <v>34</v>
      </c>
      <c r="E70" s="118" t="s">
        <v>34</v>
      </c>
      <c r="F70" s="118" t="s">
        <v>34</v>
      </c>
      <c r="G70" s="118" t="s">
        <v>34</v>
      </c>
      <c r="H70" s="118" t="s">
        <v>34</v>
      </c>
      <c r="I70" s="98" t="s">
        <v>10</v>
      </c>
      <c r="J70" s="98" t="s">
        <v>10</v>
      </c>
      <c r="K70" s="98" t="s">
        <v>10</v>
      </c>
      <c r="L70" s="98" t="s">
        <v>10</v>
      </c>
      <c r="M70" s="98" t="s">
        <v>10</v>
      </c>
      <c r="N70" s="98" t="s">
        <v>10</v>
      </c>
      <c r="O70" s="98" t="s">
        <v>10</v>
      </c>
      <c r="P70" s="98" t="s">
        <v>10</v>
      </c>
      <c r="Q70" s="98" t="s">
        <v>10</v>
      </c>
      <c r="R70" s="98" t="s">
        <v>10</v>
      </c>
      <c r="S70" s="98" t="s">
        <v>10</v>
      </c>
      <c r="T70" s="98" t="s">
        <v>10</v>
      </c>
      <c r="U70" s="98" t="s">
        <v>10</v>
      </c>
      <c r="V70" s="98" t="s">
        <v>10</v>
      </c>
      <c r="W70" s="98" t="s">
        <v>10</v>
      </c>
      <c r="X70" s="105" t="s">
        <v>10</v>
      </c>
      <c r="Y70" s="105" t="s">
        <v>10</v>
      </c>
      <c r="Z70" s="105" t="s">
        <v>10</v>
      </c>
      <c r="AA70" s="105" t="s">
        <v>10</v>
      </c>
      <c r="AB70" s="80" t="s">
        <v>10</v>
      </c>
      <c r="AC70" s="80">
        <v>13.5</v>
      </c>
      <c r="AD70" s="101">
        <v>10</v>
      </c>
      <c r="AE70" s="114" t="s">
        <v>10</v>
      </c>
      <c r="AF70" s="114" t="s">
        <v>10</v>
      </c>
      <c r="AG70" s="101">
        <v>8.1331000000000007</v>
      </c>
    </row>
    <row r="71" spans="1:33" s="93" customFormat="1">
      <c r="A71" s="93" t="s">
        <v>52</v>
      </c>
      <c r="B71" s="118" t="s">
        <v>34</v>
      </c>
      <c r="C71" s="118" t="s">
        <v>34</v>
      </c>
      <c r="D71" s="118" t="s">
        <v>34</v>
      </c>
      <c r="E71" s="118" t="s">
        <v>34</v>
      </c>
      <c r="F71" s="118" t="s">
        <v>34</v>
      </c>
      <c r="G71" s="118" t="s">
        <v>34</v>
      </c>
      <c r="H71" s="118" t="s">
        <v>34</v>
      </c>
      <c r="I71" s="98" t="s">
        <v>10</v>
      </c>
      <c r="J71" s="98" t="s">
        <v>10</v>
      </c>
      <c r="K71" s="98" t="s">
        <v>10</v>
      </c>
      <c r="L71" s="98" t="s">
        <v>10</v>
      </c>
      <c r="M71" s="98" t="s">
        <v>10</v>
      </c>
      <c r="N71" s="98" t="s">
        <v>10</v>
      </c>
      <c r="O71" s="98" t="s">
        <v>10</v>
      </c>
      <c r="P71" s="98" t="s">
        <v>10</v>
      </c>
      <c r="Q71" s="98" t="s">
        <v>10</v>
      </c>
      <c r="R71" s="98" t="s">
        <v>10</v>
      </c>
      <c r="S71" s="98" t="s">
        <v>10</v>
      </c>
      <c r="T71" s="98" t="s">
        <v>10</v>
      </c>
      <c r="U71" s="98" t="s">
        <v>10</v>
      </c>
      <c r="V71" s="98" t="s">
        <v>10</v>
      </c>
      <c r="W71" s="98" t="s">
        <v>10</v>
      </c>
      <c r="X71" s="105" t="s">
        <v>10</v>
      </c>
      <c r="Y71" s="105" t="s">
        <v>10</v>
      </c>
      <c r="Z71" s="105" t="s">
        <v>10</v>
      </c>
      <c r="AA71" s="105" t="s">
        <v>10</v>
      </c>
      <c r="AB71" s="80" t="s">
        <v>10</v>
      </c>
      <c r="AC71" s="80" t="s">
        <v>10</v>
      </c>
      <c r="AD71" s="114" t="s">
        <v>10</v>
      </c>
      <c r="AE71" s="114" t="s">
        <v>10</v>
      </c>
      <c r="AF71" s="114" t="s">
        <v>10</v>
      </c>
      <c r="AG71" s="114" t="s">
        <v>10</v>
      </c>
    </row>
    <row r="72" spans="1:33" s="93" customFormat="1">
      <c r="A72" s="93" t="s">
        <v>53</v>
      </c>
      <c r="B72" s="118" t="s">
        <v>34</v>
      </c>
      <c r="C72" s="118" t="s">
        <v>34</v>
      </c>
      <c r="D72" s="118" t="s">
        <v>34</v>
      </c>
      <c r="E72" s="118" t="s">
        <v>34</v>
      </c>
      <c r="F72" s="118" t="s">
        <v>34</v>
      </c>
      <c r="G72" s="118" t="s">
        <v>34</v>
      </c>
      <c r="H72" s="118" t="s">
        <v>34</v>
      </c>
      <c r="I72" s="98" t="s">
        <v>10</v>
      </c>
      <c r="J72" s="98" t="s">
        <v>10</v>
      </c>
      <c r="K72" s="98" t="s">
        <v>10</v>
      </c>
      <c r="L72" s="98" t="s">
        <v>10</v>
      </c>
      <c r="M72" s="98">
        <v>33.299999999999997</v>
      </c>
      <c r="N72" s="98" t="s">
        <v>10</v>
      </c>
      <c r="O72" s="98" t="s">
        <v>10</v>
      </c>
      <c r="P72" s="98" t="s">
        <v>10</v>
      </c>
      <c r="Q72" s="98" t="s">
        <v>10</v>
      </c>
      <c r="R72" s="98" t="s">
        <v>10</v>
      </c>
      <c r="S72" s="98" t="s">
        <v>10</v>
      </c>
      <c r="T72" s="98" t="s">
        <v>10</v>
      </c>
      <c r="U72" s="98" t="s">
        <v>10</v>
      </c>
      <c r="V72" s="98" t="s">
        <v>10</v>
      </c>
      <c r="W72" s="98" t="s">
        <v>10</v>
      </c>
      <c r="X72" s="105" t="s">
        <v>10</v>
      </c>
      <c r="Y72" s="105" t="s">
        <v>10</v>
      </c>
      <c r="Z72" s="105" t="s">
        <v>10</v>
      </c>
      <c r="AA72" s="105" t="s">
        <v>10</v>
      </c>
      <c r="AB72" s="80" t="s">
        <v>10</v>
      </c>
      <c r="AC72" s="80" t="s">
        <v>10</v>
      </c>
      <c r="AD72" s="101">
        <v>1.5984</v>
      </c>
      <c r="AE72" s="114" t="s">
        <v>10</v>
      </c>
      <c r="AF72" s="114" t="s">
        <v>10</v>
      </c>
      <c r="AG72" s="114" t="s">
        <v>10</v>
      </c>
    </row>
    <row r="73" spans="1:33" s="93" customFormat="1">
      <c r="A73" s="93" t="s">
        <v>54</v>
      </c>
      <c r="B73" s="118" t="s">
        <v>34</v>
      </c>
      <c r="C73" s="118" t="s">
        <v>34</v>
      </c>
      <c r="D73" s="118" t="s">
        <v>34</v>
      </c>
      <c r="E73" s="118" t="s">
        <v>34</v>
      </c>
      <c r="F73" s="118" t="s">
        <v>34</v>
      </c>
      <c r="G73" s="118" t="s">
        <v>34</v>
      </c>
      <c r="H73" s="118" t="s">
        <v>34</v>
      </c>
      <c r="I73" s="98" t="s">
        <v>10</v>
      </c>
      <c r="J73" s="98" t="s">
        <v>10</v>
      </c>
      <c r="K73" s="98" t="s">
        <v>10</v>
      </c>
      <c r="L73" s="98" t="s">
        <v>10</v>
      </c>
      <c r="M73" s="98" t="s">
        <v>10</v>
      </c>
      <c r="N73" s="98">
        <v>37.5</v>
      </c>
      <c r="O73" s="98" t="s">
        <v>10</v>
      </c>
      <c r="P73" s="98" t="s">
        <v>10</v>
      </c>
      <c r="Q73" s="98" t="s">
        <v>10</v>
      </c>
      <c r="R73" s="98" t="s">
        <v>10</v>
      </c>
      <c r="S73" s="98" t="s">
        <v>10</v>
      </c>
      <c r="T73" s="98" t="s">
        <v>10</v>
      </c>
      <c r="U73" s="98" t="s">
        <v>10</v>
      </c>
      <c r="V73" s="98">
        <v>10</v>
      </c>
      <c r="W73" s="101">
        <v>19.523800000000001</v>
      </c>
      <c r="X73" s="105" t="s">
        <v>10</v>
      </c>
      <c r="Y73" s="105" t="s">
        <v>10</v>
      </c>
      <c r="Z73" s="105" t="s">
        <v>10</v>
      </c>
      <c r="AA73" s="105" t="s">
        <v>10</v>
      </c>
      <c r="AB73" s="80" t="s">
        <v>10</v>
      </c>
      <c r="AC73" s="80" t="s">
        <v>10</v>
      </c>
      <c r="AD73" s="114" t="s">
        <v>10</v>
      </c>
      <c r="AE73" s="114" t="s">
        <v>10</v>
      </c>
      <c r="AF73" s="114" t="s">
        <v>10</v>
      </c>
      <c r="AG73" s="101">
        <v>13</v>
      </c>
    </row>
    <row r="74" spans="1:33" s="93" customFormat="1">
      <c r="A74" s="93" t="s">
        <v>55</v>
      </c>
      <c r="B74" s="118" t="s">
        <v>34</v>
      </c>
      <c r="C74" s="118" t="s">
        <v>34</v>
      </c>
      <c r="D74" s="118" t="s">
        <v>34</v>
      </c>
      <c r="E74" s="118" t="s">
        <v>34</v>
      </c>
      <c r="F74" s="118" t="s">
        <v>34</v>
      </c>
      <c r="G74" s="118" t="s">
        <v>34</v>
      </c>
      <c r="H74" s="118" t="s">
        <v>34</v>
      </c>
      <c r="I74" s="98" t="s">
        <v>10</v>
      </c>
      <c r="J74" s="98" t="s">
        <v>10</v>
      </c>
      <c r="K74" s="98" t="s">
        <v>10</v>
      </c>
      <c r="L74" s="98" t="s">
        <v>10</v>
      </c>
      <c r="M74" s="98" t="s">
        <v>10</v>
      </c>
      <c r="N74" s="98" t="s">
        <v>10</v>
      </c>
      <c r="O74" s="98" t="s">
        <v>10</v>
      </c>
      <c r="P74" s="98" t="s">
        <v>10</v>
      </c>
      <c r="Q74" s="98" t="s">
        <v>10</v>
      </c>
      <c r="R74" s="98" t="s">
        <v>10</v>
      </c>
      <c r="S74" s="98" t="s">
        <v>10</v>
      </c>
      <c r="T74" s="98" t="s">
        <v>10</v>
      </c>
      <c r="U74" s="98" t="s">
        <v>10</v>
      </c>
      <c r="V74" s="98" t="s">
        <v>10</v>
      </c>
      <c r="W74" s="98" t="s">
        <v>10</v>
      </c>
      <c r="X74" s="105" t="s">
        <v>10</v>
      </c>
      <c r="Y74" s="105" t="s">
        <v>10</v>
      </c>
      <c r="Z74" s="105" t="s">
        <v>10</v>
      </c>
      <c r="AA74" s="105" t="s">
        <v>10</v>
      </c>
      <c r="AB74" s="80" t="s">
        <v>10</v>
      </c>
      <c r="AC74" s="80" t="s">
        <v>10</v>
      </c>
      <c r="AD74" s="114" t="s">
        <v>10</v>
      </c>
      <c r="AE74" s="114" t="s">
        <v>10</v>
      </c>
      <c r="AF74" s="114" t="s">
        <v>10</v>
      </c>
      <c r="AG74" s="114" t="s">
        <v>10</v>
      </c>
    </row>
    <row r="75" spans="1:33" s="93" customFormat="1">
      <c r="A75" s="93" t="s">
        <v>56</v>
      </c>
      <c r="B75" s="118" t="s">
        <v>34</v>
      </c>
      <c r="C75" s="118" t="s">
        <v>34</v>
      </c>
      <c r="D75" s="118" t="s">
        <v>34</v>
      </c>
      <c r="E75" s="118" t="s">
        <v>34</v>
      </c>
      <c r="F75" s="118" t="s">
        <v>34</v>
      </c>
      <c r="G75" s="118" t="s">
        <v>34</v>
      </c>
      <c r="H75" s="118" t="s">
        <v>34</v>
      </c>
      <c r="I75" s="98" t="s">
        <v>10</v>
      </c>
      <c r="J75" s="98">
        <v>14</v>
      </c>
      <c r="K75" s="98" t="s">
        <v>10</v>
      </c>
      <c r="L75" s="98" t="s">
        <v>10</v>
      </c>
      <c r="M75" s="98" t="s">
        <v>10</v>
      </c>
      <c r="N75" s="98" t="s">
        <v>10</v>
      </c>
      <c r="O75" s="98" t="s">
        <v>10</v>
      </c>
      <c r="P75" s="98" t="s">
        <v>10</v>
      </c>
      <c r="Q75" s="98" t="s">
        <v>10</v>
      </c>
      <c r="R75" s="98" t="s">
        <v>10</v>
      </c>
      <c r="S75" s="98" t="s">
        <v>10</v>
      </c>
      <c r="T75" s="98" t="s">
        <v>10</v>
      </c>
      <c r="U75" s="98" t="s">
        <v>10</v>
      </c>
      <c r="V75" s="98" t="s">
        <v>10</v>
      </c>
      <c r="W75" s="98" t="s">
        <v>10</v>
      </c>
      <c r="X75" s="105" t="s">
        <v>10</v>
      </c>
      <c r="Y75" s="105" t="s">
        <v>10</v>
      </c>
      <c r="Z75" s="105" t="s">
        <v>10</v>
      </c>
      <c r="AA75" s="105" t="s">
        <v>10</v>
      </c>
      <c r="AB75" s="80">
        <v>30</v>
      </c>
      <c r="AC75" s="80">
        <v>16.38</v>
      </c>
      <c r="AD75" s="101">
        <v>8.6087000000000007</v>
      </c>
      <c r="AE75" s="101">
        <v>24.507000000000001</v>
      </c>
      <c r="AF75" s="101">
        <v>27.887899999999998</v>
      </c>
      <c r="AG75" s="101">
        <v>15</v>
      </c>
    </row>
    <row r="76" spans="1:33" s="93" customFormat="1">
      <c r="A76" s="93" t="s">
        <v>57</v>
      </c>
      <c r="B76" s="118" t="s">
        <v>34</v>
      </c>
      <c r="C76" s="118" t="s">
        <v>34</v>
      </c>
      <c r="D76" s="118" t="s">
        <v>34</v>
      </c>
      <c r="E76" s="118" t="s">
        <v>34</v>
      </c>
      <c r="F76" s="118" t="s">
        <v>34</v>
      </c>
      <c r="G76" s="118" t="s">
        <v>34</v>
      </c>
      <c r="H76" s="118" t="s">
        <v>34</v>
      </c>
      <c r="I76" s="98">
        <v>3.6</v>
      </c>
      <c r="J76" s="98">
        <v>5.6</v>
      </c>
      <c r="K76" s="98">
        <v>10.6</v>
      </c>
      <c r="L76" s="98">
        <v>16.7</v>
      </c>
      <c r="M76" s="98">
        <v>14</v>
      </c>
      <c r="N76" s="98">
        <v>17.2</v>
      </c>
      <c r="O76" s="98">
        <v>21.2</v>
      </c>
      <c r="P76" s="98">
        <v>16.8</v>
      </c>
      <c r="Q76" s="98">
        <v>23.1</v>
      </c>
      <c r="R76" s="98">
        <v>30</v>
      </c>
      <c r="S76" s="98">
        <v>18.3</v>
      </c>
      <c r="T76" s="98">
        <v>3.6</v>
      </c>
      <c r="U76" s="98">
        <v>4</v>
      </c>
      <c r="V76" s="98">
        <v>20</v>
      </c>
      <c r="W76" s="101">
        <v>33.636400000000002</v>
      </c>
      <c r="X76" s="105" t="s">
        <v>10</v>
      </c>
      <c r="Y76" s="93">
        <v>14.8</v>
      </c>
      <c r="Z76" s="93">
        <v>10</v>
      </c>
      <c r="AA76" s="105">
        <v>12.1</v>
      </c>
      <c r="AB76" s="80">
        <v>10.612500000000001</v>
      </c>
      <c r="AC76" s="80">
        <v>31.65</v>
      </c>
      <c r="AD76" s="101">
        <v>15</v>
      </c>
      <c r="AE76" s="101">
        <v>22.346699999999998</v>
      </c>
      <c r="AF76" s="101">
        <v>13.3596</v>
      </c>
      <c r="AG76" s="101">
        <v>14.0509</v>
      </c>
    </row>
    <row r="77" spans="1:33" s="93" customFormat="1">
      <c r="A77" s="116" t="s">
        <v>58</v>
      </c>
      <c r="B77" s="119" t="s">
        <v>34</v>
      </c>
      <c r="C77" s="119" t="s">
        <v>34</v>
      </c>
      <c r="D77" s="119" t="s">
        <v>34</v>
      </c>
      <c r="E77" s="119" t="s">
        <v>34</v>
      </c>
      <c r="F77" s="119" t="s">
        <v>34</v>
      </c>
      <c r="G77" s="119" t="s">
        <v>34</v>
      </c>
      <c r="H77" s="119" t="s">
        <v>34</v>
      </c>
      <c r="I77" s="108" t="s">
        <v>10</v>
      </c>
      <c r="J77" s="108" t="s">
        <v>10</v>
      </c>
      <c r="K77" s="108" t="s">
        <v>10</v>
      </c>
      <c r="L77" s="108" t="s">
        <v>10</v>
      </c>
      <c r="M77" s="108" t="s">
        <v>10</v>
      </c>
      <c r="N77" s="108" t="s">
        <v>10</v>
      </c>
      <c r="O77" s="108" t="s">
        <v>10</v>
      </c>
      <c r="P77" s="108" t="s">
        <v>10</v>
      </c>
      <c r="Q77" s="108" t="s">
        <v>10</v>
      </c>
      <c r="R77" s="108" t="s">
        <v>10</v>
      </c>
      <c r="S77" s="108" t="s">
        <v>10</v>
      </c>
      <c r="T77" s="108" t="s">
        <v>10</v>
      </c>
      <c r="U77" s="108" t="s">
        <v>10</v>
      </c>
      <c r="V77" s="108" t="s">
        <v>10</v>
      </c>
      <c r="W77" s="108" t="s">
        <v>10</v>
      </c>
      <c r="X77" s="108" t="s">
        <v>10</v>
      </c>
      <c r="Y77" s="117" t="s">
        <v>10</v>
      </c>
      <c r="Z77" s="116">
        <v>23.6</v>
      </c>
      <c r="AA77" s="117">
        <v>78.2</v>
      </c>
      <c r="AB77" s="81">
        <v>73.148099999999999</v>
      </c>
      <c r="AC77" s="81">
        <v>25.23</v>
      </c>
      <c r="AD77" s="109">
        <v>25.919899999999998</v>
      </c>
      <c r="AE77" s="109">
        <v>38.369700000000002</v>
      </c>
      <c r="AF77" s="109">
        <v>43.737099999999998</v>
      </c>
      <c r="AG77" s="109">
        <v>55.424199999999999</v>
      </c>
    </row>
    <row r="78" spans="1:33" s="93" customFormat="1">
      <c r="A78" s="103"/>
      <c r="N78" s="120"/>
    </row>
    <row r="79" spans="1:33" ht="12.75" customHeight="1">
      <c r="A79" s="155" t="s">
        <v>12</v>
      </c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</row>
    <row r="80" spans="1:3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AD80" s="154" t="s">
        <v>9</v>
      </c>
      <c r="AE80" s="154"/>
      <c r="AF80" s="154"/>
      <c r="AG80" s="154"/>
    </row>
    <row r="81" spans="1:33" s="21" customFormat="1">
      <c r="A81" s="19"/>
      <c r="B81" s="19">
        <v>1990</v>
      </c>
      <c r="C81" s="19">
        <v>1991</v>
      </c>
      <c r="D81" s="19">
        <v>1992</v>
      </c>
      <c r="E81" s="19">
        <v>1993</v>
      </c>
      <c r="F81" s="19">
        <v>1994</v>
      </c>
      <c r="G81" s="19">
        <v>1995</v>
      </c>
      <c r="H81" s="19">
        <v>1996</v>
      </c>
      <c r="I81" s="19">
        <v>1997</v>
      </c>
      <c r="J81" s="19">
        <v>1998</v>
      </c>
      <c r="K81" s="19">
        <v>1999</v>
      </c>
      <c r="L81" s="19">
        <v>2000</v>
      </c>
      <c r="M81" s="19">
        <v>2001</v>
      </c>
      <c r="N81" s="19">
        <v>2002</v>
      </c>
      <c r="O81" s="19">
        <v>2003</v>
      </c>
      <c r="P81" s="19">
        <v>2004</v>
      </c>
      <c r="Q81" s="19">
        <v>2005</v>
      </c>
      <c r="R81" s="19">
        <v>2006</v>
      </c>
      <c r="S81" s="19">
        <v>2007</v>
      </c>
      <c r="T81" s="19">
        <v>2008</v>
      </c>
      <c r="U81" s="19">
        <v>2009</v>
      </c>
      <c r="V81" s="19">
        <v>2010</v>
      </c>
      <c r="W81" s="19">
        <v>2011</v>
      </c>
      <c r="X81" s="19">
        <v>2012</v>
      </c>
      <c r="Y81" s="19">
        <v>2013</v>
      </c>
      <c r="Z81" s="19">
        <v>2014</v>
      </c>
      <c r="AA81" s="19">
        <v>2015</v>
      </c>
      <c r="AB81" s="19">
        <v>2016</v>
      </c>
      <c r="AC81" s="19">
        <v>2017</v>
      </c>
      <c r="AD81" s="19">
        <v>2018</v>
      </c>
      <c r="AE81" s="19">
        <v>2019</v>
      </c>
      <c r="AF81" s="19">
        <v>2020</v>
      </c>
      <c r="AG81" s="19">
        <v>2021</v>
      </c>
    </row>
    <row r="82" spans="1:33" ht="27.75" customHeight="1">
      <c r="A82" s="134" t="s">
        <v>85</v>
      </c>
      <c r="B82" s="7"/>
      <c r="C82" s="7">
        <v>46</v>
      </c>
      <c r="D82" s="7">
        <v>65</v>
      </c>
      <c r="E82" s="7">
        <v>80</v>
      </c>
      <c r="F82" s="7">
        <v>51</v>
      </c>
      <c r="G82" s="7">
        <v>50</v>
      </c>
      <c r="H82" s="7"/>
      <c r="I82" s="7">
        <v>33</v>
      </c>
      <c r="J82" s="7">
        <v>150</v>
      </c>
      <c r="K82" s="7"/>
      <c r="L82" s="7">
        <v>20</v>
      </c>
      <c r="M82" s="7">
        <v>50</v>
      </c>
      <c r="N82" s="7">
        <v>75.400000000000006</v>
      </c>
      <c r="O82" s="7">
        <v>9.3000000000000007</v>
      </c>
      <c r="P82" s="7"/>
      <c r="Q82" s="7"/>
      <c r="R82" s="7">
        <v>350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>
        <v>283.75</v>
      </c>
      <c r="AF82" s="7"/>
      <c r="AG82" s="7">
        <v>37.6</v>
      </c>
    </row>
    <row r="83" spans="1:33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6" spans="1:33" ht="12.75" customHeight="1">
      <c r="A86" s="155" t="s">
        <v>11</v>
      </c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</row>
    <row r="87" spans="1:3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AD87" s="154" t="s">
        <v>9</v>
      </c>
      <c r="AE87" s="154"/>
      <c r="AF87" s="154"/>
      <c r="AG87" s="154"/>
    </row>
    <row r="88" spans="1:33" s="91" customFormat="1">
      <c r="A88" s="90"/>
      <c r="B88" s="90">
        <v>1990</v>
      </c>
      <c r="C88" s="90">
        <v>1991</v>
      </c>
      <c r="D88" s="90">
        <v>1992</v>
      </c>
      <c r="E88" s="90">
        <v>1993</v>
      </c>
      <c r="F88" s="90">
        <v>1994</v>
      </c>
      <c r="G88" s="90">
        <v>1995</v>
      </c>
      <c r="H88" s="90">
        <v>1996</v>
      </c>
      <c r="I88" s="90">
        <v>1997</v>
      </c>
      <c r="J88" s="90">
        <v>1998</v>
      </c>
      <c r="K88" s="90">
        <v>1999</v>
      </c>
      <c r="L88" s="90">
        <v>2000</v>
      </c>
      <c r="M88" s="90">
        <v>2001</v>
      </c>
      <c r="N88" s="90">
        <v>2002</v>
      </c>
      <c r="O88" s="90">
        <v>2003</v>
      </c>
      <c r="P88" s="90">
        <v>2004</v>
      </c>
      <c r="Q88" s="90">
        <v>2005</v>
      </c>
      <c r="R88" s="90">
        <v>2006</v>
      </c>
      <c r="S88" s="90">
        <v>2007</v>
      </c>
      <c r="T88" s="90">
        <v>2008</v>
      </c>
      <c r="U88" s="90">
        <v>2009</v>
      </c>
      <c r="V88" s="90">
        <v>2010</v>
      </c>
      <c r="W88" s="90">
        <v>2011</v>
      </c>
      <c r="X88" s="90">
        <v>2012</v>
      </c>
      <c r="Y88" s="90">
        <v>2013</v>
      </c>
      <c r="Z88" s="90">
        <v>2014</v>
      </c>
      <c r="AA88" s="90">
        <v>2015</v>
      </c>
      <c r="AB88" s="90">
        <v>2016</v>
      </c>
      <c r="AC88" s="90">
        <v>2017</v>
      </c>
      <c r="AD88" s="90">
        <v>2018</v>
      </c>
      <c r="AE88" s="90">
        <v>2019</v>
      </c>
      <c r="AF88" s="90">
        <v>2020</v>
      </c>
      <c r="AG88" s="90">
        <v>2021</v>
      </c>
    </row>
    <row r="89" spans="1:33" s="93" customFormat="1" ht="23.25" customHeight="1">
      <c r="A89" s="134" t="s">
        <v>85</v>
      </c>
      <c r="B89" s="78">
        <v>11.7</v>
      </c>
      <c r="C89" s="78">
        <v>7.8</v>
      </c>
      <c r="D89" s="78">
        <v>5.9</v>
      </c>
      <c r="E89" s="78">
        <v>4.8</v>
      </c>
      <c r="F89" s="78">
        <v>5.5</v>
      </c>
      <c r="G89" s="78">
        <v>4.3</v>
      </c>
      <c r="H89" s="78">
        <v>2.5</v>
      </c>
      <c r="I89" s="78">
        <v>3.8</v>
      </c>
      <c r="J89" s="78">
        <v>5.4</v>
      </c>
      <c r="K89" s="78">
        <v>5.5</v>
      </c>
      <c r="L89" s="78">
        <v>4.5</v>
      </c>
      <c r="M89" s="78">
        <v>7</v>
      </c>
      <c r="N89" s="78">
        <v>5.7</v>
      </c>
      <c r="O89" s="78">
        <v>7.4</v>
      </c>
      <c r="P89" s="78">
        <v>6.5</v>
      </c>
      <c r="Q89" s="78">
        <v>6.9</v>
      </c>
      <c r="R89" s="78">
        <v>6.6</v>
      </c>
      <c r="S89" s="78">
        <v>6.3</v>
      </c>
      <c r="T89" s="78">
        <v>4</v>
      </c>
      <c r="U89" s="78">
        <v>6.3</v>
      </c>
      <c r="V89" s="78">
        <v>5.4</v>
      </c>
      <c r="W89" s="78">
        <v>5.4</v>
      </c>
      <c r="X89" s="78">
        <v>7.7426000000000004</v>
      </c>
      <c r="Y89" s="78">
        <v>8.0785999999999998</v>
      </c>
      <c r="Z89" s="78">
        <v>7.8</v>
      </c>
      <c r="AA89" s="78">
        <v>8.8000000000000007</v>
      </c>
      <c r="AB89" s="78">
        <v>11.1</v>
      </c>
      <c r="AC89" s="78">
        <v>12.5</v>
      </c>
      <c r="AD89" s="78">
        <v>12.274100000000001</v>
      </c>
      <c r="AE89" s="78">
        <v>12.5276</v>
      </c>
      <c r="AF89" s="78">
        <v>13.9</v>
      </c>
      <c r="AG89" s="78">
        <v>13.8</v>
      </c>
    </row>
    <row r="90" spans="1:33" s="93" customFormat="1">
      <c r="A90" s="76" t="s">
        <v>40</v>
      </c>
      <c r="B90" s="78" t="s">
        <v>34</v>
      </c>
      <c r="C90" s="78" t="s">
        <v>34</v>
      </c>
      <c r="D90" s="78" t="s">
        <v>34</v>
      </c>
      <c r="E90" s="78" t="s">
        <v>34</v>
      </c>
      <c r="F90" s="78" t="s">
        <v>34</v>
      </c>
      <c r="G90" s="78" t="s">
        <v>34</v>
      </c>
      <c r="H90" s="78" t="s">
        <v>34</v>
      </c>
      <c r="I90" s="78">
        <v>5.5</v>
      </c>
      <c r="J90" s="78">
        <v>3.4</v>
      </c>
      <c r="K90" s="78">
        <v>7.5</v>
      </c>
      <c r="L90" s="78">
        <v>5.6</v>
      </c>
      <c r="M90" s="78">
        <v>5.3</v>
      </c>
      <c r="N90" s="78">
        <v>6.8</v>
      </c>
      <c r="O90" s="78">
        <v>8.8000000000000007</v>
      </c>
      <c r="P90" s="78">
        <v>9.6</v>
      </c>
      <c r="Q90" s="98">
        <v>8.8000000000000007</v>
      </c>
      <c r="R90" s="99">
        <v>8.6</v>
      </c>
      <c r="S90" s="98">
        <v>8.6</v>
      </c>
      <c r="T90" s="99">
        <v>4.9000000000000004</v>
      </c>
      <c r="U90" s="98">
        <v>10.9</v>
      </c>
      <c r="V90" s="93">
        <v>6.9</v>
      </c>
      <c r="W90" s="101">
        <v>8.3808000000000007</v>
      </c>
      <c r="X90" s="101">
        <v>4.7207999999999997</v>
      </c>
      <c r="Y90" s="98">
        <v>9.6</v>
      </c>
      <c r="Z90" s="96">
        <v>7.8</v>
      </c>
      <c r="AA90" s="98">
        <v>6.9</v>
      </c>
      <c r="AB90" s="101">
        <v>14.3247</v>
      </c>
      <c r="AC90" s="101">
        <v>8.9007000000000005</v>
      </c>
      <c r="AD90" s="101">
        <v>8.6386000000000003</v>
      </c>
      <c r="AE90" s="101">
        <v>12.473800000000001</v>
      </c>
      <c r="AF90" s="66">
        <v>10.6</v>
      </c>
      <c r="AG90" s="101">
        <v>16.116</v>
      </c>
    </row>
    <row r="91" spans="1:33" s="93" customFormat="1">
      <c r="A91" s="76" t="s">
        <v>41</v>
      </c>
      <c r="B91" s="78" t="s">
        <v>34</v>
      </c>
      <c r="C91" s="78" t="s">
        <v>34</v>
      </c>
      <c r="D91" s="78" t="s">
        <v>34</v>
      </c>
      <c r="E91" s="78" t="s">
        <v>34</v>
      </c>
      <c r="F91" s="78" t="s">
        <v>34</v>
      </c>
      <c r="G91" s="78" t="s">
        <v>34</v>
      </c>
      <c r="H91" s="78" t="s">
        <v>34</v>
      </c>
      <c r="I91" s="78">
        <v>1.8</v>
      </c>
      <c r="J91" s="78">
        <v>2</v>
      </c>
      <c r="K91" s="78">
        <v>2.2999999999999998</v>
      </c>
      <c r="L91" s="78">
        <v>1.5</v>
      </c>
      <c r="M91" s="78">
        <v>4.7</v>
      </c>
      <c r="N91" s="78">
        <v>3.2</v>
      </c>
      <c r="O91" s="78">
        <v>3.9</v>
      </c>
      <c r="P91" s="78">
        <v>4.7</v>
      </c>
      <c r="Q91" s="99">
        <v>2.9</v>
      </c>
      <c r="R91" s="98">
        <v>10</v>
      </c>
      <c r="S91" s="99">
        <v>10</v>
      </c>
      <c r="T91" s="98">
        <v>1</v>
      </c>
      <c r="U91" s="98">
        <v>10</v>
      </c>
      <c r="V91" s="102">
        <v>9</v>
      </c>
      <c r="W91" s="101">
        <v>10.991300000000001</v>
      </c>
      <c r="X91" s="101">
        <v>9.9118999999999993</v>
      </c>
      <c r="Y91" s="98">
        <v>11</v>
      </c>
      <c r="Z91" s="96">
        <v>15</v>
      </c>
      <c r="AA91" s="98">
        <v>10</v>
      </c>
      <c r="AB91" s="101">
        <v>8.8185000000000002</v>
      </c>
      <c r="AC91" s="101">
        <v>5.6074000000000002</v>
      </c>
      <c r="AD91" s="101">
        <v>6</v>
      </c>
      <c r="AE91" s="101">
        <v>15</v>
      </c>
      <c r="AF91" s="66">
        <v>8.6</v>
      </c>
      <c r="AG91" s="101">
        <v>10.0563</v>
      </c>
    </row>
    <row r="92" spans="1:33" s="93" customFormat="1">
      <c r="A92" s="76" t="s">
        <v>42</v>
      </c>
      <c r="B92" s="78" t="s">
        <v>34</v>
      </c>
      <c r="C92" s="78" t="s">
        <v>34</v>
      </c>
      <c r="D92" s="78" t="s">
        <v>34</v>
      </c>
      <c r="E92" s="78" t="s">
        <v>34</v>
      </c>
      <c r="F92" s="78" t="s">
        <v>34</v>
      </c>
      <c r="G92" s="78" t="s">
        <v>34</v>
      </c>
      <c r="H92" s="78" t="s">
        <v>34</v>
      </c>
      <c r="I92" s="78" t="s">
        <v>10</v>
      </c>
      <c r="J92" s="78" t="s">
        <v>10</v>
      </c>
      <c r="K92" s="78" t="s">
        <v>10</v>
      </c>
      <c r="L92" s="78" t="s">
        <v>10</v>
      </c>
      <c r="M92" s="78" t="s">
        <v>10</v>
      </c>
      <c r="N92" s="78" t="s">
        <v>10</v>
      </c>
      <c r="O92" s="78" t="s">
        <v>10</v>
      </c>
      <c r="P92" s="78" t="s">
        <v>10</v>
      </c>
      <c r="Q92" s="78" t="s">
        <v>10</v>
      </c>
      <c r="R92" s="78" t="s">
        <v>10</v>
      </c>
      <c r="S92" s="78" t="s">
        <v>10</v>
      </c>
      <c r="T92" s="78" t="s">
        <v>10</v>
      </c>
      <c r="U92" s="78" t="s">
        <v>10</v>
      </c>
      <c r="V92" s="78" t="s">
        <v>10</v>
      </c>
      <c r="W92" s="78" t="s">
        <v>10</v>
      </c>
      <c r="X92" s="78" t="s">
        <v>10</v>
      </c>
      <c r="Y92" s="98" t="s">
        <v>10</v>
      </c>
      <c r="Z92" s="78" t="s">
        <v>10</v>
      </c>
      <c r="AA92" s="98" t="s">
        <v>10</v>
      </c>
      <c r="AB92" s="98" t="s">
        <v>10</v>
      </c>
      <c r="AC92" s="98" t="s">
        <v>10</v>
      </c>
      <c r="AD92" s="98" t="s">
        <v>10</v>
      </c>
      <c r="AE92" s="98" t="s">
        <v>10</v>
      </c>
      <c r="AF92" s="98" t="s">
        <v>10</v>
      </c>
      <c r="AG92" s="98" t="s">
        <v>10</v>
      </c>
    </row>
    <row r="93" spans="1:33" s="93" customFormat="1">
      <c r="A93" s="76" t="s">
        <v>43</v>
      </c>
      <c r="B93" s="78" t="s">
        <v>34</v>
      </c>
      <c r="C93" s="78" t="s">
        <v>34</v>
      </c>
      <c r="D93" s="78" t="s">
        <v>34</v>
      </c>
      <c r="E93" s="78" t="s">
        <v>34</v>
      </c>
      <c r="F93" s="78" t="s">
        <v>34</v>
      </c>
      <c r="G93" s="78" t="s">
        <v>34</v>
      </c>
      <c r="H93" s="78" t="s">
        <v>34</v>
      </c>
      <c r="I93" s="78" t="s">
        <v>10</v>
      </c>
      <c r="J93" s="78" t="s">
        <v>10</v>
      </c>
      <c r="K93" s="78" t="s">
        <v>10</v>
      </c>
      <c r="L93" s="78" t="s">
        <v>10</v>
      </c>
      <c r="M93" s="78" t="s">
        <v>10</v>
      </c>
      <c r="N93" s="78" t="s">
        <v>10</v>
      </c>
      <c r="O93" s="78" t="s">
        <v>10</v>
      </c>
      <c r="P93" s="78" t="s">
        <v>10</v>
      </c>
      <c r="Q93" s="78" t="s">
        <v>10</v>
      </c>
      <c r="R93" s="78" t="s">
        <v>10</v>
      </c>
      <c r="S93" s="78" t="s">
        <v>10</v>
      </c>
      <c r="T93" s="78" t="s">
        <v>10</v>
      </c>
      <c r="U93" s="78" t="s">
        <v>10</v>
      </c>
      <c r="V93" s="78" t="s">
        <v>10</v>
      </c>
      <c r="W93" s="78" t="s">
        <v>10</v>
      </c>
      <c r="X93" s="78" t="s">
        <v>10</v>
      </c>
      <c r="Y93" s="98" t="s">
        <v>10</v>
      </c>
      <c r="Z93" s="78" t="s">
        <v>10</v>
      </c>
      <c r="AA93" s="98" t="s">
        <v>10</v>
      </c>
      <c r="AB93" s="98" t="s">
        <v>10</v>
      </c>
      <c r="AC93" s="98" t="s">
        <v>10</v>
      </c>
      <c r="AD93" s="98" t="s">
        <v>10</v>
      </c>
      <c r="AE93" s="98" t="s">
        <v>10</v>
      </c>
      <c r="AF93" s="98" t="s">
        <v>10</v>
      </c>
      <c r="AG93" s="98" t="s">
        <v>10</v>
      </c>
    </row>
    <row r="94" spans="1:33" s="93" customFormat="1">
      <c r="A94" s="76" t="s">
        <v>44</v>
      </c>
      <c r="B94" s="78" t="s">
        <v>34</v>
      </c>
      <c r="C94" s="78" t="s">
        <v>34</v>
      </c>
      <c r="D94" s="78" t="s">
        <v>34</v>
      </c>
      <c r="E94" s="78" t="s">
        <v>34</v>
      </c>
      <c r="F94" s="78" t="s">
        <v>34</v>
      </c>
      <c r="G94" s="78" t="s">
        <v>34</v>
      </c>
      <c r="H94" s="78" t="s">
        <v>34</v>
      </c>
      <c r="I94" s="78">
        <v>5</v>
      </c>
      <c r="J94" s="78" t="s">
        <v>10</v>
      </c>
      <c r="K94" s="78">
        <v>6.9</v>
      </c>
      <c r="L94" s="78">
        <v>6.5</v>
      </c>
      <c r="M94" s="78">
        <v>8</v>
      </c>
      <c r="N94" s="78">
        <v>5</v>
      </c>
      <c r="O94" s="78" t="s">
        <v>10</v>
      </c>
      <c r="P94" s="78" t="s">
        <v>10</v>
      </c>
      <c r="Q94" s="78" t="s">
        <v>10</v>
      </c>
      <c r="R94" s="78" t="s">
        <v>10</v>
      </c>
      <c r="S94" s="78" t="s">
        <v>10</v>
      </c>
      <c r="T94" s="78" t="s">
        <v>10</v>
      </c>
      <c r="U94" s="78" t="s">
        <v>10</v>
      </c>
      <c r="V94" s="78" t="s">
        <v>10</v>
      </c>
      <c r="W94" s="78" t="s">
        <v>10</v>
      </c>
      <c r="X94" s="78" t="s">
        <v>10</v>
      </c>
      <c r="Y94" s="98" t="s">
        <v>10</v>
      </c>
      <c r="Z94" s="78" t="s">
        <v>10</v>
      </c>
      <c r="AA94" s="98" t="s">
        <v>10</v>
      </c>
      <c r="AB94" s="98" t="s">
        <v>10</v>
      </c>
      <c r="AC94" s="98" t="s">
        <v>10</v>
      </c>
      <c r="AD94" s="98" t="s">
        <v>10</v>
      </c>
      <c r="AE94" s="98" t="s">
        <v>10</v>
      </c>
      <c r="AF94" s="98" t="s">
        <v>10</v>
      </c>
      <c r="AG94" s="98" t="s">
        <v>10</v>
      </c>
    </row>
    <row r="95" spans="1:33" s="93" customFormat="1">
      <c r="A95" s="76" t="s">
        <v>45</v>
      </c>
      <c r="B95" s="78" t="s">
        <v>34</v>
      </c>
      <c r="C95" s="78" t="s">
        <v>34</v>
      </c>
      <c r="D95" s="78" t="s">
        <v>34</v>
      </c>
      <c r="E95" s="78" t="s">
        <v>34</v>
      </c>
      <c r="F95" s="78" t="s">
        <v>34</v>
      </c>
      <c r="G95" s="78" t="s">
        <v>34</v>
      </c>
      <c r="H95" s="78" t="s">
        <v>34</v>
      </c>
      <c r="I95" s="78">
        <v>0.9</v>
      </c>
      <c r="J95" s="78">
        <v>1.8</v>
      </c>
      <c r="K95" s="78" t="s">
        <v>10</v>
      </c>
      <c r="L95" s="78">
        <v>1.9</v>
      </c>
      <c r="M95" s="78">
        <v>3.6</v>
      </c>
      <c r="N95" s="78">
        <v>5</v>
      </c>
      <c r="O95" s="78">
        <v>5.5</v>
      </c>
      <c r="P95" s="78">
        <v>4.5</v>
      </c>
      <c r="Q95" s="98">
        <v>1.8</v>
      </c>
      <c r="R95" s="98">
        <v>4.5</v>
      </c>
      <c r="S95" s="98">
        <v>4.5</v>
      </c>
      <c r="T95" s="98">
        <v>1.7</v>
      </c>
      <c r="U95" s="98">
        <v>1</v>
      </c>
      <c r="V95" s="102">
        <v>3.7</v>
      </c>
      <c r="W95" s="101">
        <v>3.9518</v>
      </c>
      <c r="X95" s="101">
        <v>4.0594999999999999</v>
      </c>
      <c r="Y95" s="98">
        <v>5.0999999999999996</v>
      </c>
      <c r="Z95" s="96">
        <v>0.6</v>
      </c>
      <c r="AA95" s="98">
        <v>0.6</v>
      </c>
      <c r="AB95" s="101">
        <v>4.8117999999999999</v>
      </c>
      <c r="AC95" s="101">
        <v>4.2</v>
      </c>
      <c r="AD95" s="101">
        <v>4</v>
      </c>
      <c r="AE95" s="101">
        <v>4.5894000000000004</v>
      </c>
      <c r="AF95" s="66">
        <v>4.8</v>
      </c>
      <c r="AG95" s="114" t="s">
        <v>10</v>
      </c>
    </row>
    <row r="96" spans="1:33" s="93" customFormat="1">
      <c r="A96" s="103" t="s">
        <v>46</v>
      </c>
      <c r="B96" s="78" t="s">
        <v>34</v>
      </c>
      <c r="C96" s="78" t="s">
        <v>34</v>
      </c>
      <c r="D96" s="78" t="s">
        <v>34</v>
      </c>
      <c r="E96" s="78" t="s">
        <v>34</v>
      </c>
      <c r="F96" s="78" t="s">
        <v>34</v>
      </c>
      <c r="G96" s="78" t="s">
        <v>34</v>
      </c>
      <c r="H96" s="78" t="s">
        <v>34</v>
      </c>
      <c r="I96" s="78">
        <v>5</v>
      </c>
      <c r="J96" s="78">
        <v>8</v>
      </c>
      <c r="K96" s="78">
        <v>2.1</v>
      </c>
      <c r="L96" s="78">
        <v>2</v>
      </c>
      <c r="M96" s="78">
        <v>5</v>
      </c>
      <c r="N96" s="78">
        <v>4.9000000000000004</v>
      </c>
      <c r="O96" s="78">
        <v>2.2999999999999998</v>
      </c>
      <c r="P96" s="78">
        <v>2</v>
      </c>
      <c r="Q96" s="98">
        <v>1.3</v>
      </c>
      <c r="R96" s="98">
        <v>1.9</v>
      </c>
      <c r="S96" s="98">
        <v>3.1</v>
      </c>
      <c r="T96" s="98">
        <v>1.3</v>
      </c>
      <c r="U96" s="98">
        <v>3.3</v>
      </c>
      <c r="V96" s="102">
        <v>2.7</v>
      </c>
      <c r="W96" s="101">
        <v>3.6</v>
      </c>
      <c r="X96" s="101">
        <v>4.95</v>
      </c>
      <c r="Y96" s="98">
        <v>3.9</v>
      </c>
      <c r="Z96" s="96">
        <v>4</v>
      </c>
      <c r="AA96" s="98">
        <v>3.8</v>
      </c>
      <c r="AB96" s="101">
        <v>10.900700000000001</v>
      </c>
      <c r="AC96" s="101">
        <v>7.1</v>
      </c>
      <c r="AD96" s="101">
        <v>9.4033999999999995</v>
      </c>
      <c r="AE96" s="101">
        <v>7.7450999999999999</v>
      </c>
      <c r="AF96" s="66">
        <v>11.1</v>
      </c>
      <c r="AG96" s="101">
        <v>11.3766</v>
      </c>
    </row>
    <row r="97" spans="1:33" s="93" customFormat="1">
      <c r="A97" s="76" t="s">
        <v>47</v>
      </c>
      <c r="B97" s="78" t="s">
        <v>34</v>
      </c>
      <c r="C97" s="78" t="s">
        <v>34</v>
      </c>
      <c r="D97" s="78" t="s">
        <v>34</v>
      </c>
      <c r="E97" s="78" t="s">
        <v>34</v>
      </c>
      <c r="F97" s="78" t="s">
        <v>34</v>
      </c>
      <c r="G97" s="78" t="s">
        <v>34</v>
      </c>
      <c r="H97" s="78" t="s">
        <v>34</v>
      </c>
      <c r="I97" s="78">
        <v>1.7</v>
      </c>
      <c r="J97" s="78">
        <v>3.5</v>
      </c>
      <c r="K97" s="78">
        <v>2.9</v>
      </c>
      <c r="L97" s="78">
        <v>3</v>
      </c>
      <c r="M97" s="78">
        <v>6.2</v>
      </c>
      <c r="N97" s="78">
        <v>3.5</v>
      </c>
      <c r="O97" s="78">
        <v>4.0999999999999996</v>
      </c>
      <c r="P97" s="78">
        <v>2.2000000000000002</v>
      </c>
      <c r="Q97" s="98">
        <v>4.5</v>
      </c>
      <c r="R97" s="98">
        <v>4.0999999999999996</v>
      </c>
      <c r="S97" s="98">
        <v>3.5</v>
      </c>
      <c r="T97" s="98">
        <v>1.5</v>
      </c>
      <c r="U97" s="98">
        <v>6.6</v>
      </c>
      <c r="V97" s="102">
        <v>3.4</v>
      </c>
      <c r="W97" s="101">
        <v>3.2785000000000002</v>
      </c>
      <c r="X97" s="101">
        <v>7.0101000000000004</v>
      </c>
      <c r="Y97" s="98">
        <v>6.3</v>
      </c>
      <c r="Z97" s="96">
        <v>5.4</v>
      </c>
      <c r="AA97" s="98">
        <v>6.4</v>
      </c>
      <c r="AB97" s="101">
        <v>7.2850999999999999</v>
      </c>
      <c r="AC97" s="101">
        <v>8.6165000000000003</v>
      </c>
      <c r="AD97" s="101">
        <v>8.2819000000000003</v>
      </c>
      <c r="AE97" s="101">
        <v>8.8615999999999993</v>
      </c>
      <c r="AF97" s="66">
        <v>10.5</v>
      </c>
      <c r="AG97" s="101">
        <v>11.7684</v>
      </c>
    </row>
    <row r="98" spans="1:33" s="93" customFormat="1">
      <c r="A98" s="76" t="s">
        <v>48</v>
      </c>
      <c r="B98" s="78" t="s">
        <v>34</v>
      </c>
      <c r="C98" s="78" t="s">
        <v>34</v>
      </c>
      <c r="D98" s="78" t="s">
        <v>34</v>
      </c>
      <c r="E98" s="78" t="s">
        <v>34</v>
      </c>
      <c r="F98" s="78" t="s">
        <v>34</v>
      </c>
      <c r="G98" s="78" t="s">
        <v>34</v>
      </c>
      <c r="H98" s="78" t="s">
        <v>34</v>
      </c>
      <c r="I98" s="121">
        <v>10.199999999999999</v>
      </c>
      <c r="J98" s="121">
        <v>7.9</v>
      </c>
      <c r="K98" s="121">
        <v>8.3000000000000007</v>
      </c>
      <c r="L98" s="121">
        <v>10.3</v>
      </c>
      <c r="M98" s="121">
        <v>11.3</v>
      </c>
      <c r="N98" s="121">
        <v>9.6999999999999993</v>
      </c>
      <c r="O98" s="121">
        <v>13.7</v>
      </c>
      <c r="P98" s="121">
        <v>11.5</v>
      </c>
      <c r="Q98" s="98">
        <v>12.5</v>
      </c>
      <c r="R98" s="98">
        <v>10.1</v>
      </c>
      <c r="S98" s="98">
        <v>11</v>
      </c>
      <c r="T98" s="98">
        <v>7.3</v>
      </c>
      <c r="U98" s="98">
        <v>8.6999999999999993</v>
      </c>
      <c r="V98" s="102">
        <v>9</v>
      </c>
      <c r="W98" s="101">
        <v>9.1872000000000007</v>
      </c>
      <c r="X98" s="101">
        <v>14.213100000000001</v>
      </c>
      <c r="Y98" s="98">
        <v>15.7</v>
      </c>
      <c r="Z98" s="96">
        <v>12.3</v>
      </c>
      <c r="AA98" s="98">
        <v>15.5</v>
      </c>
      <c r="AB98" s="101">
        <v>17.9024</v>
      </c>
      <c r="AC98" s="101">
        <v>19.8</v>
      </c>
      <c r="AD98" s="101">
        <v>17.623200000000001</v>
      </c>
      <c r="AE98" s="101">
        <v>19.888000000000002</v>
      </c>
      <c r="AF98" s="66">
        <v>18.100000000000001</v>
      </c>
      <c r="AG98" s="101">
        <v>20.090499999999999</v>
      </c>
    </row>
    <row r="99" spans="1:33" s="93" customFormat="1">
      <c r="A99" s="76" t="s">
        <v>49</v>
      </c>
      <c r="B99" s="78" t="s">
        <v>34</v>
      </c>
      <c r="C99" s="78" t="s">
        <v>34</v>
      </c>
      <c r="D99" s="78" t="s">
        <v>34</v>
      </c>
      <c r="E99" s="78" t="s">
        <v>34</v>
      </c>
      <c r="F99" s="78" t="s">
        <v>34</v>
      </c>
      <c r="G99" s="78" t="s">
        <v>34</v>
      </c>
      <c r="H99" s="78" t="s">
        <v>34</v>
      </c>
      <c r="I99" s="121">
        <v>0.8</v>
      </c>
      <c r="J99" s="121">
        <v>1.7</v>
      </c>
      <c r="K99" s="121">
        <v>1.8</v>
      </c>
      <c r="L99" s="121">
        <v>2</v>
      </c>
      <c r="M99" s="121">
        <v>3.3</v>
      </c>
      <c r="N99" s="121">
        <v>4.3</v>
      </c>
      <c r="O99" s="121">
        <v>3.1</v>
      </c>
      <c r="P99" s="121">
        <v>4.0999999999999996</v>
      </c>
      <c r="Q99" s="98">
        <v>3.9</v>
      </c>
      <c r="R99" s="98">
        <v>3.9</v>
      </c>
      <c r="S99" s="98">
        <v>3.5</v>
      </c>
      <c r="T99" s="98">
        <v>2.9</v>
      </c>
      <c r="U99" s="98">
        <v>5.6</v>
      </c>
      <c r="V99" s="102">
        <v>3.1</v>
      </c>
      <c r="W99" s="101">
        <v>3.6036999999999999</v>
      </c>
      <c r="X99" s="101">
        <v>3.8169</v>
      </c>
      <c r="Y99" s="98">
        <v>5.0999999999999996</v>
      </c>
      <c r="Z99" s="96">
        <v>3.1</v>
      </c>
      <c r="AA99" s="98">
        <v>4.5</v>
      </c>
      <c r="AB99" s="101">
        <v>7.4786000000000001</v>
      </c>
      <c r="AC99" s="101">
        <v>7.8489000000000004</v>
      </c>
      <c r="AD99" s="101">
        <v>4.1016000000000004</v>
      </c>
      <c r="AE99" s="101">
        <v>5.0301999999999998</v>
      </c>
      <c r="AF99" s="66">
        <v>8.1</v>
      </c>
      <c r="AG99" s="101">
        <v>7.7457000000000003</v>
      </c>
    </row>
    <row r="100" spans="1:33" s="93" customFormat="1">
      <c r="A100" s="76" t="s">
        <v>50</v>
      </c>
      <c r="B100" s="78" t="s">
        <v>34</v>
      </c>
      <c r="C100" s="78" t="s">
        <v>34</v>
      </c>
      <c r="D100" s="78" t="s">
        <v>34</v>
      </c>
      <c r="E100" s="78" t="s">
        <v>34</v>
      </c>
      <c r="F100" s="78" t="s">
        <v>34</v>
      </c>
      <c r="G100" s="78" t="s">
        <v>34</v>
      </c>
      <c r="H100" s="78" t="s">
        <v>34</v>
      </c>
      <c r="I100" s="78">
        <v>5</v>
      </c>
      <c r="J100" s="78" t="s">
        <v>10</v>
      </c>
      <c r="K100" s="78">
        <v>8.1999999999999993</v>
      </c>
      <c r="L100" s="78">
        <v>7</v>
      </c>
      <c r="M100" s="78">
        <v>9</v>
      </c>
      <c r="N100" s="78">
        <v>9</v>
      </c>
      <c r="O100" s="78">
        <v>8.1999999999999993</v>
      </c>
      <c r="P100" s="78">
        <v>7.4</v>
      </c>
      <c r="Q100" s="98">
        <v>8</v>
      </c>
      <c r="R100" s="98">
        <v>11.6</v>
      </c>
      <c r="S100" s="98">
        <v>9.9</v>
      </c>
      <c r="T100" s="98">
        <v>6.9</v>
      </c>
      <c r="U100" s="98">
        <v>8.1</v>
      </c>
      <c r="V100" s="102">
        <v>7.1</v>
      </c>
      <c r="W100" s="101">
        <v>7.1696</v>
      </c>
      <c r="X100" s="101">
        <v>6.6069000000000004</v>
      </c>
      <c r="Y100" s="98">
        <v>7.5</v>
      </c>
      <c r="Z100" s="96">
        <v>8.1</v>
      </c>
      <c r="AA100" s="98">
        <v>7.5</v>
      </c>
      <c r="AB100" s="101">
        <v>9.2356999999999996</v>
      </c>
      <c r="AC100" s="101">
        <v>8.6</v>
      </c>
      <c r="AD100" s="101">
        <v>8.8420000000000005</v>
      </c>
      <c r="AE100" s="101">
        <v>9.0823999999999998</v>
      </c>
      <c r="AF100" s="66">
        <v>9.9</v>
      </c>
      <c r="AG100" s="101">
        <v>10.1145</v>
      </c>
    </row>
    <row r="101" spans="1:33" s="93" customFormat="1">
      <c r="A101" s="76" t="s">
        <v>51</v>
      </c>
      <c r="B101" s="78" t="s">
        <v>34</v>
      </c>
      <c r="C101" s="78" t="s">
        <v>34</v>
      </c>
      <c r="D101" s="78" t="s">
        <v>34</v>
      </c>
      <c r="E101" s="78" t="s">
        <v>34</v>
      </c>
      <c r="F101" s="78" t="s">
        <v>34</v>
      </c>
      <c r="G101" s="78" t="s">
        <v>34</v>
      </c>
      <c r="H101" s="78" t="s">
        <v>34</v>
      </c>
      <c r="I101" s="78">
        <v>7.1</v>
      </c>
      <c r="J101" s="78">
        <v>7.9</v>
      </c>
      <c r="K101" s="78">
        <v>8.1</v>
      </c>
      <c r="L101" s="78">
        <v>8.6</v>
      </c>
      <c r="M101" s="78">
        <v>8.6</v>
      </c>
      <c r="N101" s="78">
        <v>7.5</v>
      </c>
      <c r="O101" s="78">
        <v>10</v>
      </c>
      <c r="P101" s="78">
        <v>9.6999999999999993</v>
      </c>
      <c r="Q101" s="98">
        <v>11.6</v>
      </c>
      <c r="R101" s="98">
        <v>8.8000000000000007</v>
      </c>
      <c r="S101" s="98">
        <v>11.1</v>
      </c>
      <c r="T101" s="98">
        <v>8.3000000000000007</v>
      </c>
      <c r="U101" s="98">
        <v>7.3</v>
      </c>
      <c r="V101" s="102">
        <v>8</v>
      </c>
      <c r="W101" s="98">
        <f>11+10.5</f>
        <v>21.5</v>
      </c>
      <c r="X101" s="101">
        <v>13.507400000000001</v>
      </c>
      <c r="Y101" s="98">
        <v>14.1</v>
      </c>
      <c r="Z101" s="78">
        <v>14.6</v>
      </c>
      <c r="AA101" s="98">
        <v>17.7</v>
      </c>
      <c r="AB101" s="101">
        <v>20.056000000000001</v>
      </c>
      <c r="AC101" s="101">
        <v>21.2</v>
      </c>
      <c r="AD101" s="101">
        <v>21.450199999999999</v>
      </c>
      <c r="AE101" s="101">
        <v>22.677600000000002</v>
      </c>
      <c r="AF101" s="66">
        <v>22.6</v>
      </c>
      <c r="AG101" s="101">
        <v>21.6799</v>
      </c>
    </row>
    <row r="102" spans="1:33" s="93" customFormat="1">
      <c r="A102" s="76" t="s">
        <v>52</v>
      </c>
      <c r="B102" s="78" t="s">
        <v>34</v>
      </c>
      <c r="C102" s="78" t="s">
        <v>34</v>
      </c>
      <c r="D102" s="78" t="s">
        <v>34</v>
      </c>
      <c r="E102" s="78" t="s">
        <v>34</v>
      </c>
      <c r="F102" s="78" t="s">
        <v>34</v>
      </c>
      <c r="G102" s="78" t="s">
        <v>34</v>
      </c>
      <c r="H102" s="78" t="s">
        <v>34</v>
      </c>
      <c r="I102" s="78">
        <v>2.8</v>
      </c>
      <c r="J102" s="78">
        <v>3.5</v>
      </c>
      <c r="K102" s="78">
        <v>5.8</v>
      </c>
      <c r="L102" s="78">
        <v>3.8</v>
      </c>
      <c r="M102" s="78">
        <v>6.7</v>
      </c>
      <c r="N102" s="78">
        <v>4.0999999999999996</v>
      </c>
      <c r="O102" s="78">
        <v>3.8</v>
      </c>
      <c r="P102" s="78">
        <v>4.8</v>
      </c>
      <c r="Q102" s="98">
        <v>5.0999999999999996</v>
      </c>
      <c r="R102" s="98">
        <v>5.0999999999999996</v>
      </c>
      <c r="S102" s="98">
        <v>5</v>
      </c>
      <c r="T102" s="98">
        <v>2.7</v>
      </c>
      <c r="U102" s="98">
        <v>8.6</v>
      </c>
      <c r="V102" s="102">
        <v>7</v>
      </c>
      <c r="W102" s="101">
        <v>7.1391</v>
      </c>
      <c r="X102" s="101">
        <v>8.8430999999999997</v>
      </c>
      <c r="Y102" s="98">
        <v>9.5</v>
      </c>
      <c r="Z102" s="96">
        <v>8</v>
      </c>
      <c r="AA102" s="98">
        <v>9.5</v>
      </c>
      <c r="AB102" s="101">
        <v>14.371700000000001</v>
      </c>
      <c r="AC102" s="101">
        <v>15.4</v>
      </c>
      <c r="AD102" s="101">
        <v>15.492000000000001</v>
      </c>
      <c r="AE102" s="101">
        <v>17.441800000000001</v>
      </c>
      <c r="AF102" s="66">
        <v>18.399999999999999</v>
      </c>
      <c r="AG102" s="101">
        <v>16.015799999999999</v>
      </c>
    </row>
    <row r="103" spans="1:33" s="93" customFormat="1">
      <c r="A103" s="76" t="s">
        <v>53</v>
      </c>
      <c r="B103" s="78" t="s">
        <v>34</v>
      </c>
      <c r="C103" s="78" t="s">
        <v>34</v>
      </c>
      <c r="D103" s="78" t="s">
        <v>34</v>
      </c>
      <c r="E103" s="78" t="s">
        <v>34</v>
      </c>
      <c r="F103" s="78" t="s">
        <v>34</v>
      </c>
      <c r="G103" s="78" t="s">
        <v>34</v>
      </c>
      <c r="H103" s="78" t="s">
        <v>34</v>
      </c>
      <c r="I103" s="78">
        <v>1.4</v>
      </c>
      <c r="J103" s="78">
        <v>4</v>
      </c>
      <c r="K103" s="78">
        <v>3.8</v>
      </c>
      <c r="L103" s="78">
        <v>2.8</v>
      </c>
      <c r="M103" s="78">
        <v>5.9</v>
      </c>
      <c r="N103" s="78">
        <v>3.5</v>
      </c>
      <c r="O103" s="78">
        <v>4.9000000000000004</v>
      </c>
      <c r="P103" s="78">
        <v>5</v>
      </c>
      <c r="Q103" s="98">
        <v>4.8</v>
      </c>
      <c r="R103" s="98">
        <v>6.7</v>
      </c>
      <c r="S103" s="98">
        <v>5.6</v>
      </c>
      <c r="T103" s="98">
        <v>1.5</v>
      </c>
      <c r="U103" s="98">
        <v>5.3</v>
      </c>
      <c r="V103" s="93">
        <v>6.3</v>
      </c>
      <c r="W103" s="101">
        <v>6.2954999999999997</v>
      </c>
      <c r="X103" s="101">
        <v>7.1651999999999996</v>
      </c>
      <c r="Y103" s="98">
        <v>8.6</v>
      </c>
      <c r="Z103" s="96">
        <v>9.5</v>
      </c>
      <c r="AA103" s="98">
        <v>9.6</v>
      </c>
      <c r="AB103" s="101">
        <v>10.947900000000001</v>
      </c>
      <c r="AC103" s="101">
        <v>12.010999999999999</v>
      </c>
      <c r="AD103" s="101">
        <v>12.501300000000001</v>
      </c>
      <c r="AE103" s="101">
        <v>12.065899999999999</v>
      </c>
      <c r="AF103" s="66">
        <v>14.7</v>
      </c>
      <c r="AG103" s="101">
        <v>9.7304999999999993</v>
      </c>
    </row>
    <row r="104" spans="1:33" s="93" customFormat="1">
      <c r="A104" s="76" t="s">
        <v>54</v>
      </c>
      <c r="B104" s="78" t="s">
        <v>34</v>
      </c>
      <c r="C104" s="78" t="s">
        <v>34</v>
      </c>
      <c r="D104" s="78" t="s">
        <v>34</v>
      </c>
      <c r="E104" s="78" t="s">
        <v>34</v>
      </c>
      <c r="F104" s="78" t="s">
        <v>34</v>
      </c>
      <c r="G104" s="78" t="s">
        <v>34</v>
      </c>
      <c r="H104" s="78" t="s">
        <v>34</v>
      </c>
      <c r="I104" s="78">
        <v>2.8</v>
      </c>
      <c r="J104" s="78">
        <v>2.4</v>
      </c>
      <c r="K104" s="78">
        <v>3.4</v>
      </c>
      <c r="L104" s="78">
        <v>4.7</v>
      </c>
      <c r="M104" s="78">
        <v>7</v>
      </c>
      <c r="N104" s="78">
        <v>5.3</v>
      </c>
      <c r="O104" s="78">
        <v>8.1</v>
      </c>
      <c r="P104" s="78">
        <v>6.9</v>
      </c>
      <c r="Q104" s="98">
        <v>10.6</v>
      </c>
      <c r="R104" s="98">
        <v>10.5</v>
      </c>
      <c r="S104" s="98">
        <v>8.1</v>
      </c>
      <c r="T104" s="98">
        <v>5.8</v>
      </c>
      <c r="U104" s="98">
        <v>7.2</v>
      </c>
      <c r="V104" s="93">
        <v>7.1</v>
      </c>
      <c r="W104" s="101">
        <v>6.8482000000000003</v>
      </c>
      <c r="X104" s="101">
        <v>7.8395000000000001</v>
      </c>
      <c r="Y104" s="98">
        <v>12.5</v>
      </c>
      <c r="Z104" s="96">
        <v>9.3000000000000007</v>
      </c>
      <c r="AA104" s="98">
        <v>7.8</v>
      </c>
      <c r="AB104" s="101">
        <v>8.5105000000000004</v>
      </c>
      <c r="AC104" s="101">
        <v>11.2</v>
      </c>
      <c r="AD104" s="101">
        <v>10.1822</v>
      </c>
      <c r="AE104" s="101">
        <v>10.2399</v>
      </c>
      <c r="AF104" s="66">
        <v>12.3</v>
      </c>
      <c r="AG104" s="101">
        <v>9.8039000000000005</v>
      </c>
    </row>
    <row r="105" spans="1:33" s="93" customFormat="1">
      <c r="A105" s="103" t="s">
        <v>55</v>
      </c>
      <c r="B105" s="78" t="s">
        <v>34</v>
      </c>
      <c r="C105" s="78" t="s">
        <v>34</v>
      </c>
      <c r="D105" s="78" t="s">
        <v>34</v>
      </c>
      <c r="E105" s="78" t="s">
        <v>34</v>
      </c>
      <c r="F105" s="78" t="s">
        <v>34</v>
      </c>
      <c r="G105" s="78" t="s">
        <v>34</v>
      </c>
      <c r="H105" s="78" t="s">
        <v>34</v>
      </c>
      <c r="I105" s="93" t="s">
        <v>10</v>
      </c>
      <c r="J105" s="93" t="s">
        <v>10</v>
      </c>
      <c r="K105" s="93" t="s">
        <v>10</v>
      </c>
      <c r="L105" s="93">
        <v>7.1</v>
      </c>
      <c r="M105" s="93">
        <v>7.1</v>
      </c>
      <c r="N105" s="93">
        <v>2.7</v>
      </c>
      <c r="O105" s="93">
        <v>1.8</v>
      </c>
      <c r="P105" s="93">
        <v>1</v>
      </c>
      <c r="Q105" s="98">
        <v>1.1000000000000001</v>
      </c>
      <c r="R105" s="98">
        <v>2.1</v>
      </c>
      <c r="S105" s="98">
        <v>5</v>
      </c>
      <c r="T105" s="98">
        <v>7.9</v>
      </c>
      <c r="U105" s="98">
        <v>7</v>
      </c>
      <c r="V105" s="93">
        <v>6.8</v>
      </c>
      <c r="W105" s="101">
        <v>7</v>
      </c>
      <c r="X105" s="101">
        <v>5.9749999999999996</v>
      </c>
      <c r="Y105" s="98">
        <v>6.3</v>
      </c>
      <c r="Z105" s="96">
        <v>5.0999999999999996</v>
      </c>
      <c r="AA105" s="98">
        <v>2.8</v>
      </c>
      <c r="AB105" s="101">
        <v>8.8003</v>
      </c>
      <c r="AC105" s="101">
        <v>9.6999999999999993</v>
      </c>
      <c r="AD105" s="101">
        <v>10.8</v>
      </c>
      <c r="AE105" s="101">
        <v>10.8667</v>
      </c>
      <c r="AF105" s="66">
        <v>15</v>
      </c>
      <c r="AG105" s="114" t="s">
        <v>10</v>
      </c>
    </row>
    <row r="106" spans="1:33" s="93" customFormat="1">
      <c r="A106" s="76" t="s">
        <v>56</v>
      </c>
      <c r="B106" s="78" t="s">
        <v>34</v>
      </c>
      <c r="C106" s="78" t="s">
        <v>34</v>
      </c>
      <c r="D106" s="78" t="s">
        <v>34</v>
      </c>
      <c r="E106" s="78" t="s">
        <v>34</v>
      </c>
      <c r="F106" s="78" t="s">
        <v>34</v>
      </c>
      <c r="G106" s="78" t="s">
        <v>34</v>
      </c>
      <c r="H106" s="78" t="s">
        <v>34</v>
      </c>
      <c r="I106" s="78">
        <v>1</v>
      </c>
      <c r="J106" s="78">
        <v>4.3</v>
      </c>
      <c r="K106" s="78">
        <v>3.5</v>
      </c>
      <c r="L106" s="78">
        <v>3.6</v>
      </c>
      <c r="M106" s="78">
        <v>3.8</v>
      </c>
      <c r="N106" s="78">
        <v>5</v>
      </c>
      <c r="O106" s="78">
        <v>4.7</v>
      </c>
      <c r="P106" s="78">
        <v>5.9</v>
      </c>
      <c r="Q106" s="98">
        <v>5.2</v>
      </c>
      <c r="R106" s="98">
        <v>6</v>
      </c>
      <c r="S106" s="98">
        <v>4.5999999999999996</v>
      </c>
      <c r="T106" s="98">
        <v>2.2999999999999998</v>
      </c>
      <c r="U106" s="98">
        <v>8.6999999999999993</v>
      </c>
      <c r="V106" s="93">
        <v>5.7</v>
      </c>
      <c r="W106" s="101">
        <v>3.3488000000000002</v>
      </c>
      <c r="X106" s="101">
        <v>4.8304</v>
      </c>
      <c r="Y106" s="98">
        <v>8.9</v>
      </c>
      <c r="Z106" s="96">
        <v>5.9</v>
      </c>
      <c r="AA106" s="98">
        <v>5.7</v>
      </c>
      <c r="AB106" s="101">
        <v>9.7726000000000006</v>
      </c>
      <c r="AC106" s="101">
        <v>9.5318000000000005</v>
      </c>
      <c r="AD106" s="101">
        <v>9.8706999999999994</v>
      </c>
      <c r="AE106" s="101">
        <v>10.161899999999999</v>
      </c>
      <c r="AF106" s="66">
        <v>10.8</v>
      </c>
      <c r="AG106" s="101">
        <v>11.3765</v>
      </c>
    </row>
    <row r="107" spans="1:33" s="93" customFormat="1">
      <c r="A107" s="76" t="s">
        <v>57</v>
      </c>
      <c r="B107" s="78" t="s">
        <v>34</v>
      </c>
      <c r="C107" s="78" t="s">
        <v>34</v>
      </c>
      <c r="D107" s="78" t="s">
        <v>34</v>
      </c>
      <c r="E107" s="78" t="s">
        <v>34</v>
      </c>
      <c r="F107" s="78" t="s">
        <v>34</v>
      </c>
      <c r="G107" s="78" t="s">
        <v>34</v>
      </c>
      <c r="H107" s="78" t="s">
        <v>34</v>
      </c>
      <c r="I107" s="78">
        <v>1.2</v>
      </c>
      <c r="J107" s="78">
        <v>3.7</v>
      </c>
      <c r="K107" s="78">
        <v>3</v>
      </c>
      <c r="L107" s="78">
        <v>2.6</v>
      </c>
      <c r="M107" s="78">
        <v>4.7</v>
      </c>
      <c r="N107" s="78">
        <v>4.8</v>
      </c>
      <c r="O107" s="78">
        <v>7.9</v>
      </c>
      <c r="P107" s="78">
        <v>6.8</v>
      </c>
      <c r="Q107" s="98">
        <v>4.5999999999999996</v>
      </c>
      <c r="R107" s="98">
        <v>4.5</v>
      </c>
      <c r="S107" s="98">
        <v>3.7</v>
      </c>
      <c r="T107" s="98">
        <v>2.1</v>
      </c>
      <c r="U107" s="98">
        <v>2.2000000000000002</v>
      </c>
      <c r="V107" s="93">
        <v>3.5</v>
      </c>
      <c r="W107" s="101">
        <v>3.8780999999999999</v>
      </c>
      <c r="X107" s="101">
        <v>3.2570999999999999</v>
      </c>
      <c r="Y107" s="98">
        <v>4.4000000000000004</v>
      </c>
      <c r="Z107" s="96">
        <v>5.2</v>
      </c>
      <c r="AA107" s="98">
        <v>5.7</v>
      </c>
      <c r="AB107" s="101">
        <v>10.554600000000001</v>
      </c>
      <c r="AC107" s="101">
        <v>11.7</v>
      </c>
      <c r="AD107" s="101">
        <v>11.8249</v>
      </c>
      <c r="AE107" s="101">
        <v>12.0564</v>
      </c>
      <c r="AF107" s="66">
        <v>12.9</v>
      </c>
      <c r="AG107" s="101">
        <v>13.115500000000001</v>
      </c>
    </row>
    <row r="108" spans="1:33" s="93" customFormat="1">
      <c r="A108" s="122" t="s">
        <v>58</v>
      </c>
      <c r="B108" s="97" t="s">
        <v>34</v>
      </c>
      <c r="C108" s="97" t="s">
        <v>34</v>
      </c>
      <c r="D108" s="97" t="s">
        <v>34</v>
      </c>
      <c r="E108" s="97" t="s">
        <v>34</v>
      </c>
      <c r="F108" s="97" t="s">
        <v>34</v>
      </c>
      <c r="G108" s="97" t="s">
        <v>34</v>
      </c>
      <c r="H108" s="97" t="s">
        <v>34</v>
      </c>
      <c r="I108" s="97">
        <v>7.4</v>
      </c>
      <c r="J108" s="97">
        <v>9</v>
      </c>
      <c r="K108" s="97">
        <v>9.1999999999999993</v>
      </c>
      <c r="L108" s="97">
        <v>11.8</v>
      </c>
      <c r="M108" s="97">
        <v>12.9</v>
      </c>
      <c r="N108" s="97">
        <v>10.8</v>
      </c>
      <c r="O108" s="97">
        <v>12.1</v>
      </c>
      <c r="P108" s="97">
        <v>11.1</v>
      </c>
      <c r="Q108" s="108">
        <v>12.2</v>
      </c>
      <c r="R108" s="108">
        <v>11</v>
      </c>
      <c r="S108" s="108">
        <v>9.9</v>
      </c>
      <c r="T108" s="108">
        <v>7.5</v>
      </c>
      <c r="U108" s="108">
        <v>9.8000000000000007</v>
      </c>
      <c r="V108" s="116">
        <v>8.6999999999999993</v>
      </c>
      <c r="W108" s="109">
        <v>8.8637999999999995</v>
      </c>
      <c r="X108" s="109">
        <v>12.9796</v>
      </c>
      <c r="Y108" s="108">
        <v>11.7</v>
      </c>
      <c r="Z108" s="113">
        <v>15</v>
      </c>
      <c r="AA108" s="108">
        <v>14.7</v>
      </c>
      <c r="AB108" s="109">
        <v>15.8001</v>
      </c>
      <c r="AC108" s="109">
        <v>20.9</v>
      </c>
      <c r="AD108" s="109">
        <v>20.091899999999999</v>
      </c>
      <c r="AE108" s="109">
        <v>17.4481</v>
      </c>
      <c r="AF108" s="70">
        <v>19.5</v>
      </c>
      <c r="AG108" s="109">
        <v>20.138200000000001</v>
      </c>
    </row>
    <row r="109" spans="1:33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R109" s="11"/>
    </row>
    <row r="110" spans="1:33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spans="1:33" ht="12.75" customHeight="1">
      <c r="A111" s="155" t="s">
        <v>4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</row>
    <row r="112" spans="1:3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AD112" s="154" t="s">
        <v>9</v>
      </c>
      <c r="AE112" s="154"/>
      <c r="AF112" s="154"/>
      <c r="AG112" s="154"/>
    </row>
    <row r="113" spans="1:33" s="91" customFormat="1">
      <c r="A113" s="90"/>
      <c r="B113" s="90">
        <v>1990</v>
      </c>
      <c r="C113" s="90">
        <v>1991</v>
      </c>
      <c r="D113" s="90">
        <v>1992</v>
      </c>
      <c r="E113" s="90">
        <v>1993</v>
      </c>
      <c r="F113" s="90">
        <v>1994</v>
      </c>
      <c r="G113" s="90">
        <v>1995</v>
      </c>
      <c r="H113" s="90">
        <v>1996</v>
      </c>
      <c r="I113" s="90">
        <v>1997</v>
      </c>
      <c r="J113" s="90">
        <v>1998</v>
      </c>
      <c r="K113" s="90">
        <v>1999</v>
      </c>
      <c r="L113" s="90">
        <v>2000</v>
      </c>
      <c r="M113" s="90">
        <v>2001</v>
      </c>
      <c r="N113" s="90">
        <v>2002</v>
      </c>
      <c r="O113" s="90">
        <v>2003</v>
      </c>
      <c r="P113" s="90">
        <v>2004</v>
      </c>
      <c r="Q113" s="90">
        <v>2005</v>
      </c>
      <c r="R113" s="90">
        <v>2006</v>
      </c>
      <c r="S113" s="90">
        <v>2007</v>
      </c>
      <c r="T113" s="90">
        <v>2008</v>
      </c>
      <c r="U113" s="90">
        <v>2009</v>
      </c>
      <c r="V113" s="90">
        <v>2010</v>
      </c>
      <c r="W113" s="90">
        <v>2011</v>
      </c>
      <c r="X113" s="90">
        <v>2012</v>
      </c>
      <c r="Y113" s="90">
        <v>2013</v>
      </c>
      <c r="Z113" s="90">
        <v>2014</v>
      </c>
      <c r="AA113" s="90">
        <v>2015</v>
      </c>
      <c r="AB113" s="90">
        <v>2016</v>
      </c>
      <c r="AC113" s="90">
        <v>2017</v>
      </c>
      <c r="AD113" s="90">
        <v>2018</v>
      </c>
      <c r="AE113" s="90">
        <v>2019</v>
      </c>
      <c r="AF113" s="90">
        <v>2020</v>
      </c>
      <c r="AG113" s="90">
        <v>2021</v>
      </c>
    </row>
    <row r="114" spans="1:33" s="93" customFormat="1" ht="25.5" customHeight="1">
      <c r="A114" s="134" t="s">
        <v>85</v>
      </c>
      <c r="B114" s="78">
        <v>89</v>
      </c>
      <c r="C114" s="78">
        <v>86</v>
      </c>
      <c r="D114" s="78">
        <v>87</v>
      </c>
      <c r="E114" s="78">
        <v>84</v>
      </c>
      <c r="F114" s="78">
        <v>109</v>
      </c>
      <c r="G114" s="78">
        <v>104</v>
      </c>
      <c r="H114" s="78">
        <v>80</v>
      </c>
      <c r="I114" s="78">
        <v>67</v>
      </c>
      <c r="J114" s="78">
        <v>72</v>
      </c>
      <c r="K114" s="78">
        <v>100</v>
      </c>
      <c r="L114" s="78">
        <v>110</v>
      </c>
      <c r="M114" s="78">
        <v>124.7</v>
      </c>
      <c r="N114" s="78">
        <v>135.30000000000001</v>
      </c>
      <c r="O114" s="78">
        <v>141.30000000000001</v>
      </c>
      <c r="P114" s="78">
        <v>135.9</v>
      </c>
      <c r="Q114" s="78">
        <v>145</v>
      </c>
      <c r="R114" s="78">
        <v>154.9</v>
      </c>
      <c r="S114" s="78">
        <v>142.19999999999999</v>
      </c>
      <c r="T114" s="78">
        <v>119.2</v>
      </c>
      <c r="U114" s="78">
        <v>150.6</v>
      </c>
      <c r="V114" s="78">
        <v>155.6</v>
      </c>
      <c r="W114" s="78">
        <v>156.4</v>
      </c>
      <c r="X114" s="78">
        <v>167.66749999999999</v>
      </c>
      <c r="Y114" s="78">
        <v>184.1155</v>
      </c>
      <c r="Z114" s="78">
        <v>191.1</v>
      </c>
      <c r="AA114" s="78">
        <v>188.3</v>
      </c>
      <c r="AB114" s="78">
        <v>201.4</v>
      </c>
      <c r="AC114" s="78">
        <v>205.1</v>
      </c>
      <c r="AD114" s="78">
        <v>214.38659999999999</v>
      </c>
      <c r="AE114" s="78">
        <v>217.76009999999999</v>
      </c>
      <c r="AF114" s="78">
        <v>225.7</v>
      </c>
      <c r="AG114" s="78">
        <v>228.2</v>
      </c>
    </row>
    <row r="115" spans="1:33" s="93" customFormat="1">
      <c r="A115" s="76" t="s">
        <v>40</v>
      </c>
      <c r="B115" s="93" t="s">
        <v>34</v>
      </c>
      <c r="C115" s="93" t="s">
        <v>34</v>
      </c>
      <c r="D115" s="93" t="s">
        <v>34</v>
      </c>
      <c r="E115" s="93" t="s">
        <v>34</v>
      </c>
      <c r="F115" s="93" t="s">
        <v>34</v>
      </c>
      <c r="G115" s="93" t="s">
        <v>34</v>
      </c>
      <c r="H115" s="93" t="s">
        <v>34</v>
      </c>
      <c r="I115" s="78">
        <v>35.700000000000003</v>
      </c>
      <c r="J115" s="78">
        <v>36.200000000000003</v>
      </c>
      <c r="K115" s="78">
        <v>79.7</v>
      </c>
      <c r="L115" s="78">
        <v>104.6</v>
      </c>
      <c r="M115" s="78">
        <v>115.7</v>
      </c>
      <c r="N115" s="78">
        <v>163.6</v>
      </c>
      <c r="O115" s="78">
        <v>161.30000000000001</v>
      </c>
      <c r="P115" s="78">
        <v>160.1</v>
      </c>
      <c r="Q115" s="98">
        <v>169</v>
      </c>
      <c r="R115" s="99">
        <v>163.69999999999999</v>
      </c>
      <c r="S115" s="98">
        <v>159.5</v>
      </c>
      <c r="T115" s="99">
        <v>100.6</v>
      </c>
      <c r="U115" s="98">
        <v>153.4</v>
      </c>
      <c r="V115" s="93">
        <v>183.4</v>
      </c>
      <c r="W115" s="101">
        <v>185.79929999999999</v>
      </c>
      <c r="X115" s="101">
        <v>190.89019999999999</v>
      </c>
      <c r="Y115" s="93">
        <v>205.8</v>
      </c>
      <c r="Z115" s="93">
        <v>205.3</v>
      </c>
      <c r="AA115" s="102">
        <v>210.7</v>
      </c>
      <c r="AB115" s="101">
        <v>208.70660000000001</v>
      </c>
      <c r="AC115" s="101">
        <v>207.07419999999999</v>
      </c>
      <c r="AD115" s="101">
        <v>210.2397</v>
      </c>
      <c r="AE115" s="101">
        <v>225.0864</v>
      </c>
      <c r="AF115" s="66">
        <v>234.5</v>
      </c>
      <c r="AG115" s="101">
        <v>236.89009999999999</v>
      </c>
    </row>
    <row r="116" spans="1:33" s="93" customFormat="1">
      <c r="A116" s="76" t="s">
        <v>41</v>
      </c>
      <c r="B116" s="93" t="s">
        <v>34</v>
      </c>
      <c r="C116" s="93" t="s">
        <v>34</v>
      </c>
      <c r="D116" s="93" t="s">
        <v>34</v>
      </c>
      <c r="E116" s="93" t="s">
        <v>34</v>
      </c>
      <c r="F116" s="93" t="s">
        <v>34</v>
      </c>
      <c r="G116" s="93" t="s">
        <v>34</v>
      </c>
      <c r="H116" s="93" t="s">
        <v>34</v>
      </c>
      <c r="I116" s="78">
        <v>148.6</v>
      </c>
      <c r="J116" s="78">
        <v>149.30000000000001</v>
      </c>
      <c r="K116" s="78">
        <v>163.19999999999999</v>
      </c>
      <c r="L116" s="78">
        <v>159.80000000000001</v>
      </c>
      <c r="M116" s="78">
        <v>160.80000000000001</v>
      </c>
      <c r="N116" s="78">
        <v>162.5</v>
      </c>
      <c r="O116" s="78">
        <v>170.6</v>
      </c>
      <c r="P116" s="78">
        <v>161</v>
      </c>
      <c r="Q116" s="99">
        <v>163.19999999999999</v>
      </c>
      <c r="R116" s="98">
        <v>171</v>
      </c>
      <c r="S116" s="99">
        <v>168.4</v>
      </c>
      <c r="T116" s="98">
        <v>155.69999999999999</v>
      </c>
      <c r="U116" s="98">
        <v>151.80000000000001</v>
      </c>
      <c r="V116" s="93">
        <v>152.5</v>
      </c>
      <c r="W116" s="101">
        <v>158.2585</v>
      </c>
      <c r="X116" s="101">
        <v>166.21639999999999</v>
      </c>
      <c r="Y116" s="93">
        <v>168.4</v>
      </c>
      <c r="Z116" s="93">
        <v>177.1</v>
      </c>
      <c r="AA116" s="102">
        <v>173.1</v>
      </c>
      <c r="AB116" s="101">
        <v>158.2516</v>
      </c>
      <c r="AC116" s="101">
        <v>158.0994</v>
      </c>
      <c r="AD116" s="101">
        <v>174.9623</v>
      </c>
      <c r="AE116" s="101">
        <v>167.95419999999999</v>
      </c>
      <c r="AF116" s="66">
        <v>175.6</v>
      </c>
      <c r="AG116" s="101">
        <v>182.59180000000001</v>
      </c>
    </row>
    <row r="117" spans="1:33" s="93" customFormat="1">
      <c r="A117" s="76" t="s">
        <v>42</v>
      </c>
      <c r="B117" s="93" t="s">
        <v>34</v>
      </c>
      <c r="C117" s="93" t="s">
        <v>34</v>
      </c>
      <c r="D117" s="93" t="s">
        <v>34</v>
      </c>
      <c r="E117" s="93" t="s">
        <v>34</v>
      </c>
      <c r="F117" s="93" t="s">
        <v>34</v>
      </c>
      <c r="G117" s="93" t="s">
        <v>34</v>
      </c>
      <c r="H117" s="93" t="s">
        <v>34</v>
      </c>
      <c r="I117" s="78">
        <v>88.5</v>
      </c>
      <c r="J117" s="78">
        <v>75</v>
      </c>
      <c r="K117" s="78">
        <v>158.9</v>
      </c>
      <c r="L117" s="78">
        <v>107.6</v>
      </c>
      <c r="M117" s="78">
        <v>118</v>
      </c>
      <c r="N117" s="78">
        <v>108.1</v>
      </c>
      <c r="O117" s="78">
        <v>117.9</v>
      </c>
      <c r="P117" s="78">
        <v>135</v>
      </c>
      <c r="Q117" s="98">
        <v>133.19999999999999</v>
      </c>
      <c r="R117" s="98">
        <v>128.5</v>
      </c>
      <c r="S117" s="98">
        <v>128.4</v>
      </c>
      <c r="T117" s="98">
        <v>114.9</v>
      </c>
      <c r="U117" s="98">
        <v>123.9</v>
      </c>
      <c r="V117" s="102">
        <v>139</v>
      </c>
      <c r="W117" s="101">
        <v>154.29480000000001</v>
      </c>
      <c r="X117" s="101">
        <v>185.15280000000001</v>
      </c>
      <c r="Y117" s="93">
        <v>206.2</v>
      </c>
      <c r="Z117" s="93">
        <v>221.7</v>
      </c>
      <c r="AA117" s="102">
        <v>239.5</v>
      </c>
      <c r="AB117" s="101">
        <v>239.81299999999999</v>
      </c>
      <c r="AC117" s="101">
        <v>246.47980000000001</v>
      </c>
      <c r="AD117" s="101">
        <v>243.09710000000001</v>
      </c>
      <c r="AE117" s="101">
        <v>247.1549</v>
      </c>
      <c r="AF117" s="66">
        <v>249.4</v>
      </c>
      <c r="AG117" s="101">
        <v>256.44839999999999</v>
      </c>
    </row>
    <row r="118" spans="1:33" s="93" customFormat="1">
      <c r="A118" s="76" t="s">
        <v>43</v>
      </c>
      <c r="B118" s="93" t="s">
        <v>34</v>
      </c>
      <c r="C118" s="93" t="s">
        <v>34</v>
      </c>
      <c r="D118" s="93" t="s">
        <v>34</v>
      </c>
      <c r="E118" s="93" t="s">
        <v>34</v>
      </c>
      <c r="F118" s="93" t="s">
        <v>34</v>
      </c>
      <c r="G118" s="93" t="s">
        <v>34</v>
      </c>
      <c r="H118" s="93" t="s">
        <v>34</v>
      </c>
      <c r="I118" s="78">
        <v>27</v>
      </c>
      <c r="J118" s="78">
        <v>28</v>
      </c>
      <c r="K118" s="78">
        <v>87.9</v>
      </c>
      <c r="L118" s="78">
        <v>90</v>
      </c>
      <c r="M118" s="78">
        <v>135.6</v>
      </c>
      <c r="N118" s="78">
        <v>83.9</v>
      </c>
      <c r="O118" s="78">
        <v>83.9</v>
      </c>
      <c r="P118" s="78">
        <v>189.9</v>
      </c>
      <c r="Q118" s="98">
        <v>205</v>
      </c>
      <c r="R118" s="93">
        <v>215.4</v>
      </c>
      <c r="S118" s="98">
        <v>170</v>
      </c>
      <c r="T118" s="98">
        <v>232.2</v>
      </c>
      <c r="U118" s="98">
        <v>230.2</v>
      </c>
      <c r="V118" s="102">
        <v>236.9</v>
      </c>
      <c r="W118" s="101">
        <v>237.8</v>
      </c>
      <c r="X118" s="101">
        <v>240.2079</v>
      </c>
      <c r="Y118" s="93">
        <v>240.2</v>
      </c>
      <c r="Z118" s="93">
        <v>231.5</v>
      </c>
      <c r="AA118" s="102">
        <v>231.4</v>
      </c>
      <c r="AB118" s="101">
        <v>231.73670000000001</v>
      </c>
      <c r="AC118" s="101">
        <v>232.24459999999999</v>
      </c>
      <c r="AD118" s="101">
        <v>232.059</v>
      </c>
      <c r="AE118" s="101">
        <v>235.23339999999999</v>
      </c>
      <c r="AF118" s="66">
        <v>235</v>
      </c>
      <c r="AG118" s="101">
        <v>244.01050000000001</v>
      </c>
    </row>
    <row r="119" spans="1:33" s="93" customFormat="1">
      <c r="A119" s="76" t="s">
        <v>44</v>
      </c>
      <c r="B119" s="93" t="s">
        <v>34</v>
      </c>
      <c r="C119" s="93" t="s">
        <v>34</v>
      </c>
      <c r="D119" s="93" t="s">
        <v>34</v>
      </c>
      <c r="E119" s="93" t="s">
        <v>34</v>
      </c>
      <c r="F119" s="93" t="s">
        <v>34</v>
      </c>
      <c r="G119" s="93" t="s">
        <v>34</v>
      </c>
      <c r="H119" s="93" t="s">
        <v>34</v>
      </c>
      <c r="I119" s="78">
        <v>70</v>
      </c>
      <c r="J119" s="78">
        <v>50</v>
      </c>
      <c r="K119" s="78">
        <v>60</v>
      </c>
      <c r="L119" s="78">
        <v>65</v>
      </c>
      <c r="M119" s="78">
        <v>62.5</v>
      </c>
      <c r="N119" s="78">
        <v>85</v>
      </c>
      <c r="O119" s="78">
        <v>95.2</v>
      </c>
      <c r="P119" s="78">
        <v>65</v>
      </c>
      <c r="Q119" s="98">
        <v>87.1</v>
      </c>
      <c r="R119" s="98">
        <v>119.7</v>
      </c>
      <c r="S119" s="98">
        <v>100.5</v>
      </c>
      <c r="T119" s="98">
        <v>105.7</v>
      </c>
      <c r="U119" s="98">
        <v>125.6</v>
      </c>
      <c r="V119" s="102">
        <v>125.6</v>
      </c>
      <c r="W119" s="101">
        <v>125.8347</v>
      </c>
      <c r="X119" s="101">
        <v>125.8231</v>
      </c>
      <c r="Y119" s="102">
        <v>126</v>
      </c>
      <c r="Z119" s="93">
        <v>126.4</v>
      </c>
      <c r="AA119" s="102">
        <v>126.4</v>
      </c>
      <c r="AB119" s="101">
        <v>126.9669</v>
      </c>
      <c r="AC119" s="101">
        <v>126.9892</v>
      </c>
      <c r="AD119" s="101">
        <v>128.71619999999999</v>
      </c>
      <c r="AE119" s="101">
        <v>129.5</v>
      </c>
      <c r="AF119" s="66">
        <v>129.6</v>
      </c>
      <c r="AG119" s="101">
        <v>129.48840000000001</v>
      </c>
    </row>
    <row r="120" spans="1:33" s="93" customFormat="1">
      <c r="A120" s="76" t="s">
        <v>45</v>
      </c>
      <c r="B120" s="93" t="s">
        <v>34</v>
      </c>
      <c r="C120" s="93" t="s">
        <v>34</v>
      </c>
      <c r="D120" s="93" t="s">
        <v>34</v>
      </c>
      <c r="E120" s="93" t="s">
        <v>34</v>
      </c>
      <c r="F120" s="93" t="s">
        <v>34</v>
      </c>
      <c r="G120" s="93" t="s">
        <v>34</v>
      </c>
      <c r="H120" s="93" t="s">
        <v>34</v>
      </c>
      <c r="I120" s="78">
        <v>65.400000000000006</v>
      </c>
      <c r="J120" s="78">
        <v>69.8</v>
      </c>
      <c r="K120" s="78">
        <v>70</v>
      </c>
      <c r="L120" s="78">
        <v>80</v>
      </c>
      <c r="M120" s="78">
        <v>50</v>
      </c>
      <c r="N120" s="78">
        <v>150</v>
      </c>
      <c r="O120" s="78">
        <v>171.4</v>
      </c>
      <c r="P120" s="78">
        <v>80</v>
      </c>
      <c r="Q120" s="98">
        <v>80</v>
      </c>
      <c r="R120" s="98">
        <v>40.1</v>
      </c>
      <c r="S120" s="98">
        <v>50</v>
      </c>
      <c r="T120" s="98">
        <v>49.2</v>
      </c>
      <c r="U120" s="98">
        <v>72.7</v>
      </c>
      <c r="V120" s="102">
        <v>81.7</v>
      </c>
      <c r="W120" s="101">
        <v>110.3841</v>
      </c>
      <c r="X120" s="101">
        <v>126.6905</v>
      </c>
      <c r="Y120" s="102">
        <v>149.9</v>
      </c>
      <c r="Z120" s="93">
        <v>140.1</v>
      </c>
      <c r="AA120" s="102">
        <v>130.4</v>
      </c>
      <c r="AB120" s="101">
        <v>142.97919999999999</v>
      </c>
      <c r="AC120" s="101">
        <v>152.9665</v>
      </c>
      <c r="AD120" s="101">
        <v>192.1859</v>
      </c>
      <c r="AE120" s="101">
        <v>195.75040000000001</v>
      </c>
      <c r="AF120" s="66">
        <v>201.8</v>
      </c>
      <c r="AG120" s="101">
        <v>189.52600000000001</v>
      </c>
    </row>
    <row r="121" spans="1:33" s="93" customFormat="1" ht="12.75" customHeight="1">
      <c r="A121" s="103" t="s">
        <v>46</v>
      </c>
      <c r="B121" s="93" t="s">
        <v>34</v>
      </c>
      <c r="C121" s="93" t="s">
        <v>34</v>
      </c>
      <c r="D121" s="93" t="s">
        <v>34</v>
      </c>
      <c r="E121" s="93" t="s">
        <v>34</v>
      </c>
      <c r="F121" s="93" t="s">
        <v>34</v>
      </c>
      <c r="G121" s="93" t="s">
        <v>34</v>
      </c>
      <c r="H121" s="93" t="s">
        <v>34</v>
      </c>
      <c r="I121" s="78">
        <v>66.400000000000006</v>
      </c>
      <c r="J121" s="78">
        <v>39.5</v>
      </c>
      <c r="K121" s="78">
        <v>43.2</v>
      </c>
      <c r="L121" s="78">
        <v>41.6</v>
      </c>
      <c r="M121" s="78">
        <v>54.3</v>
      </c>
      <c r="N121" s="78">
        <v>83.1</v>
      </c>
      <c r="O121" s="78">
        <v>100.3</v>
      </c>
      <c r="P121" s="78">
        <v>54.1</v>
      </c>
      <c r="Q121" s="98">
        <v>87</v>
      </c>
      <c r="R121" s="98">
        <v>132.6</v>
      </c>
      <c r="S121" s="98">
        <v>136.1</v>
      </c>
      <c r="T121" s="98">
        <v>98.8</v>
      </c>
      <c r="U121" s="98">
        <v>121.3</v>
      </c>
      <c r="V121" s="102">
        <v>129.69999999999999</v>
      </c>
      <c r="W121" s="101">
        <v>192.19990000000001</v>
      </c>
      <c r="X121" s="101">
        <v>177.42</v>
      </c>
      <c r="Y121" s="102">
        <v>189.8</v>
      </c>
      <c r="Z121" s="93">
        <v>200.3</v>
      </c>
      <c r="AA121" s="102">
        <v>206.6</v>
      </c>
      <c r="AB121" s="101">
        <v>210.7319</v>
      </c>
      <c r="AC121" s="101">
        <v>235.74459999999999</v>
      </c>
      <c r="AD121" s="101">
        <v>231.14089999999999</v>
      </c>
      <c r="AE121" s="101">
        <v>230.10740000000001</v>
      </c>
      <c r="AF121" s="66">
        <v>243.1</v>
      </c>
      <c r="AG121" s="101">
        <v>248.15690000000001</v>
      </c>
    </row>
    <row r="122" spans="1:33" s="93" customFormat="1">
      <c r="A122" s="76" t="s">
        <v>47</v>
      </c>
      <c r="B122" s="93" t="s">
        <v>34</v>
      </c>
      <c r="C122" s="93" t="s">
        <v>34</v>
      </c>
      <c r="D122" s="93" t="s">
        <v>34</v>
      </c>
      <c r="E122" s="93" t="s">
        <v>34</v>
      </c>
      <c r="F122" s="93" t="s">
        <v>34</v>
      </c>
      <c r="G122" s="93" t="s">
        <v>34</v>
      </c>
      <c r="H122" s="93" t="s">
        <v>34</v>
      </c>
      <c r="I122" s="78">
        <v>5.0999999999999996</v>
      </c>
      <c r="J122" s="78">
        <v>64.2</v>
      </c>
      <c r="K122" s="78">
        <v>52</v>
      </c>
      <c r="L122" s="78">
        <v>65</v>
      </c>
      <c r="M122" s="78">
        <v>154.1</v>
      </c>
      <c r="N122" s="78">
        <v>119.9</v>
      </c>
      <c r="O122" s="78">
        <v>159</v>
      </c>
      <c r="P122" s="78">
        <v>122.3</v>
      </c>
      <c r="Q122" s="98">
        <v>170</v>
      </c>
      <c r="R122" s="98">
        <v>183.5</v>
      </c>
      <c r="S122" s="98">
        <v>105.9</v>
      </c>
      <c r="T122" s="98">
        <v>98.6</v>
      </c>
      <c r="U122" s="98">
        <v>131.30000000000001</v>
      </c>
      <c r="V122" s="102">
        <v>112.4</v>
      </c>
      <c r="W122" s="101">
        <v>135.7159</v>
      </c>
      <c r="X122" s="101">
        <v>180.77709999999999</v>
      </c>
      <c r="Y122" s="102">
        <v>169.3</v>
      </c>
      <c r="Z122" s="93">
        <v>162.69999999999999</v>
      </c>
      <c r="AA122" s="102">
        <v>180.3</v>
      </c>
      <c r="AB122" s="101">
        <v>170.0001</v>
      </c>
      <c r="AC122" s="101">
        <v>168.8152</v>
      </c>
      <c r="AD122" s="101">
        <v>173.79830000000001</v>
      </c>
      <c r="AE122" s="101">
        <v>204.4913</v>
      </c>
      <c r="AF122" s="66">
        <v>209.4</v>
      </c>
      <c r="AG122" s="101">
        <v>209.87639999999999</v>
      </c>
    </row>
    <row r="123" spans="1:33" s="93" customFormat="1">
      <c r="A123" s="76" t="s">
        <v>48</v>
      </c>
      <c r="B123" s="93" t="s">
        <v>34</v>
      </c>
      <c r="C123" s="93" t="s">
        <v>34</v>
      </c>
      <c r="D123" s="93" t="s">
        <v>34</v>
      </c>
      <c r="E123" s="93" t="s">
        <v>34</v>
      </c>
      <c r="F123" s="93" t="s">
        <v>34</v>
      </c>
      <c r="G123" s="93" t="s">
        <v>34</v>
      </c>
      <c r="H123" s="93" t="s">
        <v>34</v>
      </c>
      <c r="I123" s="78">
        <v>59.6</v>
      </c>
      <c r="J123" s="78">
        <v>44.5</v>
      </c>
      <c r="K123" s="78">
        <v>69.099999999999994</v>
      </c>
      <c r="L123" s="78">
        <v>88.4</v>
      </c>
      <c r="M123" s="78">
        <v>98.3</v>
      </c>
      <c r="N123" s="78">
        <v>112.5</v>
      </c>
      <c r="O123" s="78">
        <v>106.1</v>
      </c>
      <c r="P123" s="78">
        <v>107.7</v>
      </c>
      <c r="Q123" s="98">
        <v>112.6</v>
      </c>
      <c r="R123" s="98">
        <v>159</v>
      </c>
      <c r="S123" s="98">
        <v>131</v>
      </c>
      <c r="T123" s="98">
        <v>117.1</v>
      </c>
      <c r="U123" s="98">
        <v>150.69999999999999</v>
      </c>
      <c r="V123" s="102">
        <v>149.80000000000001</v>
      </c>
      <c r="W123" s="101">
        <v>147.5215</v>
      </c>
      <c r="X123" s="101">
        <v>155.31890000000001</v>
      </c>
      <c r="Y123" s="102">
        <v>193.8</v>
      </c>
      <c r="Z123" s="93">
        <v>220.5</v>
      </c>
      <c r="AA123" s="102">
        <v>220.6</v>
      </c>
      <c r="AB123" s="101">
        <v>235.04</v>
      </c>
      <c r="AC123" s="101">
        <v>237.04859999999999</v>
      </c>
      <c r="AD123" s="101">
        <v>240.5077</v>
      </c>
      <c r="AE123" s="101">
        <v>241.3339</v>
      </c>
      <c r="AF123" s="66">
        <v>241.1</v>
      </c>
      <c r="AG123" s="101">
        <v>239.74889999999999</v>
      </c>
    </row>
    <row r="124" spans="1:33" s="93" customFormat="1">
      <c r="A124" s="76" t="s">
        <v>49</v>
      </c>
      <c r="B124" s="93" t="s">
        <v>34</v>
      </c>
      <c r="C124" s="93" t="s">
        <v>34</v>
      </c>
      <c r="D124" s="93" t="s">
        <v>34</v>
      </c>
      <c r="E124" s="93" t="s">
        <v>34</v>
      </c>
      <c r="F124" s="93" t="s">
        <v>34</v>
      </c>
      <c r="G124" s="93" t="s">
        <v>34</v>
      </c>
      <c r="H124" s="93" t="s">
        <v>34</v>
      </c>
      <c r="I124" s="78">
        <v>42.3</v>
      </c>
      <c r="J124" s="78">
        <v>65.400000000000006</v>
      </c>
      <c r="K124" s="78">
        <v>55.4</v>
      </c>
      <c r="L124" s="78">
        <v>53.2</v>
      </c>
      <c r="M124" s="78">
        <v>98.7</v>
      </c>
      <c r="N124" s="78">
        <v>125.5</v>
      </c>
      <c r="O124" s="78">
        <v>126.5</v>
      </c>
      <c r="P124" s="78">
        <v>130.9</v>
      </c>
      <c r="Q124" s="98">
        <v>132.1</v>
      </c>
      <c r="R124" s="98">
        <v>131.6</v>
      </c>
      <c r="S124" s="98">
        <v>130</v>
      </c>
      <c r="T124" s="98">
        <v>130</v>
      </c>
      <c r="U124" s="98">
        <v>144.19999999999999</v>
      </c>
      <c r="V124" s="102">
        <v>135</v>
      </c>
      <c r="W124" s="101">
        <v>138.001</v>
      </c>
      <c r="X124" s="101">
        <v>144.1327</v>
      </c>
      <c r="Y124" s="102">
        <v>140</v>
      </c>
      <c r="Z124" s="93">
        <v>146.9</v>
      </c>
      <c r="AA124" s="102">
        <v>110.3</v>
      </c>
      <c r="AB124" s="101">
        <v>161.59219999999999</v>
      </c>
      <c r="AC124" s="101">
        <v>159.42859999999999</v>
      </c>
      <c r="AD124" s="101">
        <v>187.86279999999999</v>
      </c>
      <c r="AE124" s="101">
        <v>209.2484</v>
      </c>
      <c r="AF124" s="66">
        <v>210.7</v>
      </c>
      <c r="AG124" s="101">
        <v>217.5215</v>
      </c>
    </row>
    <row r="125" spans="1:33" s="93" customFormat="1">
      <c r="A125" s="76" t="s">
        <v>50</v>
      </c>
      <c r="B125" s="93" t="s">
        <v>34</v>
      </c>
      <c r="C125" s="93" t="s">
        <v>34</v>
      </c>
      <c r="D125" s="93" t="s">
        <v>34</v>
      </c>
      <c r="E125" s="93" t="s">
        <v>34</v>
      </c>
      <c r="F125" s="93" t="s">
        <v>34</v>
      </c>
      <c r="G125" s="93" t="s">
        <v>34</v>
      </c>
      <c r="H125" s="93" t="s">
        <v>34</v>
      </c>
      <c r="I125" s="78">
        <v>73.3</v>
      </c>
      <c r="J125" s="78">
        <v>80</v>
      </c>
      <c r="K125" s="78">
        <v>148.69999999999999</v>
      </c>
      <c r="L125" s="78">
        <v>109.5</v>
      </c>
      <c r="M125" s="78">
        <v>112</v>
      </c>
      <c r="N125" s="78">
        <v>105.4</v>
      </c>
      <c r="O125" s="78">
        <v>97</v>
      </c>
      <c r="P125" s="78">
        <v>92</v>
      </c>
      <c r="Q125" s="98">
        <v>97.1</v>
      </c>
      <c r="R125" s="98">
        <v>99.8</v>
      </c>
      <c r="S125" s="98">
        <v>107.1</v>
      </c>
      <c r="T125" s="98">
        <v>85.8</v>
      </c>
      <c r="U125" s="98">
        <v>101</v>
      </c>
      <c r="V125" s="93">
        <v>93.7</v>
      </c>
      <c r="W125" s="101">
        <v>116.24720000000001</v>
      </c>
      <c r="X125" s="101">
        <v>111.6996</v>
      </c>
      <c r="Y125" s="93">
        <v>132.30000000000001</v>
      </c>
      <c r="Z125" s="93">
        <v>141.5</v>
      </c>
      <c r="AA125" s="102">
        <v>148.6</v>
      </c>
      <c r="AB125" s="101">
        <v>172.64570000000001</v>
      </c>
      <c r="AC125" s="101">
        <v>188.6574</v>
      </c>
      <c r="AD125" s="101">
        <v>202.5659</v>
      </c>
      <c r="AE125" s="101">
        <v>196.83430000000001</v>
      </c>
      <c r="AF125" s="66">
        <v>240.1</v>
      </c>
      <c r="AG125" s="101">
        <v>239.67840000000001</v>
      </c>
    </row>
    <row r="126" spans="1:33" s="93" customFormat="1">
      <c r="A126" s="76" t="s">
        <v>51</v>
      </c>
      <c r="B126" s="93" t="s">
        <v>34</v>
      </c>
      <c r="C126" s="93" t="s">
        <v>34</v>
      </c>
      <c r="D126" s="93" t="s">
        <v>34</v>
      </c>
      <c r="E126" s="93" t="s">
        <v>34</v>
      </c>
      <c r="F126" s="93" t="s">
        <v>34</v>
      </c>
      <c r="G126" s="93" t="s">
        <v>34</v>
      </c>
      <c r="H126" s="93" t="s">
        <v>34</v>
      </c>
      <c r="I126" s="78">
        <v>54.1</v>
      </c>
      <c r="J126" s="78">
        <v>96.8</v>
      </c>
      <c r="K126" s="78">
        <v>99.4</v>
      </c>
      <c r="L126" s="78">
        <v>93.9</v>
      </c>
      <c r="M126" s="78">
        <v>98.4</v>
      </c>
      <c r="N126" s="78">
        <v>124.2</v>
      </c>
      <c r="O126" s="78">
        <v>163.69999999999999</v>
      </c>
      <c r="P126" s="78">
        <v>158.19999999999999</v>
      </c>
      <c r="Q126" s="98">
        <v>160.5</v>
      </c>
      <c r="R126" s="98">
        <v>159.9</v>
      </c>
      <c r="S126" s="98">
        <v>163.5</v>
      </c>
      <c r="T126" s="98">
        <v>71.599999999999994</v>
      </c>
      <c r="U126" s="98">
        <v>148.4</v>
      </c>
      <c r="V126" s="93">
        <v>200.4</v>
      </c>
      <c r="W126" s="98">
        <f>74.2+138.2</f>
        <v>212.39999999999998</v>
      </c>
      <c r="X126" s="101">
        <v>203.89169999999999</v>
      </c>
      <c r="Y126" s="93">
        <v>210.7</v>
      </c>
      <c r="Z126" s="93">
        <v>228.8</v>
      </c>
      <c r="AA126" s="102">
        <v>219.2</v>
      </c>
      <c r="AB126" s="101">
        <v>223.5635</v>
      </c>
      <c r="AC126" s="101">
        <v>227.53579999999999</v>
      </c>
      <c r="AD126" s="101">
        <v>229.88319999999999</v>
      </c>
      <c r="AE126" s="101">
        <v>232.49860000000001</v>
      </c>
      <c r="AF126" s="66">
        <v>250.5</v>
      </c>
      <c r="AG126" s="101">
        <v>250.1095</v>
      </c>
    </row>
    <row r="127" spans="1:33" s="93" customFormat="1">
      <c r="A127" s="76" t="s">
        <v>52</v>
      </c>
      <c r="B127" s="93" t="s">
        <v>34</v>
      </c>
      <c r="C127" s="93" t="s">
        <v>34</v>
      </c>
      <c r="D127" s="93" t="s">
        <v>34</v>
      </c>
      <c r="E127" s="93" t="s">
        <v>34</v>
      </c>
      <c r="F127" s="93" t="s">
        <v>34</v>
      </c>
      <c r="G127" s="93" t="s">
        <v>34</v>
      </c>
      <c r="H127" s="93" t="s">
        <v>34</v>
      </c>
      <c r="I127" s="78">
        <v>51.4</v>
      </c>
      <c r="J127" s="78">
        <v>93.8</v>
      </c>
      <c r="K127" s="78">
        <v>67</v>
      </c>
      <c r="L127" s="78">
        <v>68.900000000000006</v>
      </c>
      <c r="M127" s="78">
        <v>80.3</v>
      </c>
      <c r="N127" s="78">
        <v>101.4</v>
      </c>
      <c r="O127" s="78">
        <v>101.4</v>
      </c>
      <c r="P127" s="78">
        <v>101.5</v>
      </c>
      <c r="Q127" s="98">
        <v>120</v>
      </c>
      <c r="R127" s="98">
        <v>144</v>
      </c>
      <c r="S127" s="98">
        <v>148</v>
      </c>
      <c r="T127" s="98">
        <v>75.5</v>
      </c>
      <c r="U127" s="98">
        <v>133.4</v>
      </c>
      <c r="V127" s="93">
        <v>146.69999999999999</v>
      </c>
      <c r="W127" s="101">
        <v>150.85769999999999</v>
      </c>
      <c r="X127" s="101">
        <v>169.18610000000001</v>
      </c>
      <c r="Y127" s="93">
        <v>190.9</v>
      </c>
      <c r="Z127" s="93">
        <v>190.6</v>
      </c>
      <c r="AA127" s="102">
        <v>207</v>
      </c>
      <c r="AB127" s="101">
        <v>212.84440000000001</v>
      </c>
      <c r="AC127" s="101">
        <v>218.0581</v>
      </c>
      <c r="AD127" s="101">
        <v>227.65520000000001</v>
      </c>
      <c r="AE127" s="101">
        <v>230.69149999999999</v>
      </c>
      <c r="AF127" s="66">
        <v>228.6</v>
      </c>
      <c r="AG127" s="101">
        <v>225.5504</v>
      </c>
    </row>
    <row r="128" spans="1:33" s="93" customFormat="1">
      <c r="A128" s="76" t="s">
        <v>53</v>
      </c>
      <c r="B128" s="93" t="s">
        <v>34</v>
      </c>
      <c r="C128" s="93" t="s">
        <v>34</v>
      </c>
      <c r="D128" s="93" t="s">
        <v>34</v>
      </c>
      <c r="E128" s="93" t="s">
        <v>34</v>
      </c>
      <c r="F128" s="93" t="s">
        <v>34</v>
      </c>
      <c r="G128" s="93" t="s">
        <v>34</v>
      </c>
      <c r="H128" s="93" t="s">
        <v>34</v>
      </c>
      <c r="I128" s="78">
        <v>70.2</v>
      </c>
      <c r="J128" s="78">
        <v>75</v>
      </c>
      <c r="K128" s="78">
        <v>120</v>
      </c>
      <c r="L128" s="78">
        <v>130</v>
      </c>
      <c r="M128" s="78">
        <v>135</v>
      </c>
      <c r="N128" s="78">
        <v>139.9</v>
      </c>
      <c r="O128" s="78">
        <v>154.80000000000001</v>
      </c>
      <c r="P128" s="78">
        <v>156.80000000000001</v>
      </c>
      <c r="Q128" s="98">
        <v>147</v>
      </c>
      <c r="R128" s="98">
        <v>232.6</v>
      </c>
      <c r="S128" s="98">
        <v>161</v>
      </c>
      <c r="T128" s="98">
        <v>144.5</v>
      </c>
      <c r="U128" s="98">
        <v>160.1</v>
      </c>
      <c r="V128" s="93">
        <v>160.1</v>
      </c>
      <c r="W128" s="101">
        <v>156.26660000000001</v>
      </c>
      <c r="X128" s="101">
        <v>161.7457</v>
      </c>
      <c r="Y128" s="93">
        <v>156.69999999999999</v>
      </c>
      <c r="Z128" s="93">
        <v>158.69999999999999</v>
      </c>
      <c r="AA128" s="102">
        <v>152.80000000000001</v>
      </c>
      <c r="AB128" s="101">
        <v>159.078</v>
      </c>
      <c r="AC128" s="101">
        <v>161.5017</v>
      </c>
      <c r="AD128" s="101">
        <v>216.50790000000001</v>
      </c>
      <c r="AE128" s="101">
        <v>216.97620000000001</v>
      </c>
      <c r="AF128" s="66">
        <v>231.9</v>
      </c>
      <c r="AG128" s="101">
        <v>232.35730000000001</v>
      </c>
    </row>
    <row r="129" spans="1:33" s="93" customFormat="1">
      <c r="A129" s="76" t="s">
        <v>54</v>
      </c>
      <c r="B129" s="93" t="s">
        <v>34</v>
      </c>
      <c r="C129" s="93" t="s">
        <v>34</v>
      </c>
      <c r="D129" s="93" t="s">
        <v>34</v>
      </c>
      <c r="E129" s="93" t="s">
        <v>34</v>
      </c>
      <c r="F129" s="93" t="s">
        <v>34</v>
      </c>
      <c r="G129" s="93" t="s">
        <v>34</v>
      </c>
      <c r="H129" s="93" t="s">
        <v>34</v>
      </c>
      <c r="I129" s="78">
        <v>93.2</v>
      </c>
      <c r="J129" s="78">
        <v>36.9</v>
      </c>
      <c r="K129" s="78">
        <v>91.1</v>
      </c>
      <c r="L129" s="78">
        <v>111.5</v>
      </c>
      <c r="M129" s="78">
        <v>147.6</v>
      </c>
      <c r="N129" s="78">
        <v>162.1</v>
      </c>
      <c r="O129" s="78">
        <v>177.3</v>
      </c>
      <c r="P129" s="78">
        <v>174.5</v>
      </c>
      <c r="Q129" s="98">
        <v>197.4</v>
      </c>
      <c r="R129" s="98">
        <v>195.4</v>
      </c>
      <c r="S129" s="98">
        <v>189.8</v>
      </c>
      <c r="T129" s="98">
        <v>183</v>
      </c>
      <c r="U129" s="98">
        <v>183.1</v>
      </c>
      <c r="V129" s="93">
        <v>190.4</v>
      </c>
      <c r="W129" s="101">
        <v>204.7158</v>
      </c>
      <c r="X129" s="101">
        <v>222.59360000000001</v>
      </c>
      <c r="Y129" s="93">
        <v>231.4</v>
      </c>
      <c r="Z129" s="93">
        <v>235.2</v>
      </c>
      <c r="AA129" s="102">
        <v>235.1</v>
      </c>
      <c r="AB129" s="101">
        <v>237.7936</v>
      </c>
      <c r="AC129" s="101">
        <v>233.40610000000001</v>
      </c>
      <c r="AD129" s="101">
        <v>233.93</v>
      </c>
      <c r="AE129" s="101">
        <v>236.71539999999999</v>
      </c>
      <c r="AF129" s="66">
        <v>234.1</v>
      </c>
      <c r="AG129" s="101">
        <v>234.65459999999999</v>
      </c>
    </row>
    <row r="130" spans="1:33" s="93" customFormat="1">
      <c r="A130" s="76" t="s">
        <v>55</v>
      </c>
      <c r="B130" s="93" t="s">
        <v>34</v>
      </c>
      <c r="C130" s="93" t="s">
        <v>34</v>
      </c>
      <c r="D130" s="93" t="s">
        <v>34</v>
      </c>
      <c r="E130" s="93" t="s">
        <v>34</v>
      </c>
      <c r="F130" s="93" t="s">
        <v>34</v>
      </c>
      <c r="G130" s="93" t="s">
        <v>34</v>
      </c>
      <c r="H130" s="93" t="s">
        <v>34</v>
      </c>
      <c r="I130" s="78">
        <v>19.399999999999999</v>
      </c>
      <c r="J130" s="78">
        <v>47.8</v>
      </c>
      <c r="K130" s="78">
        <v>59.9</v>
      </c>
      <c r="L130" s="78">
        <v>90</v>
      </c>
      <c r="M130" s="78">
        <v>92.9</v>
      </c>
      <c r="N130" s="78">
        <v>91.5</v>
      </c>
      <c r="O130" s="78">
        <v>92</v>
      </c>
      <c r="P130" s="78">
        <v>95.1</v>
      </c>
      <c r="Q130" s="98">
        <v>97.3</v>
      </c>
      <c r="R130" s="98">
        <v>96.2</v>
      </c>
      <c r="S130" s="98">
        <v>101.1</v>
      </c>
      <c r="T130" s="98">
        <v>86</v>
      </c>
      <c r="U130" s="98">
        <v>103.5</v>
      </c>
      <c r="V130" s="93">
        <v>109.6</v>
      </c>
      <c r="W130" s="101">
        <v>111.2663</v>
      </c>
      <c r="X130" s="101">
        <v>117.321</v>
      </c>
      <c r="Y130" s="93">
        <v>123.5</v>
      </c>
      <c r="Z130" s="93">
        <v>121.5</v>
      </c>
      <c r="AA130" s="102">
        <v>109.3</v>
      </c>
      <c r="AB130" s="101">
        <v>174.8167</v>
      </c>
      <c r="AC130" s="101">
        <v>196.27760000000001</v>
      </c>
      <c r="AD130" s="101">
        <v>196.30009999999999</v>
      </c>
      <c r="AE130" s="101">
        <v>197.35220000000001</v>
      </c>
      <c r="AF130" s="66">
        <v>228.8</v>
      </c>
      <c r="AG130" s="101">
        <v>228.04740000000001</v>
      </c>
    </row>
    <row r="131" spans="1:33" s="93" customFormat="1">
      <c r="A131" s="103" t="s">
        <v>56</v>
      </c>
      <c r="B131" s="93" t="s">
        <v>34</v>
      </c>
      <c r="C131" s="93" t="s">
        <v>34</v>
      </c>
      <c r="D131" s="93" t="s">
        <v>34</v>
      </c>
      <c r="E131" s="93" t="s">
        <v>34</v>
      </c>
      <c r="F131" s="93" t="s">
        <v>34</v>
      </c>
      <c r="G131" s="93" t="s">
        <v>34</v>
      </c>
      <c r="H131" s="93" t="s">
        <v>34</v>
      </c>
      <c r="I131" s="93">
        <v>82.3</v>
      </c>
      <c r="J131" s="93">
        <v>90</v>
      </c>
      <c r="K131" s="93">
        <v>130</v>
      </c>
      <c r="L131" s="93">
        <v>131.1</v>
      </c>
      <c r="M131" s="93">
        <v>140</v>
      </c>
      <c r="N131" s="93">
        <v>139.9</v>
      </c>
      <c r="O131" s="93">
        <v>139.4</v>
      </c>
      <c r="P131" s="93">
        <v>150</v>
      </c>
      <c r="Q131" s="98">
        <v>151.19999999999999</v>
      </c>
      <c r="R131" s="98">
        <v>145.6</v>
      </c>
      <c r="S131" s="98">
        <v>113.3</v>
      </c>
      <c r="T131" s="98">
        <v>110.7</v>
      </c>
      <c r="U131" s="98">
        <v>160.6</v>
      </c>
      <c r="V131" s="93">
        <v>169.8</v>
      </c>
      <c r="W131" s="101">
        <v>144.2218</v>
      </c>
      <c r="X131" s="101">
        <v>114.131</v>
      </c>
      <c r="Y131" s="93">
        <v>170.9</v>
      </c>
      <c r="Z131" s="93">
        <v>167.3</v>
      </c>
      <c r="AA131" s="102">
        <v>136.30000000000001</v>
      </c>
      <c r="AB131" s="101">
        <v>192.76509999999999</v>
      </c>
      <c r="AC131" s="101">
        <v>180.23779999999999</v>
      </c>
      <c r="AD131" s="101">
        <v>193.9547</v>
      </c>
      <c r="AE131" s="101">
        <v>192.27420000000001</v>
      </c>
      <c r="AF131" s="66">
        <v>178.4</v>
      </c>
      <c r="AG131" s="101">
        <v>191.56030000000001</v>
      </c>
    </row>
    <row r="132" spans="1:33" s="93" customFormat="1">
      <c r="A132" s="76" t="s">
        <v>57</v>
      </c>
      <c r="B132" s="93" t="s">
        <v>34</v>
      </c>
      <c r="C132" s="93" t="s">
        <v>34</v>
      </c>
      <c r="D132" s="93" t="s">
        <v>34</v>
      </c>
      <c r="E132" s="93" t="s">
        <v>34</v>
      </c>
      <c r="F132" s="93" t="s">
        <v>34</v>
      </c>
      <c r="G132" s="93" t="s">
        <v>34</v>
      </c>
      <c r="H132" s="93" t="s">
        <v>34</v>
      </c>
      <c r="I132" s="78">
        <v>66.5</v>
      </c>
      <c r="J132" s="78">
        <v>100.7</v>
      </c>
      <c r="K132" s="78">
        <v>177.7</v>
      </c>
      <c r="L132" s="78">
        <v>245.3</v>
      </c>
      <c r="M132" s="78">
        <v>229.8</v>
      </c>
      <c r="N132" s="78">
        <v>221</v>
      </c>
      <c r="O132" s="78">
        <v>222.4</v>
      </c>
      <c r="P132" s="78">
        <v>219.7</v>
      </c>
      <c r="Q132" s="98">
        <v>221.6</v>
      </c>
      <c r="R132" s="98">
        <v>222</v>
      </c>
      <c r="S132" s="98">
        <v>225</v>
      </c>
      <c r="T132" s="98">
        <v>220.6</v>
      </c>
      <c r="U132" s="98">
        <v>221</v>
      </c>
      <c r="V132" s="93">
        <v>220.7</v>
      </c>
      <c r="W132" s="101">
        <v>224.96530000000001</v>
      </c>
      <c r="X132" s="101">
        <v>221.26490000000001</v>
      </c>
      <c r="Y132" s="93">
        <v>221.2</v>
      </c>
      <c r="Z132" s="93">
        <v>222.2</v>
      </c>
      <c r="AA132" s="102">
        <v>227.9</v>
      </c>
      <c r="AB132" s="101">
        <v>246.67070000000001</v>
      </c>
      <c r="AC132" s="101">
        <v>241.70939999999999</v>
      </c>
      <c r="AD132" s="101">
        <v>250.73269999999999</v>
      </c>
      <c r="AE132" s="101">
        <v>257.47379999999998</v>
      </c>
      <c r="AF132" s="66">
        <v>258.10000000000002</v>
      </c>
      <c r="AG132" s="101">
        <v>259.96210000000002</v>
      </c>
    </row>
    <row r="133" spans="1:33" s="93" customFormat="1">
      <c r="A133" s="76" t="s">
        <v>58</v>
      </c>
      <c r="B133" s="93" t="s">
        <v>34</v>
      </c>
      <c r="C133" s="93" t="s">
        <v>34</v>
      </c>
      <c r="D133" s="93" t="s">
        <v>34</v>
      </c>
      <c r="E133" s="93" t="s">
        <v>34</v>
      </c>
      <c r="F133" s="93" t="s">
        <v>34</v>
      </c>
      <c r="G133" s="93" t="s">
        <v>34</v>
      </c>
      <c r="H133" s="93" t="s">
        <v>34</v>
      </c>
      <c r="I133" s="78">
        <v>84.9</v>
      </c>
      <c r="J133" s="78">
        <v>79.7</v>
      </c>
      <c r="K133" s="78">
        <v>66.5</v>
      </c>
      <c r="L133" s="78">
        <v>109.9</v>
      </c>
      <c r="M133" s="78">
        <v>150.4</v>
      </c>
      <c r="N133" s="78">
        <v>119.9</v>
      </c>
      <c r="O133" s="78">
        <v>102.1</v>
      </c>
      <c r="P133" s="78">
        <v>124.5</v>
      </c>
      <c r="Q133" s="98">
        <v>110.9</v>
      </c>
      <c r="R133" s="102">
        <v>112.9</v>
      </c>
      <c r="S133" s="98">
        <v>79.3</v>
      </c>
      <c r="T133" s="98">
        <v>65.900000000000006</v>
      </c>
      <c r="U133" s="98">
        <v>152.69999999999999</v>
      </c>
      <c r="V133" s="93">
        <v>130.80000000000001</v>
      </c>
      <c r="W133" s="101">
        <v>120.6353</v>
      </c>
      <c r="X133" s="101">
        <v>130.28880000000001</v>
      </c>
      <c r="Y133" s="93">
        <v>167.4</v>
      </c>
      <c r="Z133" s="93">
        <v>184.9</v>
      </c>
      <c r="AA133" s="102">
        <v>181.6</v>
      </c>
      <c r="AB133" s="101">
        <v>179.9564</v>
      </c>
      <c r="AC133" s="101">
        <v>196.20740000000001</v>
      </c>
      <c r="AD133" s="101">
        <v>206.93700000000001</v>
      </c>
      <c r="AE133" s="101">
        <v>208.73159999999999</v>
      </c>
      <c r="AF133" s="66">
        <v>221.8</v>
      </c>
      <c r="AG133" s="101">
        <v>229.99889999999999</v>
      </c>
    </row>
    <row r="134" spans="1:33">
      <c r="A134" s="15"/>
      <c r="B134" s="4"/>
      <c r="C134" s="4"/>
      <c r="D134" s="4"/>
      <c r="E134" s="4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0"/>
      <c r="AE134" s="10"/>
      <c r="AF134" s="10"/>
      <c r="AG134" s="10"/>
    </row>
    <row r="136" spans="1:33" ht="13.5" customHeight="1">
      <c r="A136" s="156" t="s">
        <v>16</v>
      </c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</row>
    <row r="137" spans="1:33"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spans="1:33"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</sheetData>
  <mergeCells count="14">
    <mergeCell ref="A136:P136"/>
    <mergeCell ref="A111:AG111"/>
    <mergeCell ref="A79:AG79"/>
    <mergeCell ref="A86:AG86"/>
    <mergeCell ref="AD80:AG80"/>
    <mergeCell ref="AD87:AG87"/>
    <mergeCell ref="AD112:AG112"/>
    <mergeCell ref="AD56:AG56"/>
    <mergeCell ref="A2:AG2"/>
    <mergeCell ref="A29:AG29"/>
    <mergeCell ref="A55:AG55"/>
    <mergeCell ref="A4:AG4"/>
    <mergeCell ref="AD5:AG5"/>
    <mergeCell ref="AD30:AG30"/>
  </mergeCells>
  <phoneticPr fontId="0" type="noConversion"/>
  <pageMargins left="0.2" right="0.2" top="0.5" bottom="0.72" header="0.28999999999999998" footer="0.5"/>
  <pageSetup paperSize="9" orientation="landscape" horizontalDpi="240" verticalDpi="144" r:id="rId1"/>
  <headerFooter alignWithMargins="0"/>
  <rowBreaks count="5" manualBreakCount="5">
    <brk id="27" max="35" man="1"/>
    <brk id="52" max="35" man="1"/>
    <brk id="53" max="35" man="1"/>
    <brk id="77" max="35" man="1"/>
    <brk id="84" max="35" man="1"/>
  </rowBreaks>
  <colBreaks count="1" manualBreakCount="1">
    <brk id="16" min="1" max="27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E1D8-D083-4CA3-B1D4-E1F6E8BB0F67}">
  <dimension ref="A1:AG90"/>
  <sheetViews>
    <sheetView tabSelected="1" workbookViewId="0">
      <selection activeCell="A74" sqref="A74:E74"/>
    </sheetView>
  </sheetViews>
  <sheetFormatPr defaultRowHeight="12.95" customHeight="1"/>
  <cols>
    <col min="1" max="1" width="21.140625" style="93" customWidth="1"/>
    <col min="2" max="16384" width="9.140625" style="93"/>
  </cols>
  <sheetData>
    <row r="1" spans="1:33" ht="12.95" customHeight="1">
      <c r="A1" s="162" t="s">
        <v>28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</row>
    <row r="2" spans="1:33" ht="12.95" customHeight="1">
      <c r="A2" s="103"/>
      <c r="N2" s="120"/>
    </row>
    <row r="3" spans="1:33" ht="12.95" customHeight="1">
      <c r="A3" s="151" t="s">
        <v>13</v>
      </c>
      <c r="B3" s="151"/>
      <c r="C3" s="151"/>
      <c r="D3" s="151"/>
      <c r="E3" s="151"/>
      <c r="F3" s="151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</row>
    <row r="4" spans="1:33" ht="12.95" customHeight="1">
      <c r="D4" s="164" t="s">
        <v>9</v>
      </c>
      <c r="E4" s="164"/>
    </row>
    <row r="5" spans="1:33" ht="12.95" customHeight="1">
      <c r="A5" s="141"/>
      <c r="B5" s="145">
        <v>2022</v>
      </c>
      <c r="C5" s="145">
        <v>2023</v>
      </c>
      <c r="D5" s="145">
        <v>2024</v>
      </c>
      <c r="E5" s="142">
        <v>2025</v>
      </c>
    </row>
    <row r="6" spans="1:33" ht="21" customHeight="1">
      <c r="A6" s="127" t="s">
        <v>88</v>
      </c>
      <c r="B6" s="89">
        <v>17.399999999999999</v>
      </c>
      <c r="C6" s="89">
        <v>12.2</v>
      </c>
      <c r="D6" s="66">
        <v>23</v>
      </c>
      <c r="E6" s="89">
        <v>20.7</v>
      </c>
    </row>
    <row r="7" spans="1:33" ht="12.95" customHeight="1">
      <c r="A7" s="68" t="s">
        <v>76</v>
      </c>
      <c r="B7" s="66">
        <v>9.4</v>
      </c>
      <c r="C7" s="66">
        <v>4.2</v>
      </c>
      <c r="D7" s="66">
        <v>24.2</v>
      </c>
      <c r="E7" s="66">
        <v>12.3</v>
      </c>
    </row>
    <row r="8" spans="1:33" ht="12.95" customHeight="1">
      <c r="A8" s="68" t="s">
        <v>77</v>
      </c>
      <c r="B8" s="66">
        <v>27.1</v>
      </c>
      <c r="C8" s="66">
        <v>11</v>
      </c>
      <c r="D8" s="66">
        <v>22.4</v>
      </c>
      <c r="E8" s="66">
        <v>10.8</v>
      </c>
    </row>
    <row r="9" spans="1:33" ht="12.95" customHeight="1">
      <c r="A9" s="68" t="s">
        <v>48</v>
      </c>
      <c r="B9" s="66">
        <v>26.2</v>
      </c>
      <c r="C9" s="66">
        <v>17.5</v>
      </c>
      <c r="D9" s="66">
        <v>30</v>
      </c>
      <c r="E9" s="66">
        <v>27.8</v>
      </c>
    </row>
    <row r="10" spans="1:33" ht="12.95" customHeight="1">
      <c r="A10" s="68" t="s">
        <v>50</v>
      </c>
      <c r="B10" s="66">
        <v>15.3</v>
      </c>
      <c r="C10" s="66">
        <v>15</v>
      </c>
      <c r="D10" s="66">
        <v>15.5</v>
      </c>
      <c r="E10" s="66">
        <v>14.9</v>
      </c>
    </row>
    <row r="11" spans="1:33" ht="12.95" customHeight="1">
      <c r="A11" s="68" t="s">
        <v>61</v>
      </c>
      <c r="B11" s="66">
        <v>22.3</v>
      </c>
      <c r="C11" s="66">
        <v>16.399999999999999</v>
      </c>
      <c r="D11" s="66">
        <v>27.8</v>
      </c>
      <c r="E11" s="66">
        <v>29.6</v>
      </c>
    </row>
    <row r="12" spans="1:33" ht="12.95" customHeight="1">
      <c r="A12" s="68" t="s">
        <v>78</v>
      </c>
      <c r="B12" s="66">
        <v>10.9</v>
      </c>
      <c r="C12" s="66">
        <v>12</v>
      </c>
      <c r="D12" s="66">
        <v>10.1</v>
      </c>
      <c r="E12" s="66">
        <v>10.1</v>
      </c>
    </row>
    <row r="13" spans="1:33" ht="12.95" customHeight="1">
      <c r="A13" s="68" t="s">
        <v>52</v>
      </c>
      <c r="B13" s="66">
        <v>22.2</v>
      </c>
      <c r="C13" s="66">
        <v>20.100000000000001</v>
      </c>
      <c r="D13" s="66">
        <v>21.4</v>
      </c>
      <c r="E13" s="66">
        <v>19.899999999999999</v>
      </c>
    </row>
    <row r="14" spans="1:33" ht="12.95" customHeight="1">
      <c r="A14" s="68" t="s">
        <v>73</v>
      </c>
      <c r="B14" s="66" t="s">
        <v>10</v>
      </c>
      <c r="C14" s="66" t="s">
        <v>10</v>
      </c>
      <c r="D14" s="66">
        <v>9.4</v>
      </c>
      <c r="E14" s="66">
        <v>9.1999999999999993</v>
      </c>
    </row>
    <row r="15" spans="1:33" ht="12.95" customHeight="1">
      <c r="A15" s="68" t="s">
        <v>63</v>
      </c>
      <c r="B15" s="66">
        <v>10.1</v>
      </c>
      <c r="C15" s="66">
        <v>5.3</v>
      </c>
      <c r="D15" s="66">
        <v>10.4</v>
      </c>
      <c r="E15" s="66">
        <v>9.5</v>
      </c>
    </row>
    <row r="16" spans="1:33" ht="12.95" customHeight="1">
      <c r="A16" s="68" t="s">
        <v>55</v>
      </c>
      <c r="B16" s="66">
        <v>20.3</v>
      </c>
      <c r="C16" s="66">
        <v>20.9</v>
      </c>
      <c r="D16" s="66">
        <v>16</v>
      </c>
      <c r="E16" s="66">
        <v>17.100000000000001</v>
      </c>
    </row>
    <row r="17" spans="1:5" ht="12.95" customHeight="1">
      <c r="A17" s="68" t="s">
        <v>79</v>
      </c>
      <c r="B17" s="66">
        <v>7.8</v>
      </c>
      <c r="C17" s="66">
        <v>5.9</v>
      </c>
      <c r="D17" s="66">
        <v>13.9</v>
      </c>
      <c r="E17" s="66">
        <v>10.1</v>
      </c>
    </row>
    <row r="18" spans="1:5" ht="12.95" customHeight="1">
      <c r="A18" s="68" t="s">
        <v>74</v>
      </c>
      <c r="B18" s="66" t="s">
        <v>10</v>
      </c>
      <c r="C18" s="66" t="s">
        <v>10</v>
      </c>
      <c r="D18" s="66">
        <v>31.5</v>
      </c>
      <c r="E18" s="66">
        <v>27.4</v>
      </c>
    </row>
    <row r="19" spans="1:5" ht="12.95" customHeight="1">
      <c r="A19" s="79" t="s">
        <v>58</v>
      </c>
      <c r="B19" s="70">
        <v>16.899999999999999</v>
      </c>
      <c r="C19" s="70">
        <v>11</v>
      </c>
      <c r="D19" s="70">
        <v>25.7</v>
      </c>
      <c r="E19" s="70">
        <v>22.1</v>
      </c>
    </row>
    <row r="22" spans="1:5" ht="12.95" customHeight="1">
      <c r="A22" s="151" t="s">
        <v>1</v>
      </c>
      <c r="B22" s="151"/>
      <c r="C22" s="151"/>
      <c r="D22" s="151"/>
      <c r="E22" s="151"/>
    </row>
    <row r="23" spans="1:5" ht="12.95" customHeight="1">
      <c r="A23" s="143"/>
      <c r="B23" s="128"/>
      <c r="C23" s="128"/>
      <c r="D23" s="164" t="s">
        <v>9</v>
      </c>
      <c r="E23" s="164"/>
    </row>
    <row r="24" spans="1:5" ht="12.95" customHeight="1">
      <c r="A24" s="141"/>
      <c r="B24" s="145">
        <v>2022</v>
      </c>
      <c r="C24" s="145">
        <v>2023</v>
      </c>
      <c r="D24" s="145">
        <v>2024</v>
      </c>
      <c r="E24" s="142">
        <v>2025</v>
      </c>
    </row>
    <row r="25" spans="1:5" ht="24" customHeight="1">
      <c r="A25" s="127" t="s">
        <v>88</v>
      </c>
      <c r="B25" s="66">
        <v>23</v>
      </c>
      <c r="C25" s="66">
        <v>17.3</v>
      </c>
      <c r="D25" s="66">
        <v>23.8</v>
      </c>
      <c r="E25" s="89">
        <v>25</v>
      </c>
    </row>
    <row r="26" spans="1:5" ht="12.95" customHeight="1">
      <c r="A26" s="68" t="s">
        <v>76</v>
      </c>
      <c r="B26" s="66">
        <v>12</v>
      </c>
      <c r="C26" s="66">
        <v>7.3</v>
      </c>
      <c r="D26" s="66">
        <v>12.9</v>
      </c>
      <c r="E26" s="66">
        <v>13.4</v>
      </c>
    </row>
    <row r="27" spans="1:5" ht="12.95" customHeight="1">
      <c r="A27" s="68" t="s">
        <v>77</v>
      </c>
      <c r="B27" s="66">
        <v>23</v>
      </c>
      <c r="C27" s="66">
        <v>16.8</v>
      </c>
      <c r="D27" s="66">
        <v>23</v>
      </c>
      <c r="E27" s="66">
        <v>13.4</v>
      </c>
    </row>
    <row r="28" spans="1:5" ht="12.95" customHeight="1">
      <c r="A28" s="68" t="s">
        <v>48</v>
      </c>
      <c r="B28" s="66">
        <v>31.4</v>
      </c>
      <c r="C28" s="66">
        <v>22.1</v>
      </c>
      <c r="D28" s="66">
        <v>32.9</v>
      </c>
      <c r="E28" s="66">
        <v>35</v>
      </c>
    </row>
    <row r="29" spans="1:5" ht="12.95" customHeight="1">
      <c r="A29" s="68" t="s">
        <v>50</v>
      </c>
      <c r="B29" s="66">
        <v>10.199999999999999</v>
      </c>
      <c r="C29" s="66">
        <v>14.6</v>
      </c>
      <c r="D29" s="66">
        <v>15.6</v>
      </c>
      <c r="E29" s="66">
        <v>17.399999999999999</v>
      </c>
    </row>
    <row r="30" spans="1:5" ht="12.95" customHeight="1">
      <c r="A30" s="68" t="s">
        <v>61</v>
      </c>
      <c r="B30" s="66">
        <v>33.9</v>
      </c>
      <c r="C30" s="66">
        <v>26.6</v>
      </c>
      <c r="D30" s="66">
        <v>21.7</v>
      </c>
      <c r="E30" s="66">
        <v>27.3</v>
      </c>
    </row>
    <row r="31" spans="1:5" ht="12.95" customHeight="1">
      <c r="A31" s="68" t="s">
        <v>78</v>
      </c>
      <c r="B31" s="66">
        <v>12.1</v>
      </c>
      <c r="C31" s="66">
        <v>12.1</v>
      </c>
      <c r="D31" s="66">
        <v>9.6</v>
      </c>
      <c r="E31" s="66">
        <v>9.1</v>
      </c>
    </row>
    <row r="32" spans="1:5" ht="12.95" customHeight="1">
      <c r="A32" s="68" t="s">
        <v>52</v>
      </c>
      <c r="B32" s="66">
        <v>38.1</v>
      </c>
      <c r="C32" s="66">
        <v>29.7</v>
      </c>
      <c r="D32" s="66">
        <v>19.2</v>
      </c>
      <c r="E32" s="66">
        <v>3.6</v>
      </c>
    </row>
    <row r="33" spans="1:5" ht="12.95" customHeight="1">
      <c r="A33" s="68" t="s">
        <v>73</v>
      </c>
      <c r="B33" s="66" t="s">
        <v>10</v>
      </c>
      <c r="C33" s="66" t="s">
        <v>10</v>
      </c>
      <c r="D33" s="66">
        <v>7.2</v>
      </c>
      <c r="E33" s="66">
        <v>10.5</v>
      </c>
    </row>
    <row r="34" spans="1:5" ht="12.95" customHeight="1">
      <c r="A34" s="68" t="s">
        <v>63</v>
      </c>
      <c r="B34" s="66">
        <v>9.6999999999999993</v>
      </c>
      <c r="C34" s="66">
        <v>4</v>
      </c>
      <c r="D34" s="66">
        <v>9.4</v>
      </c>
      <c r="E34" s="66">
        <v>8.8000000000000007</v>
      </c>
    </row>
    <row r="35" spans="1:5" ht="12.95" customHeight="1">
      <c r="A35" s="68" t="s">
        <v>55</v>
      </c>
      <c r="B35" s="66">
        <v>17.100000000000001</v>
      </c>
      <c r="C35" s="66">
        <v>17.600000000000001</v>
      </c>
      <c r="D35" s="66">
        <v>15.1</v>
      </c>
      <c r="E35" s="66">
        <v>15.5</v>
      </c>
    </row>
    <row r="36" spans="1:5" ht="12.95" customHeight="1">
      <c r="A36" s="68" t="s">
        <v>79</v>
      </c>
      <c r="B36" s="66" t="s">
        <v>10</v>
      </c>
      <c r="C36" s="66" t="s">
        <v>10</v>
      </c>
      <c r="D36" s="66">
        <v>16.7</v>
      </c>
      <c r="E36" s="66">
        <v>11.9</v>
      </c>
    </row>
    <row r="37" spans="1:5" ht="12.95" customHeight="1">
      <c r="A37" s="68" t="s">
        <v>74</v>
      </c>
      <c r="B37" s="66">
        <v>10</v>
      </c>
      <c r="C37" s="66">
        <v>8.1999999999999993</v>
      </c>
      <c r="D37" s="66">
        <v>30.6</v>
      </c>
      <c r="E37" s="66">
        <v>38.1</v>
      </c>
    </row>
    <row r="38" spans="1:5" ht="12.95" customHeight="1">
      <c r="A38" s="79" t="s">
        <v>58</v>
      </c>
      <c r="B38" s="70">
        <v>20.9</v>
      </c>
      <c r="C38" s="70">
        <v>14.9</v>
      </c>
      <c r="D38" s="70">
        <v>25.1</v>
      </c>
      <c r="E38" s="70">
        <v>25.4</v>
      </c>
    </row>
    <row r="41" spans="1:5" ht="12.95" customHeight="1">
      <c r="A41" s="151" t="s">
        <v>6</v>
      </c>
      <c r="B41" s="151"/>
      <c r="C41" s="151"/>
      <c r="D41" s="151"/>
      <c r="E41" s="151"/>
    </row>
    <row r="42" spans="1:5" ht="12.95" customHeight="1">
      <c r="A42" s="143"/>
      <c r="B42" s="128"/>
      <c r="C42" s="128"/>
      <c r="D42" s="164" t="s">
        <v>9</v>
      </c>
      <c r="E42" s="164"/>
    </row>
    <row r="43" spans="1:5" ht="12.95" customHeight="1">
      <c r="A43" s="141"/>
      <c r="B43" s="145">
        <v>2022</v>
      </c>
      <c r="C43" s="145">
        <v>2023</v>
      </c>
      <c r="D43" s="145">
        <v>2024</v>
      </c>
      <c r="E43" s="142">
        <v>2025</v>
      </c>
    </row>
    <row r="44" spans="1:5" ht="22.5" customHeight="1">
      <c r="A44" s="127" t="s">
        <v>88</v>
      </c>
      <c r="B44" s="89">
        <v>24.7</v>
      </c>
      <c r="C44" s="66">
        <v>48.5</v>
      </c>
      <c r="D44" s="66">
        <v>49.3</v>
      </c>
      <c r="E44" s="66">
        <v>51.7</v>
      </c>
    </row>
    <row r="45" spans="1:5" ht="12.95" customHeight="1">
      <c r="A45" s="68" t="s">
        <v>48</v>
      </c>
      <c r="B45" s="66">
        <v>29.5</v>
      </c>
      <c r="C45" s="66">
        <v>56.9</v>
      </c>
      <c r="D45" s="66">
        <v>64.099999999999994</v>
      </c>
      <c r="E45" s="66">
        <v>79.099999999999994</v>
      </c>
    </row>
    <row r="46" spans="1:5" ht="12.95" customHeight="1">
      <c r="A46" s="68" t="s">
        <v>50</v>
      </c>
      <c r="B46" s="66" t="s">
        <v>10</v>
      </c>
      <c r="C46" s="66">
        <v>15.3</v>
      </c>
      <c r="D46" s="66">
        <v>15.8</v>
      </c>
      <c r="E46" s="66">
        <v>48</v>
      </c>
    </row>
    <row r="47" spans="1:5" ht="12.95" customHeight="1">
      <c r="A47" s="68" t="s">
        <v>61</v>
      </c>
      <c r="B47" s="66">
        <v>11.4</v>
      </c>
      <c r="C47" s="77" t="s">
        <v>10</v>
      </c>
      <c r="D47" s="77" t="s">
        <v>10</v>
      </c>
      <c r="E47" s="66">
        <v>39.6</v>
      </c>
    </row>
    <row r="48" spans="1:5" ht="12.95" customHeight="1">
      <c r="A48" s="68" t="s">
        <v>78</v>
      </c>
      <c r="B48" s="66" t="s">
        <v>10</v>
      </c>
      <c r="C48" s="66" t="s">
        <v>10</v>
      </c>
      <c r="D48" s="66">
        <v>13.5</v>
      </c>
      <c r="E48" s="66">
        <v>13.5</v>
      </c>
    </row>
    <row r="49" spans="1:5" ht="12.95" customHeight="1">
      <c r="A49" s="68" t="s">
        <v>52</v>
      </c>
      <c r="B49" s="66" t="s">
        <v>10</v>
      </c>
      <c r="C49" s="66" t="s">
        <v>10</v>
      </c>
      <c r="D49" s="66">
        <v>43.3</v>
      </c>
      <c r="E49" s="66" t="s">
        <v>10</v>
      </c>
    </row>
    <row r="50" spans="1:5" ht="12.95" customHeight="1">
      <c r="A50" s="68" t="s">
        <v>73</v>
      </c>
      <c r="B50" s="66" t="s">
        <v>10</v>
      </c>
      <c r="C50" s="66" t="s">
        <v>10</v>
      </c>
      <c r="D50" s="66">
        <v>10</v>
      </c>
      <c r="E50" s="114" t="s">
        <v>10</v>
      </c>
    </row>
    <row r="51" spans="1:5" ht="12.95" customHeight="1">
      <c r="A51" s="68" t="s">
        <v>63</v>
      </c>
      <c r="B51" s="66">
        <v>23.5</v>
      </c>
      <c r="C51" s="66">
        <v>24.7</v>
      </c>
      <c r="D51" s="66">
        <v>64</v>
      </c>
      <c r="E51" s="66">
        <v>51.2</v>
      </c>
    </row>
    <row r="52" spans="1:5" ht="12.95" customHeight="1">
      <c r="A52" s="68" t="s">
        <v>79</v>
      </c>
      <c r="B52" s="66">
        <v>27.2</v>
      </c>
      <c r="C52" s="66">
        <v>13.7</v>
      </c>
      <c r="D52" s="66">
        <v>45.1</v>
      </c>
      <c r="E52" s="66">
        <v>50</v>
      </c>
    </row>
    <row r="53" spans="1:5" ht="12.95" customHeight="1">
      <c r="A53" s="79" t="s">
        <v>58</v>
      </c>
      <c r="B53" s="70">
        <v>29.4</v>
      </c>
      <c r="C53" s="70">
        <v>72.8</v>
      </c>
      <c r="D53" s="70">
        <v>49.5</v>
      </c>
      <c r="E53" s="70">
        <v>54.6</v>
      </c>
    </row>
    <row r="56" spans="1:5" ht="12.95" customHeight="1">
      <c r="A56" s="151" t="s">
        <v>3</v>
      </c>
      <c r="B56" s="151"/>
      <c r="C56" s="151"/>
      <c r="D56" s="151"/>
      <c r="E56" s="151"/>
    </row>
    <row r="57" spans="1:5" ht="12.95" customHeight="1">
      <c r="A57" s="143"/>
      <c r="B57" s="128"/>
      <c r="C57" s="128"/>
      <c r="D57" s="164" t="s">
        <v>9</v>
      </c>
      <c r="E57" s="164"/>
    </row>
    <row r="58" spans="1:5" ht="12.95" customHeight="1">
      <c r="A58" s="141"/>
      <c r="B58" s="145">
        <v>2022</v>
      </c>
      <c r="C58" s="145">
        <v>2023</v>
      </c>
      <c r="D58" s="145">
        <v>2024</v>
      </c>
      <c r="E58" s="142">
        <v>2025</v>
      </c>
    </row>
    <row r="59" spans="1:5" ht="29.25" customHeight="1">
      <c r="A59" s="127" t="s">
        <v>88</v>
      </c>
      <c r="B59" s="89">
        <v>18.899999999999999</v>
      </c>
      <c r="C59" s="66">
        <v>17</v>
      </c>
      <c r="D59" s="66">
        <v>18.8</v>
      </c>
      <c r="E59" s="89">
        <v>19</v>
      </c>
    </row>
    <row r="60" spans="1:5" ht="12.95" customHeight="1">
      <c r="A60" s="68" t="s">
        <v>76</v>
      </c>
      <c r="B60" s="66">
        <v>20.7</v>
      </c>
      <c r="C60" s="66">
        <v>10.1</v>
      </c>
      <c r="D60" s="66">
        <v>26.2</v>
      </c>
      <c r="E60" s="66">
        <v>14.1</v>
      </c>
    </row>
    <row r="61" spans="1:5" ht="12.95" customHeight="1">
      <c r="A61" s="146" t="s">
        <v>86</v>
      </c>
      <c r="B61" s="66" t="s">
        <v>10</v>
      </c>
      <c r="C61" s="66" t="s">
        <v>10</v>
      </c>
      <c r="D61" s="66" t="s">
        <v>10</v>
      </c>
      <c r="E61" s="66">
        <v>12.6</v>
      </c>
    </row>
    <row r="62" spans="1:5" ht="12.95" customHeight="1">
      <c r="A62" s="68" t="s">
        <v>48</v>
      </c>
      <c r="B62" s="66">
        <v>22.2</v>
      </c>
      <c r="C62" s="66">
        <v>20</v>
      </c>
      <c r="D62" s="66">
        <v>23.1</v>
      </c>
      <c r="E62" s="66">
        <v>24</v>
      </c>
    </row>
    <row r="63" spans="1:5" ht="12.95" customHeight="1">
      <c r="A63" s="68" t="s">
        <v>50</v>
      </c>
      <c r="B63" s="66">
        <v>6.4</v>
      </c>
      <c r="C63" s="66">
        <v>8</v>
      </c>
      <c r="D63" s="66">
        <v>10.1</v>
      </c>
      <c r="E63" s="66">
        <v>8.1999999999999993</v>
      </c>
    </row>
    <row r="64" spans="1:5" ht="12.95" customHeight="1">
      <c r="A64" s="68" t="s">
        <v>61</v>
      </c>
      <c r="B64" s="66">
        <v>24</v>
      </c>
      <c r="C64" s="66">
        <v>20.5</v>
      </c>
      <c r="D64" s="66">
        <v>26.9</v>
      </c>
      <c r="E64" s="66">
        <v>24.4</v>
      </c>
    </row>
    <row r="65" spans="1:5" ht="12.95" customHeight="1">
      <c r="A65" s="68" t="s">
        <v>78</v>
      </c>
      <c r="B65" s="66">
        <v>9.5</v>
      </c>
      <c r="C65" s="66">
        <v>10.4</v>
      </c>
      <c r="D65" s="66">
        <v>10</v>
      </c>
      <c r="E65" s="66">
        <v>10.6</v>
      </c>
    </row>
    <row r="66" spans="1:5" ht="12.95" customHeight="1">
      <c r="A66" s="68" t="s">
        <v>52</v>
      </c>
      <c r="B66" s="66">
        <v>21.9</v>
      </c>
      <c r="C66" s="66">
        <v>24.3</v>
      </c>
      <c r="D66" s="66">
        <v>19.399999999999999</v>
      </c>
      <c r="E66" s="66">
        <v>17.600000000000001</v>
      </c>
    </row>
    <row r="67" spans="1:5" ht="12.95" customHeight="1">
      <c r="A67" s="68" t="s">
        <v>73</v>
      </c>
      <c r="B67" s="66" t="s">
        <v>10</v>
      </c>
      <c r="C67" s="66" t="s">
        <v>10</v>
      </c>
      <c r="D67" s="66">
        <v>8.4</v>
      </c>
      <c r="E67" s="66">
        <v>9.6</v>
      </c>
    </row>
    <row r="68" spans="1:5" ht="12.95" customHeight="1">
      <c r="A68" s="68" t="s">
        <v>63</v>
      </c>
      <c r="B68" s="66">
        <v>11.8</v>
      </c>
      <c r="C68" s="66">
        <v>6.7</v>
      </c>
      <c r="D68" s="66">
        <v>11</v>
      </c>
      <c r="E68" s="66">
        <v>11.3</v>
      </c>
    </row>
    <row r="69" spans="1:5" ht="12.95" customHeight="1">
      <c r="A69" s="68" t="s">
        <v>79</v>
      </c>
      <c r="B69" s="66">
        <v>8.6</v>
      </c>
      <c r="C69" s="66">
        <v>9.8000000000000007</v>
      </c>
      <c r="D69" s="66">
        <v>11.5</v>
      </c>
      <c r="E69" s="66">
        <v>11.2</v>
      </c>
    </row>
    <row r="70" spans="1:5" ht="12.95" customHeight="1">
      <c r="A70" s="68" t="s">
        <v>74</v>
      </c>
      <c r="B70" s="66" t="s">
        <v>10</v>
      </c>
      <c r="C70" s="66" t="s">
        <v>10</v>
      </c>
      <c r="D70" s="66">
        <v>23.6</v>
      </c>
      <c r="E70" s="66">
        <v>22.4</v>
      </c>
    </row>
    <row r="71" spans="1:5" ht="12.95" customHeight="1">
      <c r="A71" s="79" t="s">
        <v>58</v>
      </c>
      <c r="B71" s="70">
        <v>25.2</v>
      </c>
      <c r="C71" s="70">
        <v>21.8</v>
      </c>
      <c r="D71" s="70">
        <v>19.899999999999999</v>
      </c>
      <c r="E71" s="70">
        <v>21.1</v>
      </c>
    </row>
    <row r="74" spans="1:5" ht="12.95" customHeight="1">
      <c r="A74" s="151" t="s">
        <v>4</v>
      </c>
      <c r="B74" s="151"/>
      <c r="C74" s="151"/>
      <c r="D74" s="151"/>
      <c r="E74" s="151"/>
    </row>
    <row r="75" spans="1:5" ht="12.95" customHeight="1">
      <c r="A75" s="143"/>
      <c r="B75" s="128"/>
      <c r="C75" s="128"/>
      <c r="D75" s="164" t="s">
        <v>9</v>
      </c>
      <c r="E75" s="164"/>
    </row>
    <row r="76" spans="1:5" ht="12.95" customHeight="1">
      <c r="A76" s="141"/>
      <c r="B76" s="145">
        <v>2022</v>
      </c>
      <c r="C76" s="145">
        <v>2023</v>
      </c>
      <c r="D76" s="145">
        <v>2024</v>
      </c>
      <c r="E76" s="142">
        <v>2025</v>
      </c>
    </row>
    <row r="77" spans="1:5" ht="21" customHeight="1">
      <c r="A77" s="127" t="s">
        <v>88</v>
      </c>
      <c r="B77" s="89">
        <v>236.5</v>
      </c>
      <c r="C77" s="66">
        <v>239.5</v>
      </c>
      <c r="D77" s="66">
        <v>237.4</v>
      </c>
      <c r="E77" s="89">
        <v>239.4</v>
      </c>
    </row>
    <row r="78" spans="1:5" ht="12.95" customHeight="1">
      <c r="A78" s="68" t="s">
        <v>40</v>
      </c>
      <c r="B78" s="66">
        <v>247.1</v>
      </c>
      <c r="C78" s="66">
        <v>250.4</v>
      </c>
      <c r="D78" s="66">
        <v>257.2</v>
      </c>
      <c r="E78" s="66">
        <v>250.4</v>
      </c>
    </row>
    <row r="79" spans="1:5" ht="12.95" customHeight="1">
      <c r="A79" s="68" t="s">
        <v>87</v>
      </c>
      <c r="B79" s="66">
        <v>242.6</v>
      </c>
      <c r="C79" s="66">
        <v>243.5</v>
      </c>
      <c r="D79" s="66">
        <v>228.3</v>
      </c>
      <c r="E79" s="66">
        <v>234</v>
      </c>
    </row>
    <row r="80" spans="1:5" ht="12.95" customHeight="1">
      <c r="A80" s="68" t="s">
        <v>48</v>
      </c>
      <c r="B80" s="66">
        <v>241.7</v>
      </c>
      <c r="C80" s="66">
        <v>241.1</v>
      </c>
      <c r="D80" s="66">
        <v>238.8</v>
      </c>
      <c r="E80" s="66">
        <v>237.7</v>
      </c>
    </row>
    <row r="81" spans="1:5" ht="12.95" customHeight="1">
      <c r="A81" s="68" t="s">
        <v>50</v>
      </c>
      <c r="B81" s="66">
        <v>236</v>
      </c>
      <c r="C81" s="66">
        <v>235.1</v>
      </c>
      <c r="D81" s="66">
        <v>208.3</v>
      </c>
      <c r="E81" s="66">
        <v>211.5</v>
      </c>
    </row>
    <row r="82" spans="1:5" ht="12.95" customHeight="1">
      <c r="A82" s="68" t="s">
        <v>61</v>
      </c>
      <c r="B82" s="66">
        <v>248.5</v>
      </c>
      <c r="C82" s="66">
        <v>249.3</v>
      </c>
      <c r="D82" s="66">
        <v>246.6</v>
      </c>
      <c r="E82" s="66">
        <v>260.8</v>
      </c>
    </row>
    <row r="83" spans="1:5" ht="12.95" customHeight="1">
      <c r="A83" s="68" t="s">
        <v>54</v>
      </c>
      <c r="B83" s="66">
        <v>235.1</v>
      </c>
      <c r="C83" s="66">
        <v>237.4</v>
      </c>
      <c r="D83" s="66">
        <v>237.4</v>
      </c>
      <c r="E83" s="66">
        <v>238.6</v>
      </c>
    </row>
    <row r="84" spans="1:5" ht="12.95" customHeight="1">
      <c r="A84" s="68" t="s">
        <v>52</v>
      </c>
      <c r="B84" s="66">
        <v>231.3</v>
      </c>
      <c r="C84" s="66">
        <v>239.9</v>
      </c>
      <c r="D84" s="66">
        <v>237.1</v>
      </c>
      <c r="E84" s="66">
        <v>261</v>
      </c>
    </row>
    <row r="85" spans="1:5" ht="12.95" customHeight="1">
      <c r="A85" s="68" t="s">
        <v>73</v>
      </c>
      <c r="B85" s="66" t="s">
        <v>10</v>
      </c>
      <c r="C85" s="66" t="s">
        <v>10</v>
      </c>
      <c r="D85" s="66">
        <v>234.7</v>
      </c>
      <c r="E85" s="66">
        <v>234.8</v>
      </c>
    </row>
    <row r="86" spans="1:5" ht="12.95" customHeight="1">
      <c r="A86" s="68" t="s">
        <v>63</v>
      </c>
      <c r="B86" s="66">
        <v>234</v>
      </c>
      <c r="C86" s="66">
        <v>234.4</v>
      </c>
      <c r="D86" s="66">
        <v>234.4</v>
      </c>
      <c r="E86" s="66">
        <v>234.3</v>
      </c>
    </row>
    <row r="87" spans="1:5" ht="12.95" customHeight="1">
      <c r="A87" s="68" t="s">
        <v>55</v>
      </c>
      <c r="B87" s="66">
        <v>225.4</v>
      </c>
      <c r="C87" s="66">
        <v>229.4</v>
      </c>
      <c r="D87" s="66">
        <v>212.5</v>
      </c>
      <c r="E87" s="66">
        <v>215.8</v>
      </c>
    </row>
    <row r="88" spans="1:5" ht="12.95" customHeight="1">
      <c r="A88" s="68" t="s">
        <v>56</v>
      </c>
      <c r="B88" s="66">
        <v>178.1</v>
      </c>
      <c r="C88" s="66">
        <v>192.9</v>
      </c>
      <c r="D88" s="66">
        <v>189.2</v>
      </c>
      <c r="E88" s="66">
        <v>198.6</v>
      </c>
    </row>
    <row r="89" spans="1:5" ht="12.95" customHeight="1">
      <c r="A89" s="68" t="s">
        <v>74</v>
      </c>
      <c r="B89" s="66" t="s">
        <v>10</v>
      </c>
      <c r="C89" s="66" t="s">
        <v>10</v>
      </c>
      <c r="D89" s="66">
        <v>230.8</v>
      </c>
      <c r="E89" s="66">
        <v>232.6</v>
      </c>
    </row>
    <row r="90" spans="1:5" ht="12.95" customHeight="1">
      <c r="A90" s="79" t="s">
        <v>58</v>
      </c>
      <c r="B90" s="70">
        <v>232.3</v>
      </c>
      <c r="C90" s="70">
        <v>233.2</v>
      </c>
      <c r="D90" s="70">
        <v>233.2</v>
      </c>
      <c r="E90" s="70">
        <v>231.7</v>
      </c>
    </row>
  </sheetData>
  <mergeCells count="11">
    <mergeCell ref="A3:F3"/>
    <mergeCell ref="A1:K1"/>
    <mergeCell ref="D4:E4"/>
    <mergeCell ref="D23:E23"/>
    <mergeCell ref="A22:E22"/>
    <mergeCell ref="D57:E57"/>
    <mergeCell ref="A74:E74"/>
    <mergeCell ref="D75:E75"/>
    <mergeCell ref="A41:E41"/>
    <mergeCell ref="D42:E42"/>
    <mergeCell ref="A56:E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Посевная площадь ВКО</vt:lpstr>
      <vt:lpstr>Посевная площадь (1990-2021)</vt:lpstr>
      <vt:lpstr>Посевная площадь (2022-2025)</vt:lpstr>
      <vt:lpstr>Валовой сбор ВКО</vt:lpstr>
      <vt:lpstr>Валовой сбор (регионы)</vt:lpstr>
      <vt:lpstr>Валовый сбор (2022-2025)</vt:lpstr>
      <vt:lpstr>Урожайность ВКО</vt:lpstr>
      <vt:lpstr>Урожайность (регионы)</vt:lpstr>
      <vt:lpstr>Урожайность (2022-2025)</vt:lpstr>
      <vt:lpstr>'Валовой сбор (регионы)'!Область_печати</vt:lpstr>
      <vt:lpstr>'Посевная площадь (1990-2021)'!Область_печати</vt:lpstr>
      <vt:lpstr>'Посевная площадь (2022-2025)'!Область_печати</vt:lpstr>
      <vt:lpstr>'Урожайность (регионы)'!Область_печати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Эльмира Рахимова</cp:lastModifiedBy>
  <cp:lastPrinted>2026-06-05T10:54:20Z</cp:lastPrinted>
  <dcterms:created xsi:type="dcterms:W3CDTF">2002-08-28T10:37:34Z</dcterms:created>
  <dcterms:modified xsi:type="dcterms:W3CDTF">2026-06-18T12:56:09Z</dcterms:modified>
</cp:coreProperties>
</file>