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LMG102-03\Arhiv\Управление работы с пользователями\СВОД\2026\8АВГУСТ\Динамика СЭП\"/>
    </mc:Choice>
  </mc:AlternateContent>
  <bookViews>
    <workbookView xWindow="0" yWindow="0" windowWidth="28800" windowHeight="12435" tabRatio="867"/>
  </bookViews>
  <sheets>
    <sheet name="title" sheetId="2" r:id="rId1"/>
    <sheet name="demography" sheetId="3" r:id="rId2"/>
    <sheet name="work and standard of living" sheetId="4" r:id="rId3"/>
    <sheet name="grp" sheetId="5" r:id="rId4"/>
    <sheet name="industry" sheetId="6" r:id="rId5"/>
    <sheet name="agricultural industry " sheetId="7" r:id="rId6"/>
    <sheet name="construction" sheetId="8" r:id="rId7"/>
    <sheet name="trade" sheetId="10" r:id="rId8"/>
    <sheet name="transport and communication" sheetId="11" r:id="rId9"/>
    <sheet name="investments" sheetId="12" r:id="rId10"/>
    <sheet name="registers" sheetId="13" r:id="rId11"/>
    <sheet name="prices" sheetId="14" r:id="rId12"/>
    <sheet name="the science" sheetId="15" r:id="rId13"/>
    <sheet name="housing stock" sheetId="16" r:id="rId14"/>
    <sheet name="Лист8" sheetId="9" state="hidden" r:id="rId15"/>
  </sheets>
  <calcPr calcId="152511"/>
</workbook>
</file>

<file path=xl/calcChain.xml><?xml version="1.0" encoding="utf-8"?>
<calcChain xmlns="http://schemas.openxmlformats.org/spreadsheetml/2006/main">
  <c r="AR9" i="11" l="1"/>
  <c r="AR4" i="11"/>
  <c r="AC37" i="7" l="1"/>
  <c r="X88" i="6"/>
  <c r="W88" i="6"/>
  <c r="V88" i="6"/>
  <c r="U88" i="6"/>
  <c r="T88" i="6"/>
  <c r="S88" i="6"/>
  <c r="R88" i="6"/>
  <c r="Q88" i="6"/>
  <c r="P88" i="6"/>
  <c r="O88" i="6"/>
  <c r="N88" i="6"/>
  <c r="M88" i="6"/>
  <c r="L88" i="6"/>
  <c r="K88" i="6"/>
  <c r="J88" i="6"/>
  <c r="I88" i="6"/>
  <c r="H88" i="6"/>
  <c r="G88" i="6"/>
  <c r="F88" i="6"/>
  <c r="E88" i="6"/>
  <c r="D88" i="6"/>
  <c r="C88" i="6"/>
  <c r="X68" i="6"/>
  <c r="W68" i="6"/>
  <c r="V68" i="6"/>
  <c r="U68" i="6"/>
  <c r="T68" i="6"/>
  <c r="S68" i="6"/>
  <c r="R68" i="6"/>
  <c r="Q68" i="6"/>
  <c r="P68" i="6"/>
  <c r="O68" i="6"/>
  <c r="N68" i="6"/>
  <c r="M68" i="6"/>
  <c r="L68" i="6"/>
  <c r="K68" i="6"/>
  <c r="J68" i="6"/>
  <c r="I68" i="6"/>
  <c r="H68" i="6"/>
  <c r="G68" i="6"/>
  <c r="F68" i="6"/>
  <c r="E68" i="6"/>
  <c r="D68" i="6"/>
  <c r="C68" i="6"/>
  <c r="X65" i="6"/>
  <c r="W65" i="6"/>
  <c r="V65" i="6"/>
  <c r="U65" i="6"/>
  <c r="T65" i="6"/>
  <c r="S65" i="6"/>
  <c r="R65" i="6"/>
  <c r="Q65" i="6"/>
  <c r="P65" i="6"/>
  <c r="O65" i="6"/>
  <c r="N65" i="6"/>
  <c r="M65" i="6"/>
  <c r="L65" i="6"/>
  <c r="K65" i="6"/>
  <c r="J65" i="6"/>
  <c r="I65" i="6"/>
  <c r="H65" i="6"/>
  <c r="G65" i="6"/>
  <c r="F65" i="6"/>
  <c r="E65" i="6"/>
  <c r="D65" i="6"/>
  <c r="C65" i="6"/>
  <c r="W64" i="6"/>
  <c r="V64" i="6"/>
  <c r="U64" i="6"/>
  <c r="T64" i="6"/>
  <c r="S64" i="6"/>
  <c r="R64" i="6"/>
  <c r="Q64" i="6"/>
  <c r="P64" i="6"/>
  <c r="O64" i="6"/>
  <c r="N64" i="6"/>
  <c r="M64" i="6"/>
  <c r="L64" i="6"/>
  <c r="K64" i="6"/>
  <c r="J64" i="6"/>
  <c r="I64" i="6"/>
  <c r="H64" i="6"/>
  <c r="G64" i="6"/>
  <c r="F64" i="6"/>
  <c r="E64" i="6"/>
  <c r="D64" i="6"/>
  <c r="C64" i="6"/>
  <c r="X63" i="6"/>
  <c r="W63" i="6"/>
  <c r="V63" i="6"/>
  <c r="U63" i="6"/>
  <c r="T63" i="6"/>
  <c r="S63" i="6"/>
  <c r="R63" i="6"/>
  <c r="Q63" i="6"/>
  <c r="P63" i="6"/>
  <c r="O63" i="6"/>
  <c r="N63" i="6"/>
  <c r="M63" i="6"/>
  <c r="L63" i="6"/>
  <c r="K63" i="6"/>
  <c r="J63" i="6"/>
  <c r="I63" i="6"/>
  <c r="H63" i="6"/>
  <c r="G63" i="6"/>
  <c r="F63" i="6"/>
  <c r="E63" i="6"/>
  <c r="D63" i="6"/>
  <c r="C63" i="6"/>
  <c r="X62" i="6"/>
  <c r="W62" i="6"/>
  <c r="V62" i="6"/>
  <c r="U62" i="6"/>
  <c r="T62" i="6"/>
  <c r="S62" i="6"/>
  <c r="R62" i="6"/>
  <c r="Q62" i="6"/>
  <c r="P62" i="6"/>
  <c r="O62" i="6"/>
  <c r="N62" i="6"/>
  <c r="M62" i="6"/>
  <c r="L62" i="6"/>
  <c r="K62" i="6"/>
  <c r="J62" i="6"/>
  <c r="I62" i="6"/>
  <c r="H62" i="6"/>
  <c r="G62" i="6"/>
  <c r="F62" i="6"/>
  <c r="E62" i="6"/>
  <c r="D62" i="6"/>
  <c r="C62" i="6"/>
  <c r="X61" i="6"/>
  <c r="W61" i="6"/>
  <c r="V61" i="6"/>
  <c r="U61" i="6"/>
  <c r="T61" i="6"/>
  <c r="S61" i="6"/>
  <c r="R61" i="6"/>
  <c r="Q61" i="6"/>
  <c r="P61" i="6"/>
  <c r="O61" i="6"/>
  <c r="N61" i="6"/>
  <c r="M61" i="6"/>
  <c r="L61" i="6"/>
  <c r="K61" i="6"/>
  <c r="J61" i="6"/>
  <c r="I61" i="6"/>
  <c r="H61" i="6"/>
  <c r="X60" i="6"/>
  <c r="W60" i="6"/>
  <c r="V60" i="6"/>
  <c r="U60" i="6"/>
  <c r="T60" i="6"/>
  <c r="S60" i="6"/>
  <c r="R60" i="6"/>
  <c r="Q60" i="6"/>
  <c r="P60" i="6"/>
  <c r="O60" i="6"/>
  <c r="N60" i="6"/>
  <c r="M60" i="6"/>
  <c r="L60" i="6"/>
  <c r="K60" i="6"/>
  <c r="J60" i="6"/>
  <c r="I60" i="6"/>
  <c r="H60" i="6"/>
  <c r="G60" i="6"/>
  <c r="F60" i="6"/>
  <c r="E60" i="6"/>
  <c r="D60" i="6"/>
  <c r="C60" i="6"/>
  <c r="X59" i="6"/>
  <c r="W59" i="6"/>
  <c r="V59" i="6"/>
  <c r="U59" i="6"/>
  <c r="T59" i="6"/>
  <c r="S59" i="6"/>
  <c r="R59" i="6"/>
  <c r="Q59" i="6"/>
  <c r="P59" i="6"/>
  <c r="O59" i="6"/>
  <c r="N59" i="6"/>
  <c r="M59" i="6"/>
  <c r="L59" i="6"/>
  <c r="K59" i="6"/>
  <c r="J59" i="6"/>
  <c r="I59" i="6"/>
  <c r="H59" i="6"/>
  <c r="G59" i="6"/>
  <c r="F59" i="6"/>
  <c r="E59" i="6"/>
  <c r="D59" i="6"/>
  <c r="C59" i="6"/>
  <c r="X58" i="6"/>
  <c r="W58" i="6"/>
  <c r="V58" i="6"/>
  <c r="U58" i="6"/>
  <c r="T58" i="6"/>
  <c r="S58" i="6"/>
  <c r="R58" i="6"/>
  <c r="Q58" i="6"/>
  <c r="P58" i="6"/>
  <c r="O58" i="6"/>
  <c r="N58" i="6"/>
  <c r="M58" i="6"/>
  <c r="L58" i="6"/>
  <c r="K58" i="6"/>
  <c r="J58" i="6"/>
  <c r="I58" i="6"/>
  <c r="H58" i="6"/>
  <c r="G58" i="6"/>
  <c r="F58" i="6"/>
  <c r="E58" i="6"/>
  <c r="D58" i="6"/>
  <c r="C58" i="6"/>
  <c r="X57" i="6"/>
  <c r="W57" i="6"/>
  <c r="V57" i="6"/>
  <c r="T57" i="6"/>
  <c r="S57" i="6"/>
  <c r="R57" i="6"/>
  <c r="Q57" i="6"/>
  <c r="P57" i="6"/>
  <c r="O57" i="6"/>
  <c r="N57" i="6"/>
  <c r="M57" i="6"/>
  <c r="L57" i="6"/>
  <c r="K57" i="6"/>
  <c r="J57" i="6"/>
  <c r="I57" i="6"/>
  <c r="H57" i="6"/>
  <c r="G57" i="6"/>
  <c r="F57" i="6"/>
  <c r="E57" i="6"/>
  <c r="D57" i="6"/>
  <c r="C57" i="6"/>
  <c r="W56" i="6"/>
  <c r="V56" i="6"/>
  <c r="U56" i="6"/>
  <c r="T56" i="6"/>
  <c r="S56" i="6"/>
  <c r="R56" i="6"/>
  <c r="Q56" i="6"/>
  <c r="P56" i="6"/>
  <c r="O56" i="6"/>
  <c r="N56" i="6"/>
  <c r="M56" i="6"/>
  <c r="L56" i="6"/>
  <c r="K56" i="6"/>
  <c r="J56" i="6"/>
  <c r="I56" i="6"/>
  <c r="H56" i="6"/>
  <c r="G56" i="6"/>
  <c r="F56" i="6"/>
  <c r="E56" i="6"/>
  <c r="D56" i="6"/>
  <c r="C56" i="6"/>
  <c r="M55" i="6"/>
  <c r="L55" i="6"/>
  <c r="K55" i="6"/>
  <c r="J55" i="6"/>
  <c r="I55" i="6"/>
  <c r="H55" i="6"/>
  <c r="G55" i="6"/>
  <c r="F55" i="6"/>
  <c r="E55" i="6"/>
  <c r="D55" i="6"/>
  <c r="C55" i="6"/>
  <c r="X54" i="6"/>
  <c r="W54" i="6"/>
  <c r="V54" i="6"/>
  <c r="U54" i="6"/>
  <c r="T54" i="6"/>
  <c r="S54" i="6"/>
  <c r="R54" i="6"/>
  <c r="Q54" i="6"/>
  <c r="P54" i="6"/>
  <c r="O54" i="6"/>
  <c r="N54" i="6"/>
  <c r="M54" i="6"/>
  <c r="L54" i="6"/>
  <c r="K54" i="6"/>
  <c r="J54" i="6"/>
  <c r="I54" i="6"/>
  <c r="H54" i="6"/>
  <c r="G54" i="6"/>
  <c r="F54" i="6"/>
  <c r="E54" i="6"/>
  <c r="D54" i="6"/>
  <c r="C54" i="6"/>
  <c r="X53" i="6"/>
  <c r="W53" i="6"/>
  <c r="V53" i="6"/>
  <c r="U53" i="6"/>
  <c r="T53" i="6"/>
  <c r="S53" i="6"/>
  <c r="R53" i="6"/>
  <c r="Q53" i="6"/>
  <c r="P53" i="6"/>
  <c r="O53" i="6"/>
  <c r="N53" i="6"/>
  <c r="M53" i="6"/>
  <c r="L53" i="6"/>
  <c r="K53" i="6"/>
  <c r="J53" i="6"/>
  <c r="I53" i="6"/>
  <c r="H53" i="6"/>
  <c r="G53" i="6"/>
  <c r="F53" i="6"/>
  <c r="E53" i="6"/>
  <c r="D53" i="6"/>
  <c r="C53" i="6"/>
  <c r="X33" i="6"/>
  <c r="V33" i="6"/>
  <c r="U33" i="6"/>
  <c r="T33" i="6"/>
  <c r="S33" i="6"/>
  <c r="R33" i="6"/>
  <c r="Q33" i="6"/>
  <c r="P33" i="6"/>
  <c r="O33" i="6"/>
  <c r="N33" i="6"/>
  <c r="M33" i="6"/>
  <c r="L33" i="6"/>
  <c r="K33" i="6"/>
  <c r="J33" i="6"/>
  <c r="I33" i="6"/>
  <c r="H33" i="6"/>
  <c r="G33" i="6"/>
  <c r="F33" i="6"/>
  <c r="E33" i="6"/>
  <c r="D33" i="6"/>
  <c r="C33" i="6"/>
  <c r="X24" i="6"/>
  <c r="S24" i="6"/>
  <c r="R24" i="6"/>
  <c r="Q24" i="6"/>
  <c r="P24" i="6"/>
  <c r="O24" i="6"/>
  <c r="N24" i="6"/>
  <c r="M24" i="6"/>
  <c r="L24" i="6"/>
  <c r="K24" i="6"/>
  <c r="J24" i="6"/>
  <c r="I24" i="6"/>
  <c r="Z3" i="6"/>
  <c r="Y3" i="6"/>
  <c r="X3" i="6"/>
  <c r="W3" i="6"/>
  <c r="V3" i="6"/>
  <c r="U3" i="6"/>
  <c r="T3" i="6"/>
  <c r="S3" i="6"/>
  <c r="R3" i="6"/>
  <c r="Q3" i="6"/>
  <c r="P3" i="6"/>
  <c r="O3" i="6"/>
  <c r="N3" i="6"/>
  <c r="M3" i="6"/>
  <c r="L3" i="6"/>
  <c r="K3" i="6"/>
  <c r="J3" i="6"/>
  <c r="I3" i="6"/>
  <c r="H3" i="6"/>
  <c r="G3" i="6"/>
  <c r="F3" i="6"/>
  <c r="E3" i="6"/>
  <c r="D3" i="6"/>
  <c r="AQ9" i="11" l="1"/>
  <c r="AQ4" i="11"/>
  <c r="AA22" i="8" l="1"/>
  <c r="AF4" i="5"/>
  <c r="AG4" i="5" s="1"/>
  <c r="AH4" i="5" s="1"/>
</calcChain>
</file>

<file path=xl/comments1.xml><?xml version="1.0" encoding="utf-8"?>
<comments xmlns="http://schemas.openxmlformats.org/spreadsheetml/2006/main">
  <authors>
    <author>Жанара Костутинова</author>
  </authors>
  <commentList>
    <comment ref="A118" authorId="0" shapeId="0">
      <text>
        <r>
          <rPr>
            <b/>
            <sz val="9"/>
            <color indexed="81"/>
            <rFont val="Tahoma"/>
            <family val="2"/>
            <charset val="204"/>
          </rPr>
          <t>Жанара Костутинова:</t>
        </r>
        <r>
          <rPr>
            <sz val="9"/>
            <color indexed="81"/>
            <rFont val="Tahoma"/>
            <family val="2"/>
            <charset val="204"/>
          </rPr>
          <t xml:space="preserve">
</t>
        </r>
      </text>
    </comment>
  </commentList>
</comments>
</file>

<file path=xl/sharedStrings.xml><?xml version="1.0" encoding="utf-8"?>
<sst xmlns="http://schemas.openxmlformats.org/spreadsheetml/2006/main" count="14267" uniqueCount="549">
  <si>
    <t xml:space="preserve"> </t>
  </si>
  <si>
    <t>-</t>
  </si>
  <si>
    <t>...</t>
  </si>
  <si>
    <t>110</t>
  </si>
  <si>
    <t>…</t>
  </si>
  <si>
    <t>110.2</t>
  </si>
  <si>
    <t>85 321</t>
  </si>
  <si>
    <t>в 9,3 р.</t>
  </si>
  <si>
    <t>в 15,1 р.</t>
  </si>
  <si>
    <t>в 2,5 р.</t>
  </si>
  <si>
    <t>772</t>
  </si>
  <si>
    <t>404</t>
  </si>
  <si>
    <t>107,0</t>
  </si>
  <si>
    <t>108,0</t>
  </si>
  <si>
    <t>107,7</t>
  </si>
  <si>
    <t>105,2</t>
  </si>
  <si>
    <t>108,6</t>
  </si>
  <si>
    <t>104,8</t>
  </si>
  <si>
    <t>113,5</t>
  </si>
  <si>
    <t>112,1</t>
  </si>
  <si>
    <t>93,0</t>
  </si>
  <si>
    <t>109,9</t>
  </si>
  <si>
    <t>122</t>
  </si>
  <si>
    <t>27</t>
  </si>
  <si>
    <t>47</t>
  </si>
  <si>
    <t>21</t>
  </si>
  <si>
    <t xml:space="preserve">            -</t>
  </si>
  <si>
    <t>1 007 665</t>
  </si>
  <si>
    <t>1 421 822</t>
  </si>
  <si>
    <t>1 764 385</t>
  </si>
  <si>
    <t>1 998 321</t>
  </si>
  <si>
    <t>2 966 760</t>
  </si>
  <si>
    <t>3 852 862</t>
  </si>
  <si>
    <t>4 108 283</t>
  </si>
  <si>
    <t>5 090 418</t>
  </si>
  <si>
    <t>5 361 670</t>
  </si>
  <si>
    <t>6 573 027</t>
  </si>
  <si>
    <t>1 239 883</t>
  </si>
  <si>
    <t>1 296 622</t>
  </si>
  <si>
    <t>2 796 359</t>
  </si>
  <si>
    <t>1 061 965</t>
  </si>
  <si>
    <t>1 191 445</t>
  </si>
  <si>
    <t>1 013 425</t>
  </si>
  <si>
    <t>1 310 084</t>
  </si>
  <si>
    <t>1 567 143</t>
  </si>
  <si>
    <t>1 841 407</t>
  </si>
  <si>
    <t>1 334 346</t>
  </si>
  <si>
    <t>1 048 994</t>
  </si>
  <si>
    <t>1 329 969</t>
  </si>
  <si>
    <t>1 469 398</t>
  </si>
  <si>
    <t>2 162 879</t>
  </si>
  <si>
    <t>2 806 271</t>
  </si>
  <si>
    <t>3 023 988</t>
  </si>
  <si>
    <t>3 716 297</t>
  </si>
  <si>
    <t>3 849 339</t>
  </si>
  <si>
    <t>4 453 328</t>
  </si>
  <si>
    <t>1 904 472</t>
  </si>
  <si>
    <t>1 073 298</t>
  </si>
  <si>
    <t>1 239 140</t>
  </si>
  <si>
    <t>1 401 345</t>
  </si>
  <si>
    <t xml:space="preserve"> - </t>
  </si>
  <si>
    <t>14 391</t>
  </si>
  <si>
    <t>10 99</t>
  </si>
  <si>
    <t>х</t>
  </si>
  <si>
    <t>1,0</t>
  </si>
  <si>
    <t>2 458,5</t>
  </si>
  <si>
    <t>198,7</t>
  </si>
  <si>
    <t>595,9</t>
  </si>
  <si>
    <t>260,6</t>
  </si>
  <si>
    <t>380,6</t>
  </si>
  <si>
    <t>463,0</t>
  </si>
  <si>
    <t>325,3</t>
  </si>
  <si>
    <t>11,6</t>
  </si>
  <si>
    <t>222,8</t>
  </si>
  <si>
    <t>%</t>
  </si>
  <si>
    <t>20 649,2</t>
  </si>
  <si>
    <t>442 395,1</t>
  </si>
  <si>
    <t>39 309,2</t>
  </si>
  <si>
    <t>5 202,2</t>
  </si>
  <si>
    <t>128,4</t>
  </si>
  <si>
    <t>104,7</t>
  </si>
  <si>
    <t>159 124</t>
  </si>
  <si>
    <t>55,1</t>
  </si>
  <si>
    <t>104,2</t>
  </si>
  <si>
    <t>113,0</t>
  </si>
  <si>
    <t>107,4</t>
  </si>
  <si>
    <t>13 459,8</t>
  </si>
  <si>
    <t>2021</t>
  </si>
  <si>
    <t>23,0</t>
  </si>
  <si>
    <t>2 851,7</t>
  </si>
  <si>
    <t>681</t>
  </si>
  <si>
    <t>242,9</t>
  </si>
  <si>
    <t>293,3</t>
  </si>
  <si>
    <t>425</t>
  </si>
  <si>
    <t>549,3</t>
  </si>
  <si>
    <t>362,8</t>
  </si>
  <si>
    <t>15,8</t>
  </si>
  <si>
    <t>281,6</t>
  </si>
  <si>
    <t>2022</t>
  </si>
  <si>
    <t xml:space="preserve">Dynamics of the main socio-economic indicators in the city of Almaty </t>
  </si>
  <si>
    <t>GRP</t>
  </si>
  <si>
    <t>Gross regional product</t>
  </si>
  <si>
    <t>as a percentage of the previous year</t>
  </si>
  <si>
    <t>as a percentage of 1991</t>
  </si>
  <si>
    <t>thousand tenge</t>
  </si>
  <si>
    <t>GRP per capita</t>
  </si>
  <si>
    <t>Fixed assets of enterprises, at the end of the year</t>
  </si>
  <si>
    <t>At the original cost</t>
  </si>
  <si>
    <t>Almaty city</t>
  </si>
  <si>
    <t>Almaly</t>
  </si>
  <si>
    <t>Auezov</t>
  </si>
  <si>
    <t>Bostandyk</t>
  </si>
  <si>
    <t>Nauryzbay</t>
  </si>
  <si>
    <t>Turksib</t>
  </si>
  <si>
    <t>By book (less depreciation) valve, at the end of the year</t>
  </si>
  <si>
    <t>Prices</t>
  </si>
  <si>
    <t>Consumer price index (at the end of the period, as a percentage of December of the previous year)</t>
  </si>
  <si>
    <t>food price index price index</t>
  </si>
  <si>
    <t>non-food products</t>
  </si>
  <si>
    <t>price index for paid services for the population</t>
  </si>
  <si>
    <t>Index of prices of manufacturers of industrial products (at the end of the period, as a percentage of December of the previous year)</t>
  </si>
  <si>
    <t>Index of prices in construction (at the end of the period, as a percentage of December of the previous year)</t>
  </si>
  <si>
    <t>Tariff index for transportation of goods by all modes of transport (at the end of the period, as a percentage of December of the previous year)</t>
  </si>
  <si>
    <t>Index of tariffs for postal and courier services for legal entities (at the end of the period, as a percentage of December of the previous year)</t>
  </si>
  <si>
    <t>Index of tariffs for communication services for legal entities (at the end of the period, as a percentage of December of the previous year)</t>
  </si>
  <si>
    <t>Wholesale price index (at the end of the period, as a percentage of December of the previous year)</t>
  </si>
  <si>
    <t>December  2019</t>
  </si>
  <si>
    <t>December 2020</t>
  </si>
  <si>
    <t>December 2021</t>
  </si>
  <si>
    <t>December  2022</t>
  </si>
  <si>
    <t>tenge</t>
  </si>
  <si>
    <t>The value of the subsistence minimum</t>
  </si>
  <si>
    <t>REGISTERS</t>
  </si>
  <si>
    <t>Number of legal entities</t>
  </si>
  <si>
    <t>registered</t>
  </si>
  <si>
    <t>Alatau</t>
  </si>
  <si>
    <t>Medeu</t>
  </si>
  <si>
    <t>operating</t>
  </si>
  <si>
    <t>Agricultural Producers</t>
  </si>
  <si>
    <t>agriculturalenterprises</t>
  </si>
  <si>
    <t>individual entrepreneurs with structural units</t>
  </si>
  <si>
    <t>peasant or farming households</t>
  </si>
  <si>
    <t>HOUSING STOCK</t>
  </si>
  <si>
    <t>Housing stock, total</t>
  </si>
  <si>
    <t>Provision of the populationwith housing per person, total</t>
  </si>
  <si>
    <t>The specific weight of the total area of the entire housing stock equipped with water supply</t>
  </si>
  <si>
    <t>The specific weight of the total area of the entire housing stock equipped with sewerage</t>
  </si>
  <si>
    <t>The specific weight of the total area of the entire housing stock equipped with central heating</t>
  </si>
  <si>
    <t>The specific weight of the total area of the entire housing stock equipped with hot water supply</t>
  </si>
  <si>
    <t>Internal costs  for research and development, at current prices</t>
  </si>
  <si>
    <t>Number of organizations(enterprises)performing R&amp;D</t>
  </si>
  <si>
    <t>including:</t>
  </si>
  <si>
    <t>government sektor</t>
  </si>
  <si>
    <t>higher education sector</t>
  </si>
  <si>
    <t>business sector</t>
  </si>
  <si>
    <t>private non-profit sector</t>
  </si>
  <si>
    <t>Nuber of staff tngagaed in research and development</t>
  </si>
  <si>
    <t>including researchers</t>
  </si>
  <si>
    <t>doctorate of science</t>
  </si>
  <si>
    <t>doctor by profile</t>
  </si>
  <si>
    <t>philosophy PhD</t>
  </si>
  <si>
    <t>PhD</t>
  </si>
  <si>
    <t>THE SCIENCE</t>
  </si>
  <si>
    <t>CONNECTION</t>
  </si>
  <si>
    <t>ТRANSPORT</t>
  </si>
  <si>
    <t>as a percentage of the  previous year</t>
  </si>
  <si>
    <t xml:space="preserve">
2020</t>
  </si>
  <si>
    <t>DEMOGRAPHIC INDICATORS</t>
  </si>
  <si>
    <t xml:space="preserve">  Population at the end of the year (according to current account)                                                                                        </t>
  </si>
  <si>
    <t xml:space="preserve">     including by districts:                                                                                  </t>
  </si>
  <si>
    <t xml:space="preserve">as a percentage of the previous year                 </t>
  </si>
  <si>
    <t>Life expectancy at birth</t>
  </si>
  <si>
    <t>population</t>
  </si>
  <si>
    <t>men</t>
  </si>
  <si>
    <t>women</t>
  </si>
  <si>
    <t>Birth rate</t>
  </si>
  <si>
    <t>Death rate</t>
  </si>
  <si>
    <t>Infant death rate</t>
  </si>
  <si>
    <t>Natural population growth</t>
  </si>
  <si>
    <t xml:space="preserve">marriage rate </t>
  </si>
  <si>
    <t>Units</t>
  </si>
  <si>
    <t xml:space="preserve">  thousand people</t>
  </si>
  <si>
    <t>years</t>
  </si>
  <si>
    <t>per 1000 people</t>
  </si>
  <si>
    <t>people</t>
  </si>
  <si>
    <t>units</t>
  </si>
  <si>
    <t>Social security</t>
  </si>
  <si>
    <t xml:space="preserve">College enrollment </t>
  </si>
  <si>
    <t>Number of HEI</t>
  </si>
  <si>
    <t>Number of HEI students</t>
  </si>
  <si>
    <t>Аlmaty city</t>
  </si>
  <si>
    <t>STANDARD OF LIVING</t>
  </si>
  <si>
    <t xml:space="preserve">Share of population with available income that used on consumption below subsistence line </t>
  </si>
  <si>
    <t>Unit measurements</t>
  </si>
  <si>
    <t>Employed population</t>
  </si>
  <si>
    <t>Labor force</t>
  </si>
  <si>
    <t xml:space="preserve">Including employees </t>
  </si>
  <si>
    <t>Unemployed population</t>
  </si>
  <si>
    <t>The share of registered unemployed in the economically active population</t>
  </si>
  <si>
    <t>Long-term unemployment rate</t>
  </si>
  <si>
    <t>Units measurements</t>
  </si>
  <si>
    <t>$</t>
  </si>
  <si>
    <t xml:space="preserve"> tenge</t>
  </si>
  <si>
    <t>thousand people</t>
  </si>
  <si>
    <t>Remuneration of labor</t>
  </si>
  <si>
    <t>Average monthly nominal wage</t>
  </si>
  <si>
    <t>USA dollars</t>
  </si>
  <si>
    <t>Nominal wage index, as a percentage of the previous year</t>
  </si>
  <si>
    <t>Real wage index, as a percentage of the previous year</t>
  </si>
  <si>
    <t>The minimum wage</t>
  </si>
  <si>
    <t>INVESTMENTS IN FIXED CAPITAL</t>
  </si>
  <si>
    <t>Investments in fixed capital, million tenge</t>
  </si>
  <si>
    <t>million dollars USA</t>
  </si>
  <si>
    <t>as percentagecompared to 1999</t>
  </si>
  <si>
    <t>million tenge</t>
  </si>
  <si>
    <t>nillion dollars USD</t>
  </si>
  <si>
    <t>CONSTRUCTION</t>
  </si>
  <si>
    <t>UNITS</t>
  </si>
  <si>
    <t>as percentagecompared to 1991.</t>
  </si>
  <si>
    <t>Commissioning of residential buildings</t>
  </si>
  <si>
    <t>thausand sq.m.</t>
  </si>
  <si>
    <t>Commissioning of</t>
  </si>
  <si>
    <t>general education schools</t>
  </si>
  <si>
    <t xml:space="preserve">  student seats</t>
  </si>
  <si>
    <t>preschool organizations</t>
  </si>
  <si>
    <t xml:space="preserve"> seats</t>
  </si>
  <si>
    <t>Commissioning of objects healthcare</t>
  </si>
  <si>
    <t>hospitals</t>
  </si>
  <si>
    <t>beds</t>
  </si>
  <si>
    <t>ambulatory polyclinic organizations</t>
  </si>
  <si>
    <t xml:space="preserve"> visits per shift</t>
  </si>
  <si>
    <t>2,8 times</t>
  </si>
  <si>
    <t>units of measurement</t>
  </si>
  <si>
    <t>billion tenge</t>
  </si>
  <si>
    <t>volume of retail turnover,  billion tenge</t>
  </si>
  <si>
    <t>Ayezov</t>
  </si>
  <si>
    <t>in percent 1991 year</t>
  </si>
  <si>
    <t>from Januare 1, 7000 tenge; from july 1 - 9200 тенге</t>
  </si>
  <si>
    <t>from Januare 1 - 10 515 tenge;
from jule 1 - 12 025 tenge</t>
  </si>
  <si>
    <t>from Januare 1 - 13 470 tenge;
from jule 1  - 13 717 tenge</t>
  </si>
  <si>
    <t>from Januar 1 - 14 952 tenge</t>
  </si>
  <si>
    <t>9,7 times</t>
  </si>
  <si>
    <t>14,5 times</t>
  </si>
  <si>
    <t>5.7 times</t>
  </si>
  <si>
    <t>million sq.m.</t>
  </si>
  <si>
    <t xml:space="preserve"> sq.m.</t>
  </si>
  <si>
    <t>Units of measurement</t>
  </si>
  <si>
    <t>human</t>
  </si>
  <si>
    <t>INDUSTRY</t>
  </si>
  <si>
    <t>as a percentage of 1991y.</t>
  </si>
  <si>
    <t>mining industry, million tenge</t>
  </si>
  <si>
    <t>manufacturing industry</t>
  </si>
  <si>
    <t>manufacture of food</t>
  </si>
  <si>
    <t xml:space="preserve">manufacture of mineral waters and soft drinks </t>
  </si>
  <si>
    <t>manufacture of tobacco products</t>
  </si>
  <si>
    <t>light industry</t>
  </si>
  <si>
    <t>manufacture of wood and wood products, except furniture; manufacture of goods made of straw and braiding materials</t>
  </si>
  <si>
    <t>furniture manufacturing</t>
  </si>
  <si>
    <t>production of chemical industry products</t>
  </si>
  <si>
    <t>production of other non-metallic mineral products</t>
  </si>
  <si>
    <t>metallurgical industry</t>
  </si>
  <si>
    <t>production of finished metal products, except machinery and
equipment, million tenge</t>
  </si>
  <si>
    <t>production of machinery and equipment not included in other
categories</t>
  </si>
  <si>
    <t>production of computers, electronic and optica</t>
  </si>
  <si>
    <t>production of motor vehicles, trailers and
semi-trailers</t>
  </si>
  <si>
    <t>production of other vehicles</t>
  </si>
  <si>
    <t>power supply, gas supply, steam and air
air conditioning, million tenge</t>
  </si>
  <si>
    <t>water supply; sewerage system, control over collection and waste distribution, million tenge</t>
  </si>
  <si>
    <t>thousand tons</t>
  </si>
  <si>
    <t>hundredweight per hectare</t>
  </si>
  <si>
    <t>thousand heads</t>
  </si>
  <si>
    <t>1 763 728</t>
  </si>
  <si>
    <t>199 117</t>
  </si>
  <si>
    <t>531 133</t>
  </si>
  <si>
    <t>110 288</t>
  </si>
  <si>
    <t>94 214</t>
  </si>
  <si>
    <t>313 820</t>
  </si>
  <si>
    <t>147 889</t>
  </si>
  <si>
    <t>13 543</t>
  </si>
  <si>
    <t>351 681</t>
  </si>
  <si>
    <t>96,0</t>
  </si>
  <si>
    <t>102,0</t>
  </si>
  <si>
    <t>104,0</t>
  </si>
  <si>
    <t>125,6</t>
  </si>
  <si>
    <t>108,9</t>
  </si>
  <si>
    <t>1 524 775</t>
  </si>
  <si>
    <t>165 572</t>
  </si>
  <si>
    <t>479 965</t>
  </si>
  <si>
    <t>87 308</t>
  </si>
  <si>
    <t>34 305</t>
  </si>
  <si>
    <t>294 784</t>
  </si>
  <si>
    <t>118 020</t>
  </si>
  <si>
    <t>9 171</t>
  </si>
  <si>
    <t>333 608</t>
  </si>
  <si>
    <t>111,1</t>
  </si>
  <si>
    <t>108,4</t>
  </si>
  <si>
    <t>137,4</t>
  </si>
  <si>
    <t>82,4</t>
  </si>
  <si>
    <t>86,8</t>
  </si>
  <si>
    <t>99,8</t>
  </si>
  <si>
    <t>98,7</t>
  </si>
  <si>
    <t>1072,2</t>
  </si>
  <si>
    <t>87,6</t>
  </si>
  <si>
    <t>350 487</t>
  </si>
  <si>
    <t>77 072</t>
  </si>
  <si>
    <t>18 249</t>
  </si>
  <si>
    <t>6 326</t>
  </si>
  <si>
    <t>17 208</t>
  </si>
  <si>
    <t>18 242</t>
  </si>
  <si>
    <t>85 962</t>
  </si>
  <si>
    <t>127 808</t>
  </si>
  <si>
    <t>52 958</t>
  </si>
  <si>
    <t>16 284</t>
  </si>
  <si>
    <t>10 169</t>
  </si>
  <si>
    <t>452 642</t>
  </si>
  <si>
    <t>12 429</t>
  </si>
  <si>
    <t>207 313</t>
  </si>
  <si>
    <t>30 177</t>
  </si>
  <si>
    <t>45 189</t>
  </si>
  <si>
    <t>19 455</t>
  </si>
  <si>
    <t>54 798</t>
  </si>
  <si>
    <t>17 051</t>
  </si>
  <si>
    <t>23 143</t>
  </si>
  <si>
    <t>3 455</t>
  </si>
  <si>
    <t>14 044</t>
  </si>
  <si>
    <t>96,6</t>
  </si>
  <si>
    <t>92,3</t>
  </si>
  <si>
    <t>101,5</t>
  </si>
  <si>
    <t>71,3</t>
  </si>
  <si>
    <t>92,2</t>
  </si>
  <si>
    <t>110,5</t>
  </si>
  <si>
    <t>93,3</t>
  </si>
  <si>
    <t>109,2</t>
  </si>
  <si>
    <t>161,6</t>
  </si>
  <si>
    <t>31 639</t>
  </si>
  <si>
    <t>3 368</t>
  </si>
  <si>
    <t>5 980</t>
  </si>
  <si>
    <t>3 525</t>
  </si>
  <si>
    <t>5 112</t>
  </si>
  <si>
    <t>1 985</t>
  </si>
  <si>
    <t>6 726</t>
  </si>
  <si>
    <t>918</t>
  </si>
  <si>
    <t>4 028</t>
  </si>
  <si>
    <t>102,7</t>
  </si>
  <si>
    <t>78,6</t>
  </si>
  <si>
    <t>156,8</t>
  </si>
  <si>
    <t>87,1</t>
  </si>
  <si>
    <t>98,3</t>
  </si>
  <si>
    <t>84,6</t>
  </si>
  <si>
    <t>119,5</t>
  </si>
  <si>
    <t>74,1</t>
  </si>
  <si>
    <t>94,5</t>
  </si>
  <si>
    <t>AGRICULTURAL INDUSTRY</t>
  </si>
  <si>
    <t>from it:</t>
  </si>
  <si>
    <t>Services in the field of agriculture</t>
  </si>
  <si>
    <t>grain crops (in weight after completion)</t>
  </si>
  <si>
    <t>sunflower</t>
  </si>
  <si>
    <t>raw cotton</t>
  </si>
  <si>
    <t>sugar beet</t>
  </si>
  <si>
    <t>tobacco</t>
  </si>
  <si>
    <t>potatoes</t>
  </si>
  <si>
    <t>vegeyables</t>
  </si>
  <si>
    <t>productivity of the main agricultural crops</t>
  </si>
  <si>
    <t>grain crops</t>
  </si>
  <si>
    <t>cattle</t>
  </si>
  <si>
    <t>sheep and goats</t>
  </si>
  <si>
    <t>pigs</t>
  </si>
  <si>
    <t>horses</t>
  </si>
  <si>
    <t>increase by 6 times</t>
  </si>
  <si>
    <t>Passengers carried</t>
  </si>
  <si>
    <t>million. people</t>
  </si>
  <si>
    <t>1766,4,</t>
  </si>
  <si>
    <t>as a percentage compared to 1991</t>
  </si>
  <si>
    <t>Passenger turnover</t>
  </si>
  <si>
    <t>million. p-km</t>
  </si>
  <si>
    <t>Transported (transported )cargo, luggage, cargo of luggage</t>
  </si>
  <si>
    <t>million. tons</t>
  </si>
  <si>
    <t>96,5</t>
  </si>
  <si>
    <t>Cargo turnover</t>
  </si>
  <si>
    <t>million. t-km</t>
  </si>
  <si>
    <t>Volume of postal and courier services</t>
  </si>
  <si>
    <t>Index of physical volume of postal and courier activities, percentage</t>
  </si>
  <si>
    <t xml:space="preserve">Volume of communication services </t>
  </si>
  <si>
    <t>Index of physical volume of communication services , percentage</t>
  </si>
  <si>
    <t>as a percentage compared to 2002</t>
  </si>
  <si>
    <t>December  2023</t>
  </si>
  <si>
    <t>100,0</t>
  </si>
  <si>
    <t>2023</t>
  </si>
  <si>
    <t>Zhetisu</t>
  </si>
  <si>
    <t>birds</t>
  </si>
  <si>
    <t>464,1</t>
  </si>
  <si>
    <t>103,0</t>
  </si>
  <si>
    <t>18 937,8</t>
  </si>
  <si>
    <t>117,0</t>
  </si>
  <si>
    <t>29,9</t>
  </si>
  <si>
    <t>123,5</t>
  </si>
  <si>
    <t>23 656,9</t>
  </si>
  <si>
    <t>124,2</t>
  </si>
  <si>
    <t>754 246,1</t>
  </si>
  <si>
    <t>3 718,1</t>
  </si>
  <si>
    <t>December 2024</t>
  </si>
  <si>
    <r>
      <t>2021</t>
    </r>
    <r>
      <rPr>
        <b/>
        <vertAlign val="superscript"/>
        <sz val="10"/>
        <color indexed="8"/>
        <rFont val="Roboto"/>
        <charset val="204"/>
      </rPr>
      <t>1)</t>
    </r>
  </si>
  <si>
    <r>
      <t>Maternal mortality rate</t>
    </r>
    <r>
      <rPr>
        <b/>
        <vertAlign val="superscript"/>
        <sz val="10"/>
        <color indexed="8"/>
        <rFont val="Roboto"/>
        <charset val="204"/>
      </rPr>
      <t>2)</t>
    </r>
  </si>
  <si>
    <r>
      <t>Divorce rate</t>
    </r>
    <r>
      <rPr>
        <b/>
        <vertAlign val="superscript"/>
        <sz val="10"/>
        <color indexed="8"/>
        <rFont val="Roboto"/>
        <charset val="204"/>
      </rPr>
      <t>2)</t>
    </r>
  </si>
  <si>
    <r>
      <t>Balance of migration</t>
    </r>
    <r>
      <rPr>
        <b/>
        <vertAlign val="superscript"/>
        <sz val="10"/>
        <color indexed="8"/>
        <rFont val="Roboto"/>
        <charset val="204"/>
      </rPr>
      <t>3)</t>
    </r>
  </si>
  <si>
    <r>
      <t xml:space="preserve">Number of hospital organizations </t>
    </r>
    <r>
      <rPr>
        <b/>
        <vertAlign val="superscript"/>
        <sz val="10"/>
        <color indexed="8"/>
        <rFont val="Roboto"/>
        <charset val="204"/>
      </rPr>
      <t>1)</t>
    </r>
  </si>
  <si>
    <r>
      <t>Number of hospital beds</t>
    </r>
    <r>
      <rPr>
        <b/>
        <vertAlign val="superscript"/>
        <sz val="10"/>
        <color indexed="8"/>
        <rFont val="Roboto"/>
        <charset val="204"/>
      </rPr>
      <t>1)</t>
    </r>
  </si>
  <si>
    <r>
      <t>Number of preschool institutions (with 2010 including mini centers)</t>
    </r>
    <r>
      <rPr>
        <b/>
        <vertAlign val="superscript"/>
        <sz val="10"/>
        <color indexed="8"/>
        <rFont val="Roboto"/>
        <charset val="204"/>
      </rPr>
      <t>2)</t>
    </r>
  </si>
  <si>
    <r>
      <t>Number of children in preschool institutions</t>
    </r>
    <r>
      <rPr>
        <b/>
        <vertAlign val="superscript"/>
        <sz val="10"/>
        <color indexed="8"/>
        <rFont val="Roboto"/>
        <charset val="204"/>
      </rPr>
      <t xml:space="preserve">2)                                                                  </t>
    </r>
  </si>
  <si>
    <r>
      <t>Number of schools</t>
    </r>
    <r>
      <rPr>
        <b/>
        <vertAlign val="superscript"/>
        <sz val="10"/>
        <color indexed="8"/>
        <rFont val="Roboto"/>
        <charset val="204"/>
      </rPr>
      <t>2)</t>
    </r>
  </si>
  <si>
    <r>
      <t>Number of students in schools</t>
    </r>
    <r>
      <rPr>
        <b/>
        <vertAlign val="superscript"/>
        <sz val="10"/>
        <color indexed="8"/>
        <rFont val="Roboto"/>
        <charset val="204"/>
      </rPr>
      <t>2)</t>
    </r>
  </si>
  <si>
    <r>
      <t>Number of colleges</t>
    </r>
    <r>
      <rPr>
        <b/>
        <vertAlign val="superscript"/>
        <sz val="10"/>
        <color indexed="8"/>
        <rFont val="Roboto"/>
        <charset val="204"/>
      </rPr>
      <t>3)</t>
    </r>
  </si>
  <si>
    <r>
      <t>Number of reported crimes</t>
    </r>
    <r>
      <rPr>
        <b/>
        <vertAlign val="superscript"/>
        <sz val="10"/>
        <color indexed="8"/>
        <rFont val="Roboto"/>
        <charset val="204"/>
      </rPr>
      <t>4)</t>
    </r>
  </si>
  <si>
    <r>
      <rPr>
        <i/>
        <vertAlign val="superscript"/>
        <sz val="10"/>
        <color indexed="8"/>
        <rFont val="Roboto"/>
        <charset val="204"/>
      </rPr>
      <t>1)</t>
    </r>
    <r>
      <rPr>
        <i/>
        <sz val="10"/>
        <color indexed="8"/>
        <rFont val="Roboto"/>
        <charset val="204"/>
      </rPr>
      <t>According to the Almaty city branh of the RSE on REM "Republican e-Health center", for 2008-2010 and since 2014 according to the data of the Ministry of Health of the Republic of Kazakhstan.</t>
    </r>
  </si>
  <si>
    <r>
      <t>Estimation of nominal monetary income of population  average per capita of population</t>
    </r>
    <r>
      <rPr>
        <b/>
        <vertAlign val="superscript"/>
        <sz val="10"/>
        <color indexed="8"/>
        <rFont val="Roboto"/>
        <charset val="204"/>
      </rPr>
      <t>1)</t>
    </r>
  </si>
  <si>
    <r>
      <t>as a percentage of the previous year</t>
    </r>
    <r>
      <rPr>
        <b/>
        <vertAlign val="superscript"/>
        <sz val="10"/>
        <color indexed="8"/>
        <rFont val="Roboto"/>
        <charset val="204"/>
      </rPr>
      <t>1)</t>
    </r>
  </si>
  <si>
    <r>
      <t>Index of real monetary income of population in percentage terms to previous year</t>
    </r>
    <r>
      <rPr>
        <b/>
        <vertAlign val="superscript"/>
        <sz val="10"/>
        <color indexed="8"/>
        <rFont val="Roboto"/>
        <charset val="204"/>
      </rPr>
      <t>1)</t>
    </r>
  </si>
  <si>
    <r>
      <rPr>
        <i/>
        <vertAlign val="superscript"/>
        <sz val="10"/>
        <color indexed="8"/>
        <rFont val="Roboto"/>
        <charset val="204"/>
      </rPr>
      <t>2)</t>
    </r>
    <r>
      <rPr>
        <i/>
        <sz val="10"/>
        <color indexed="8"/>
        <rFont val="Roboto"/>
        <charset val="204"/>
      </rPr>
      <t xml:space="preserve"> Preliminary data </t>
    </r>
  </si>
  <si>
    <r>
      <t>Other categories of the employed population</t>
    </r>
    <r>
      <rPr>
        <vertAlign val="superscript"/>
        <sz val="10"/>
        <rFont val="Roboto"/>
        <charset val="204"/>
      </rPr>
      <t>1)</t>
    </r>
    <r>
      <rPr>
        <sz val="10"/>
        <rFont val="Roboto"/>
        <charset val="204"/>
      </rPr>
      <t xml:space="preserve"> (Self employed)</t>
    </r>
  </si>
  <si>
    <r>
      <t>The number of citizens registered as unemployed</t>
    </r>
    <r>
      <rPr>
        <b/>
        <vertAlign val="superscript"/>
        <sz val="10"/>
        <rFont val="Roboto"/>
        <charset val="204"/>
      </rPr>
      <t>4)</t>
    </r>
  </si>
  <si>
    <r>
      <t>Unemployment rate</t>
    </r>
    <r>
      <rPr>
        <b/>
        <vertAlign val="superscript"/>
        <sz val="10"/>
        <rFont val="Roboto"/>
        <charset val="204"/>
      </rPr>
      <t>2</t>
    </r>
    <r>
      <rPr>
        <vertAlign val="superscript"/>
        <sz val="10"/>
        <rFont val="Roboto"/>
        <charset val="204"/>
      </rPr>
      <t>)</t>
    </r>
  </si>
  <si>
    <r>
      <rPr>
        <i/>
        <vertAlign val="superscript"/>
        <sz val="10"/>
        <rFont val="Roboto"/>
        <charset val="204"/>
      </rPr>
      <t xml:space="preserve">2) </t>
    </r>
    <r>
      <rPr>
        <i/>
        <sz val="10"/>
        <rFont val="Roboto"/>
        <charset val="204"/>
      </rPr>
      <t>District data is generated once a year.</t>
    </r>
  </si>
  <si>
    <r>
      <rPr>
        <i/>
        <vertAlign val="superscript"/>
        <sz val="10"/>
        <rFont val="Roboto"/>
        <charset val="204"/>
      </rPr>
      <t>3)</t>
    </r>
    <r>
      <rPr>
        <i/>
        <sz val="10"/>
        <rFont val="Roboto"/>
        <charset val="204"/>
      </rPr>
      <t xml:space="preserve"> Since 2023, the age of attribution to youth is from 14 to 35 years.</t>
    </r>
  </si>
  <si>
    <r>
      <rPr>
        <i/>
        <vertAlign val="superscript"/>
        <sz val="10"/>
        <rFont val="Roboto"/>
        <charset val="204"/>
      </rPr>
      <t>4)</t>
    </r>
    <r>
      <rPr>
        <i/>
        <sz val="10"/>
        <rFont val="Roboto"/>
        <charset val="204"/>
      </rPr>
      <t xml:space="preserve"> According to the Department of Employment and Social Programs of the city of Almaty.</t>
    </r>
  </si>
  <si>
    <r>
      <t>2018</t>
    </r>
    <r>
      <rPr>
        <b/>
        <vertAlign val="superscript"/>
        <sz val="10"/>
        <color indexed="9"/>
        <rFont val="Roboto"/>
        <charset val="204"/>
      </rPr>
      <t>3)</t>
    </r>
  </si>
  <si>
    <r>
      <t>5,5</t>
    </r>
    <r>
      <rPr>
        <vertAlign val="superscript"/>
        <sz val="10"/>
        <color indexed="8"/>
        <rFont val="Roboto"/>
        <charset val="204"/>
      </rPr>
      <t>1</t>
    </r>
    <r>
      <rPr>
        <vertAlign val="superscript"/>
        <sz val="10"/>
        <rFont val="Roboto"/>
        <charset val="204"/>
      </rPr>
      <t>)</t>
    </r>
  </si>
  <si>
    <r>
      <t>51,9</t>
    </r>
    <r>
      <rPr>
        <vertAlign val="superscript"/>
        <sz val="10"/>
        <rFont val="Roboto"/>
        <charset val="204"/>
      </rPr>
      <t>1)</t>
    </r>
  </si>
  <si>
    <r>
      <t>4 860,2</t>
    </r>
    <r>
      <rPr>
        <vertAlign val="superscript"/>
        <sz val="10"/>
        <rFont val="Roboto"/>
        <charset val="204"/>
      </rPr>
      <t>3)</t>
    </r>
  </si>
  <si>
    <r>
      <t>4,9</t>
    </r>
    <r>
      <rPr>
        <vertAlign val="superscript"/>
        <sz val="10"/>
        <color indexed="8"/>
        <rFont val="Roboto"/>
        <charset val="204"/>
      </rPr>
      <t>2</t>
    </r>
    <r>
      <rPr>
        <vertAlign val="superscript"/>
        <sz val="10"/>
        <rFont val="Roboto"/>
        <charset val="204"/>
      </rPr>
      <t>)</t>
    </r>
  </si>
  <si>
    <r>
      <t>45,8</t>
    </r>
    <r>
      <rPr>
        <vertAlign val="superscript"/>
        <sz val="10"/>
        <color indexed="8"/>
        <rFont val="Roboto"/>
        <charset val="204"/>
      </rPr>
      <t>2</t>
    </r>
    <r>
      <rPr>
        <vertAlign val="superscript"/>
        <sz val="10"/>
        <rFont val="Roboto"/>
        <charset val="204"/>
      </rPr>
      <t>)</t>
    </r>
  </si>
  <si>
    <r>
      <t>1)</t>
    </r>
    <r>
      <rPr>
        <i/>
        <sz val="10"/>
        <color indexed="8"/>
        <rFont val="Roboto"/>
        <charset val="204"/>
      </rPr>
      <t xml:space="preserve"> In a billion rubles.</t>
    </r>
  </si>
  <si>
    <r>
      <rPr>
        <i/>
        <vertAlign val="superscript"/>
        <sz val="10"/>
        <color indexed="8"/>
        <rFont val="Roboto"/>
        <charset val="204"/>
      </rPr>
      <t xml:space="preserve">2) </t>
    </r>
    <r>
      <rPr>
        <i/>
        <sz val="10"/>
        <color indexed="8"/>
        <rFont val="Roboto"/>
        <charset val="204"/>
      </rPr>
      <t>In rubles.</t>
    </r>
  </si>
  <si>
    <r>
      <t>Industrial production volume</t>
    </r>
    <r>
      <rPr>
        <b/>
        <vertAlign val="superscript"/>
        <sz val="10"/>
        <rFont val="Roboto"/>
        <charset val="204"/>
      </rPr>
      <t>1)2)</t>
    </r>
  </si>
  <si>
    <r>
      <rPr>
        <i/>
        <vertAlign val="superscript"/>
        <sz val="10"/>
        <color indexed="8"/>
        <rFont val="Roboto"/>
        <charset val="204"/>
      </rPr>
      <t>1)</t>
    </r>
    <r>
      <rPr>
        <i/>
        <sz val="10"/>
        <color indexed="8"/>
        <rFont val="Roboto"/>
        <charset val="204"/>
      </rPr>
      <t>From-1991-2006-dynamic-series-recalculated-in-accordance-with-version-OKED-GC-RK-03-2007.</t>
    </r>
  </si>
  <si>
    <r>
      <rPr>
        <i/>
        <vertAlign val="superscript"/>
        <sz val="10"/>
        <color indexed="8"/>
        <rFont val="Roboto"/>
        <charset val="204"/>
      </rPr>
      <t>2)</t>
    </r>
    <r>
      <rPr>
        <i/>
        <sz val="10"/>
        <color indexed="8"/>
        <rFont val="Roboto"/>
        <charset val="204"/>
      </rPr>
      <t>The distribution of the volume of-households-by-districts-is not-provided-by-statistical-
observation-D-004-"Quarterly-questionnaire-on-expenditures-and incomes-of-households."</t>
    </r>
  </si>
  <si>
    <r>
      <t xml:space="preserve">Gross output of agricultural products (services) </t>
    </r>
    <r>
      <rPr>
        <b/>
        <vertAlign val="superscript"/>
        <sz val="10"/>
        <rFont val="Roboto"/>
        <charset val="204"/>
      </rPr>
      <t>1) 2)</t>
    </r>
  </si>
  <si>
    <r>
      <t>crop production</t>
    </r>
    <r>
      <rPr>
        <b/>
        <vertAlign val="superscript"/>
        <sz val="10"/>
        <rFont val="Roboto"/>
        <charset val="204"/>
      </rPr>
      <t>1) 2)</t>
    </r>
  </si>
  <si>
    <r>
      <t>livestock production</t>
    </r>
    <r>
      <rPr>
        <b/>
        <vertAlign val="superscript"/>
        <sz val="10"/>
        <rFont val="Roboto"/>
        <charset val="204"/>
      </rPr>
      <t>1) 2)</t>
    </r>
  </si>
  <si>
    <r>
      <t>Gross harvest of major agricultural crops</t>
    </r>
    <r>
      <rPr>
        <b/>
        <vertAlign val="superscript"/>
        <sz val="10"/>
        <rFont val="Roboto"/>
        <charset val="204"/>
      </rPr>
      <t>4)</t>
    </r>
  </si>
  <si>
    <r>
      <t xml:space="preserve">Livestock, at the end of the year </t>
    </r>
    <r>
      <rPr>
        <b/>
        <vertAlign val="superscript"/>
        <sz val="10"/>
        <rFont val="Roboto"/>
        <charset val="204"/>
      </rPr>
      <t>3)</t>
    </r>
  </si>
  <si>
    <r>
      <rPr>
        <i/>
        <vertAlign val="superscript"/>
        <sz val="10"/>
        <rFont val="Roboto"/>
        <charset val="204"/>
      </rPr>
      <t>1)</t>
    </r>
    <r>
      <rPr>
        <i/>
        <sz val="10"/>
        <rFont val="Roboto"/>
        <charset val="204"/>
      </rPr>
      <t>From-1991-2006-dynamic-series-recalculated-in-accordance-with-version-OKED-GC-RK-03-2007.</t>
    </r>
  </si>
  <si>
    <r>
      <rPr>
        <i/>
        <vertAlign val="superscript"/>
        <sz val="10"/>
        <rFont val="Roboto"/>
        <charset val="204"/>
      </rPr>
      <t xml:space="preserve">2) </t>
    </r>
    <r>
      <rPr>
        <i/>
        <sz val="10"/>
        <rFont val="Roboto"/>
        <charset val="204"/>
      </rPr>
      <t>СFrom-2010-to-2016-years-the data are formed in accordance with-"Methodology-calculation-of-gross-
output-of-products (services)-agriculture, forestry and fisheries", approved by the order-
Chairman-of-the-Committee-on-Statistics-of the Ministry of National-Economy-of-the-Republic-
of-Kazakhstan-dated November 9, 2015-No.-175.</t>
    </r>
  </si>
  <si>
    <r>
      <rPr>
        <i/>
        <vertAlign val="superscript"/>
        <sz val="10"/>
        <color indexed="8"/>
        <rFont val="Roboto"/>
        <charset val="204"/>
      </rPr>
      <t>3)</t>
    </r>
    <r>
      <rPr>
        <i/>
        <sz val="10"/>
        <color indexed="8"/>
        <rFont val="Roboto"/>
        <charset val="204"/>
      </rPr>
      <t xml:space="preserve">For 2013, 2014, the data were recalculated on the basis of administrative-territorial
transformations            </t>
    </r>
  </si>
  <si>
    <r>
      <rPr>
        <i/>
        <vertAlign val="superscript"/>
        <sz val="10"/>
        <rFont val="Roboto"/>
        <charset val="204"/>
      </rPr>
      <t>4)</t>
    </r>
    <r>
      <rPr>
        <i/>
        <sz val="10"/>
        <rFont val="Roboto"/>
        <charset val="204"/>
      </rPr>
      <t xml:space="preserve"> Data for 2018</t>
    </r>
  </si>
  <si>
    <r>
      <t>Scope of construction works</t>
    </r>
    <r>
      <rPr>
        <b/>
        <vertAlign val="superscript"/>
        <sz val="10"/>
        <rFont val="Roboto"/>
        <charset val="204"/>
      </rPr>
      <t>*</t>
    </r>
  </si>
  <si>
    <r>
      <t>RETAIL  TURNOVER</t>
    </r>
    <r>
      <rPr>
        <b/>
        <vertAlign val="superscript"/>
        <sz val="10"/>
        <color theme="0"/>
        <rFont val="Roboto"/>
        <charset val="204"/>
      </rPr>
      <t>1)</t>
    </r>
  </si>
  <si>
    <r>
      <t>1)</t>
    </r>
    <r>
      <rPr>
        <i/>
        <sz val="10"/>
        <color indexed="8"/>
        <rFont val="Roboto"/>
        <charset val="204"/>
      </rPr>
      <t xml:space="preserve"> from 1991-2006,the time series was recalculated in accordance with the version of the OCED of Civil Code of the Republic Kazakhstan</t>
    </r>
  </si>
  <si>
    <r>
      <rPr>
        <i/>
        <vertAlign val="superscript"/>
        <sz val="10"/>
        <rFont val="Roboto"/>
        <charset val="204"/>
      </rPr>
      <t xml:space="preserve">1) </t>
    </r>
    <r>
      <rPr>
        <i/>
        <sz val="10"/>
        <rFont val="Roboto"/>
        <charset val="204"/>
      </rPr>
      <t xml:space="preserve">The concepts and definitions are given in accordance with the Law of  «Social code of   the Republic of Kazakhstan », as well as in accordance with the standards and methodological approaches of the International Labor Organization (ILO)"
                                    </t>
    </r>
  </si>
  <si>
    <t>2024</t>
  </si>
  <si>
    <r>
      <t>2009</t>
    </r>
    <r>
      <rPr>
        <b/>
        <vertAlign val="superscript"/>
        <sz val="10"/>
        <color indexed="8"/>
        <rFont val="Roboto"/>
        <charset val="204"/>
      </rPr>
      <t>1)</t>
    </r>
  </si>
  <si>
    <r>
      <rPr>
        <i/>
        <vertAlign val="superscript"/>
        <sz val="10"/>
        <color indexed="8"/>
        <rFont val="Roboto"/>
        <charset val="204"/>
      </rPr>
      <t>1)</t>
    </r>
    <r>
      <rPr>
        <i/>
        <sz val="10"/>
        <color indexed="8"/>
        <rFont val="Roboto"/>
        <charset val="204"/>
      </rPr>
      <t xml:space="preserve">Data from 2009 has been recalculated due to the formation of new region.                                                                 </t>
    </r>
  </si>
  <si>
    <r>
      <t>2)</t>
    </r>
    <r>
      <rPr>
        <i/>
        <sz val="10"/>
        <color indexed="8"/>
        <rFont val="Roboto"/>
        <charset val="204"/>
      </rPr>
      <t xml:space="preserve">Accordindg to the Ministry of Health of the Republic of Kazakhstan.       </t>
    </r>
  </si>
  <si>
    <r>
      <t xml:space="preserve">3) </t>
    </r>
    <r>
      <rPr>
        <i/>
        <sz val="10"/>
        <color indexed="8"/>
        <rFont val="Roboto"/>
        <charset val="204"/>
      </rPr>
      <t>The data is based on registered divorces in the registration authorities without taking into account court decisions on termination (2021-2023).</t>
    </r>
  </si>
  <si>
    <r>
      <rPr>
        <vertAlign val="superscript"/>
        <sz val="10"/>
        <color indexed="8"/>
        <rFont val="Roboto"/>
        <charset val="204"/>
      </rPr>
      <t>4)</t>
    </r>
    <r>
      <rPr>
        <sz val="10"/>
        <color indexed="8"/>
        <rFont val="Roboto"/>
        <charset val="204"/>
      </rPr>
      <t xml:space="preserve"> From January </t>
    </r>
    <r>
      <rPr>
        <i/>
        <sz val="10"/>
        <color indexed="8"/>
        <rFont val="Roboto"/>
        <charset val="204"/>
      </rPr>
      <t>2020г.  without intracity migration.</t>
    </r>
  </si>
  <si>
    <t>148,6</t>
  </si>
  <si>
    <r>
      <rPr>
        <i/>
        <vertAlign val="superscript"/>
        <sz val="10"/>
        <color indexed="8"/>
        <rFont val="Roboto"/>
        <charset val="204"/>
      </rPr>
      <t>2)</t>
    </r>
    <r>
      <rPr>
        <i/>
        <sz val="10"/>
        <color indexed="8"/>
        <rFont val="Roboto"/>
        <charset val="204"/>
      </rPr>
      <t xml:space="preserve">Since 2014, according to the Ministry of Education of te Republic of Kazakhstan. </t>
    </r>
  </si>
  <si>
    <r>
      <rPr>
        <i/>
        <vertAlign val="superscript"/>
        <sz val="10"/>
        <color indexed="8"/>
        <rFont val="Roboto"/>
        <charset val="204"/>
      </rPr>
      <t>3)</t>
    </r>
    <r>
      <rPr>
        <i/>
        <sz val="10"/>
        <color indexed="8"/>
        <rFont val="Roboto"/>
        <charset val="204"/>
      </rPr>
      <t>From the beginning of the 2022|2023 academic year,the number of educational institutions with branche.</t>
    </r>
  </si>
  <si>
    <r>
      <rPr>
        <i/>
        <vertAlign val="superscript"/>
        <sz val="10"/>
        <color indexed="8"/>
        <rFont val="Roboto"/>
        <charset val="204"/>
      </rPr>
      <t>4)</t>
    </r>
    <r>
      <rPr>
        <i/>
        <sz val="10"/>
        <color indexed="8"/>
        <rFont val="Roboto"/>
        <charset val="204"/>
      </rPr>
      <t xml:space="preserve">According to the Department of the Committee on Legal Statistics and Special Accounts of the General Prosecutor's Office of the Republic of Kazakhstan in Almaty.
</t>
    </r>
  </si>
  <si>
    <t>99,7</t>
  </si>
  <si>
    <t>30 494</t>
  </si>
  <si>
    <t>*since 1991 to 2005 the dynamic series has been recalculated in accordance with the version of the general classification of economic activities of the CC of the Republic of kazakhstan 03-2007</t>
  </si>
  <si>
    <t>98,8</t>
  </si>
  <si>
    <t>December 2025</t>
  </si>
  <si>
    <t>January 2026</t>
  </si>
  <si>
    <t>103,4</t>
  </si>
  <si>
    <t>71,5</t>
  </si>
  <si>
    <t>90,4</t>
  </si>
  <si>
    <t>70 049,4</t>
  </si>
  <si>
    <t>2026 January</t>
  </si>
  <si>
    <t>January 
2026</t>
  </si>
  <si>
    <t>January
2026</t>
  </si>
  <si>
    <t>January-February 2026</t>
  </si>
  <si>
    <t>101,0</t>
  </si>
  <si>
    <t>115,5</t>
  </si>
  <si>
    <t>84,2</t>
  </si>
  <si>
    <t>93,1</t>
  </si>
  <si>
    <t>131 874,6</t>
  </si>
  <si>
    <t>January-February 
2026</t>
  </si>
  <si>
    <t>January-February
2026</t>
  </si>
  <si>
    <t>February 2026</t>
  </si>
  <si>
    <t>2025</t>
  </si>
  <si>
    <t>January-March 2026</t>
  </si>
  <si>
    <t>120,1</t>
  </si>
  <si>
    <t>88,8</t>
  </si>
  <si>
    <t>95,6</t>
  </si>
  <si>
    <t>January-March 
2026</t>
  </si>
  <si>
    <t>January-March
2026</t>
  </si>
  <si>
    <t>March 2026</t>
  </si>
  <si>
    <t>January-April 2026</t>
  </si>
  <si>
    <t>121,9</t>
  </si>
  <si>
    <t>89,1</t>
  </si>
  <si>
    <t>January-April 
2026</t>
  </si>
  <si>
    <t>January-April
2026</t>
  </si>
  <si>
    <t xml:space="preserve"> І quarter of 2026y</t>
  </si>
  <si>
    <t>January-March of 2026</t>
  </si>
  <si>
    <t>April 2026</t>
  </si>
  <si>
    <t>122,8</t>
  </si>
  <si>
    <t>January-May 2026</t>
  </si>
  <si>
    <t>97,5</t>
  </si>
  <si>
    <t>122,2</t>
  </si>
  <si>
    <t>91,4</t>
  </si>
  <si>
    <t>January-May
2026</t>
  </si>
  <si>
    <t>May 2026</t>
  </si>
  <si>
    <t>13  252</t>
  </si>
  <si>
    <t xml:space="preserve"> 2025</t>
  </si>
  <si>
    <t>1 quarter 2026</t>
  </si>
  <si>
    <t>Share of NEET youth ( aged 15-34)</t>
  </si>
  <si>
    <r>
      <t>Youth unemployment rate (aged 15-34)</t>
    </r>
    <r>
      <rPr>
        <b/>
        <vertAlign val="superscript"/>
        <sz val="10"/>
        <rFont val="Roboto"/>
        <charset val="204"/>
      </rPr>
      <t>2)3)</t>
    </r>
  </si>
  <si>
    <t>102,9</t>
  </si>
  <si>
    <t>795 049,1</t>
  </si>
  <si>
    <t>3 647,8</t>
  </si>
  <si>
    <t>3 482,8</t>
  </si>
  <si>
    <r>
      <rPr>
        <i/>
        <vertAlign val="superscript"/>
        <sz val="9"/>
        <rFont val="Roboto"/>
        <charset val="204"/>
      </rPr>
      <t>4)</t>
    </r>
    <r>
      <rPr>
        <i/>
        <sz val="9"/>
        <rFont val="Roboto"/>
        <charset val="204"/>
      </rPr>
      <t xml:space="preserve"> according to preliminary data</t>
    </r>
  </si>
  <si>
    <t>2021г.</t>
  </si>
  <si>
    <t>2022г.</t>
  </si>
  <si>
    <t>2024г.</t>
  </si>
  <si>
    <r>
      <t>2025г.</t>
    </r>
    <r>
      <rPr>
        <b/>
        <vertAlign val="superscript"/>
        <sz val="10"/>
        <color theme="0"/>
        <rFont val="Roboto"/>
        <charset val="204"/>
      </rPr>
      <t>4)</t>
    </r>
  </si>
  <si>
    <r>
      <rPr>
        <i/>
        <vertAlign val="superscript"/>
        <sz val="10"/>
        <rFont val="Roboto"/>
        <charset val="204"/>
      </rPr>
      <t>3)</t>
    </r>
    <r>
      <rPr>
        <i/>
        <sz val="10"/>
        <rFont val="Roboto"/>
        <charset val="204"/>
      </rPr>
      <t xml:space="preserve"> Since 2018, calculations have been made in accordance with the new Methodology for assessing the unobserved economy, registered with the Ministry of Justice of the Republic of Kazakhstan №19215 dated August 8, 2019.</t>
    </r>
  </si>
  <si>
    <t>June 2026</t>
  </si>
  <si>
    <t>January-June 2026</t>
  </si>
  <si>
    <t>2 quarter 2026</t>
  </si>
  <si>
    <t xml:space="preserve">  І quarter of 2026 y</t>
  </si>
  <si>
    <t>1) Data for the 2 nd quarter of 2026 will be generated in October the current year</t>
  </si>
  <si>
    <t>115,2</t>
  </si>
  <si>
    <t>January-Jyne 2026</t>
  </si>
  <si>
    <t>13 672,4</t>
  </si>
  <si>
    <t>31 012,9</t>
  </si>
  <si>
    <t>January-June
2026</t>
  </si>
  <si>
    <t xml:space="preserve"> 2,5 times</t>
  </si>
  <si>
    <t xml:space="preserve"> 2,1 times</t>
  </si>
  <si>
    <t>2,5 times</t>
  </si>
  <si>
    <t xml:space="preserve"> -</t>
  </si>
  <si>
    <t>9 times</t>
  </si>
  <si>
    <t>3 times</t>
  </si>
  <si>
    <t>118,2</t>
  </si>
  <si>
    <t>23,4 times</t>
  </si>
  <si>
    <t>July  2026</t>
  </si>
  <si>
    <t>January-July 2026</t>
  </si>
  <si>
    <t>January-July
2026</t>
  </si>
  <si>
    <t xml:space="preserve"> ІІ quarter of 2026y</t>
  </si>
  <si>
    <t>127,3</t>
  </si>
  <si>
    <r>
      <t>January-March 2026.</t>
    </r>
    <r>
      <rPr>
        <b/>
        <vertAlign val="superscript"/>
        <sz val="10"/>
        <color theme="0"/>
        <rFont val="Roboto"/>
        <charset val="204"/>
      </rPr>
      <t>3)</t>
    </r>
  </si>
  <si>
    <t>2026 January- June</t>
  </si>
  <si>
    <t>2026 January- February</t>
  </si>
  <si>
    <t>2026 January- March</t>
  </si>
  <si>
    <t>2026 January- April</t>
  </si>
  <si>
    <t>2026 January- May</t>
  </si>
  <si>
    <t>2026 January- July</t>
  </si>
  <si>
    <t>Update date August 18,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</si>
</sst>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164" formatCode="_-* #,##0.00_р_._-;\-* #,##0.00_р_._-;_-* &quot;-&quot;??_р_._-;_-@_-"/>
    <numFmt numFmtId="165" formatCode="#,##0.0000"/>
    <numFmt numFmtId="166" formatCode="#,##0.0"/>
    <numFmt numFmtId="167" formatCode="0.0"/>
    <numFmt numFmtId="168" formatCode="_-* #,##0.0_р_._-;\-* #,##0.0_р_._-;_-* &quot;-&quot;??_р_._-;_-@_-"/>
    <numFmt numFmtId="169" formatCode="_-* #,##0_р_._-;\-* #,##0_р_._-;_-* &quot;-&quot;??_р_._-;_-@_-"/>
    <numFmt numFmtId="170" formatCode="0;[Red]0"/>
    <numFmt numFmtId="171" formatCode="0.0;[Red]0.0"/>
    <numFmt numFmtId="172" formatCode="###\ ###\ ###\ ##0"/>
    <numFmt numFmtId="173" formatCode="###\ ###\ ###\ ##0.0"/>
    <numFmt numFmtId="174" formatCode="#,##0_р_.;[Red]#,##0_р_."/>
    <numFmt numFmtId="175" formatCode="###,###,##0"/>
    <numFmt numFmtId="176" formatCode="#,##0;[Red]#,##0"/>
    <numFmt numFmtId="177" formatCode="###.##0"/>
    <numFmt numFmtId="178" formatCode="###.##"/>
    <numFmt numFmtId="179" formatCode="###\ ###\ ###\ ###\ ##0.0"/>
    <numFmt numFmtId="180" formatCode="#,##0.0;[Red]#,##0.0"/>
    <numFmt numFmtId="181" formatCode="#,##0_р_."/>
    <numFmt numFmtId="182" formatCode="#,##0.00_р_."/>
    <numFmt numFmtId="183" formatCode="#,##0.0_р_."/>
    <numFmt numFmtId="184" formatCode="#,##0.#"/>
    <numFmt numFmtId="185" formatCode="###.#"/>
  </numFmts>
  <fonts count="80">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indexed="8"/>
      <name val="Calibri"/>
      <family val="2"/>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ont>
    <font>
      <sz val="8"/>
      <name val="Arial Cyr"/>
      <charset val="204"/>
    </font>
    <font>
      <sz val="11"/>
      <color theme="1"/>
      <name val="Calibri"/>
      <family val="2"/>
      <charset val="204"/>
      <scheme val="minor"/>
    </font>
    <font>
      <sz val="10"/>
      <color indexed="10"/>
      <name val="Roboto"/>
      <charset val="204"/>
    </font>
    <font>
      <sz val="10"/>
      <name val="Roboto"/>
      <charset val="204"/>
    </font>
    <font>
      <b/>
      <vertAlign val="superscript"/>
      <sz val="10"/>
      <color theme="0"/>
      <name val="Roboto"/>
      <charset val="204"/>
    </font>
    <font>
      <sz val="10"/>
      <color indexed="8"/>
      <name val="Roboto"/>
      <charset val="204"/>
    </font>
    <font>
      <sz val="10"/>
      <color theme="1"/>
      <name val="Roboto"/>
      <charset val="204"/>
    </font>
    <font>
      <b/>
      <sz val="10"/>
      <color indexed="8"/>
      <name val="Roboto"/>
      <charset val="204"/>
    </font>
    <font>
      <b/>
      <sz val="10"/>
      <name val="Roboto"/>
      <charset val="204"/>
    </font>
    <font>
      <b/>
      <i/>
      <sz val="10"/>
      <color indexed="8"/>
      <name val="Roboto"/>
      <charset val="204"/>
    </font>
    <font>
      <sz val="11"/>
      <color indexed="8"/>
      <name val="Roboto"/>
      <charset val="204"/>
    </font>
    <font>
      <b/>
      <sz val="12"/>
      <color indexed="10"/>
      <name val="Roboto"/>
      <charset val="204"/>
    </font>
    <font>
      <b/>
      <vertAlign val="superscript"/>
      <sz val="10"/>
      <color indexed="8"/>
      <name val="Roboto"/>
      <charset val="204"/>
    </font>
    <font>
      <b/>
      <strike/>
      <sz val="10"/>
      <name val="Roboto"/>
      <charset val="204"/>
    </font>
    <font>
      <i/>
      <sz val="10"/>
      <color indexed="8"/>
      <name val="Roboto"/>
      <charset val="204"/>
    </font>
    <font>
      <i/>
      <vertAlign val="superscript"/>
      <sz val="10"/>
      <color indexed="8"/>
      <name val="Roboto"/>
      <charset val="204"/>
    </font>
    <font>
      <vertAlign val="superscript"/>
      <sz val="10"/>
      <color indexed="8"/>
      <name val="Roboto"/>
      <charset val="204"/>
    </font>
    <font>
      <i/>
      <sz val="10"/>
      <color indexed="10"/>
      <name val="Roboto"/>
      <charset val="204"/>
    </font>
    <font>
      <vertAlign val="superscript"/>
      <sz val="10"/>
      <name val="Roboto"/>
      <charset val="204"/>
    </font>
    <font>
      <b/>
      <sz val="10"/>
      <color rgb="FFFF0000"/>
      <name val="Roboto"/>
      <charset val="204"/>
    </font>
    <font>
      <sz val="9"/>
      <name val="Roboto"/>
      <charset val="204"/>
    </font>
    <font>
      <b/>
      <vertAlign val="superscript"/>
      <sz val="10"/>
      <name val="Roboto"/>
      <charset val="204"/>
    </font>
    <font>
      <sz val="8"/>
      <name val="Roboto"/>
      <charset val="204"/>
    </font>
    <font>
      <i/>
      <sz val="10"/>
      <name val="Roboto"/>
      <charset val="204"/>
    </font>
    <font>
      <i/>
      <vertAlign val="superscript"/>
      <sz val="10"/>
      <name val="Roboto"/>
      <charset val="204"/>
    </font>
    <font>
      <b/>
      <sz val="10"/>
      <color indexed="9"/>
      <name val="Roboto"/>
      <charset val="204"/>
    </font>
    <font>
      <b/>
      <vertAlign val="superscript"/>
      <sz val="10"/>
      <color indexed="9"/>
      <name val="Roboto"/>
      <charset val="204"/>
    </font>
    <font>
      <b/>
      <sz val="10"/>
      <color theme="0"/>
      <name val="Roboto"/>
      <charset val="204"/>
    </font>
    <font>
      <sz val="10"/>
      <color indexed="9"/>
      <name val="Roboto"/>
      <charset val="204"/>
    </font>
    <font>
      <sz val="10"/>
      <color indexed="18"/>
      <name val="Roboto"/>
      <charset val="204"/>
    </font>
    <font>
      <sz val="10"/>
      <color rgb="FF000000"/>
      <name val="Roboto"/>
      <charset val="204"/>
    </font>
    <font>
      <b/>
      <sz val="12"/>
      <name val="Roboto"/>
      <charset val="204"/>
    </font>
    <font>
      <sz val="10"/>
      <name val="Calibri"/>
      <family val="2"/>
      <charset val="204"/>
    </font>
    <font>
      <b/>
      <sz val="20"/>
      <color indexed="8"/>
      <name val="Roboto"/>
      <charset val="204"/>
    </font>
    <font>
      <b/>
      <sz val="10"/>
      <color indexed="8"/>
      <name val="Calibri"/>
      <family val="2"/>
      <charset val="204"/>
    </font>
    <font>
      <sz val="8"/>
      <color theme="1"/>
      <name val="Roboto"/>
      <charset val="204"/>
    </font>
    <font>
      <i/>
      <sz val="10"/>
      <color indexed="8"/>
      <name val="Calibri"/>
      <family val="2"/>
      <charset val="204"/>
    </font>
    <font>
      <b/>
      <sz val="9"/>
      <color indexed="81"/>
      <name val="Tahoma"/>
      <family val="2"/>
      <charset val="204"/>
    </font>
    <font>
      <sz val="9"/>
      <color indexed="81"/>
      <name val="Tahoma"/>
      <family val="2"/>
      <charset val="204"/>
    </font>
    <font>
      <sz val="8"/>
      <color indexed="8"/>
      <name val="Roboto"/>
      <charset val="204"/>
    </font>
    <font>
      <sz val="10"/>
      <color indexed="10"/>
      <name val="Calibri"/>
      <family val="2"/>
      <charset val="204"/>
    </font>
    <font>
      <b/>
      <sz val="10"/>
      <color indexed="8"/>
      <name val="Roboto"/>
      <charset val="204"/>
    </font>
    <font>
      <sz val="10"/>
      <name val="Roboto"/>
      <charset val="204"/>
    </font>
    <font>
      <sz val="10"/>
      <color indexed="8"/>
      <name val="Roboto"/>
      <charset val="204"/>
    </font>
    <font>
      <b/>
      <sz val="10"/>
      <color indexed="9"/>
      <name val="Roboto"/>
      <charset val="204"/>
    </font>
    <font>
      <sz val="10"/>
      <name val="KZ Arial Cyr"/>
      <family val="2"/>
      <charset val="204"/>
    </font>
    <font>
      <sz val="10"/>
      <name val="  6 361,5"/>
      <charset val="1"/>
    </font>
    <font>
      <sz val="10"/>
      <color indexed="8"/>
      <name val="Calibri"/>
      <family val="2"/>
      <charset val="204"/>
    </font>
    <font>
      <i/>
      <sz val="9"/>
      <name val="Roboto"/>
      <charset val="204"/>
    </font>
    <font>
      <i/>
      <vertAlign val="superscript"/>
      <sz val="9"/>
      <name val="Roboto"/>
      <charset val="204"/>
    </font>
    <font>
      <sz val="12"/>
      <name val="Roboto"/>
      <charset val="204"/>
    </font>
    <font>
      <sz val="10"/>
      <name val="Rovoto"/>
      <charset val="204"/>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30"/>
        <bgColor indexed="64"/>
      </patternFill>
    </fill>
    <fill>
      <patternFill patternType="solid">
        <fgColor indexed="62"/>
        <bgColor indexed="64"/>
      </patternFill>
    </fill>
    <fill>
      <patternFill patternType="solid">
        <fgColor indexed="25"/>
        <bgColor indexed="64"/>
      </patternFill>
    </fill>
    <fill>
      <patternFill patternType="solid">
        <fgColor indexed="61"/>
        <bgColor indexed="64"/>
      </patternFill>
    </fill>
    <fill>
      <patternFill patternType="solid">
        <fgColor indexed="29"/>
        <bgColor indexed="64"/>
      </patternFill>
    </fill>
    <fill>
      <patternFill patternType="solid">
        <fgColor indexed="10"/>
        <bgColor indexed="64"/>
      </patternFill>
    </fill>
    <fill>
      <patternFill patternType="solid">
        <fgColor indexed="49"/>
        <bgColor indexed="64"/>
      </patternFill>
    </fill>
    <fill>
      <patternFill patternType="solid">
        <fgColor theme="0"/>
        <bgColor indexed="64"/>
      </patternFill>
    </fill>
    <fill>
      <patternFill patternType="solid">
        <fgColor rgb="FFFF0000"/>
        <bgColor indexed="64"/>
      </patternFill>
    </fill>
  </fills>
  <borders count="11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408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19" fillId="21" borderId="7"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10" fillId="0" borderId="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4" fontId="7"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7" fillId="23" borderId="8" applyNumberFormat="0" applyFont="0" applyAlignment="0" applyProtection="0"/>
    <xf numFmtId="0" fontId="7" fillId="0" borderId="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7" fillId="23" borderId="8" applyNumberFormat="0" applyFont="0" applyAlignment="0" applyProtection="0"/>
    <xf numFmtId="0" fontId="7" fillId="0" borderId="0"/>
    <xf numFmtId="164" fontId="8" fillId="0" borderId="0" applyFont="0" applyFill="0" applyBorder="0" applyAlignment="0" applyProtection="0"/>
    <xf numFmtId="164" fontId="7" fillId="0" borderId="0" applyFont="0" applyFill="0" applyBorder="0" applyAlignment="0" applyProtection="0"/>
    <xf numFmtId="0" fontId="7" fillId="0" borderId="0"/>
    <xf numFmtId="0" fontId="7" fillId="23" borderId="8" applyNumberFormat="0" applyFont="0" applyAlignment="0" applyProtection="0"/>
    <xf numFmtId="0" fontId="7" fillId="0" borderId="0"/>
    <xf numFmtId="0" fontId="29"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0" borderId="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23" borderId="8" applyNumberFormat="0" applyFont="0" applyAlignment="0" applyProtection="0"/>
    <xf numFmtId="0" fontId="7" fillId="23" borderId="8" applyNumberFormat="0" applyFont="0" applyAlignment="0" applyProtection="0"/>
    <xf numFmtId="164" fontId="7" fillId="0" borderId="0" applyFont="0" applyFill="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2" fillId="7" borderId="26"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3" fillId="20" borderId="27"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4" fillId="20" borderId="26" applyNumberFormat="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3" fillId="20" borderId="2"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7" fillId="23" borderId="29" applyNumberFormat="0" applyFon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18" fillId="0" borderId="32" applyNumberFormat="0" applyFill="0" applyAlignment="0" applyProtection="0"/>
    <xf numFmtId="0" fontId="18" fillId="0" borderId="32" applyNumberFormat="0" applyFill="0" applyAlignment="0" applyProtection="0"/>
    <xf numFmtId="0" fontId="14" fillId="20" borderId="30" applyNumberFormat="0" applyAlignment="0" applyProtection="0"/>
    <xf numFmtId="0" fontId="14" fillId="20" borderId="30" applyNumberFormat="0" applyAlignment="0" applyProtection="0"/>
    <xf numFmtId="0" fontId="13" fillId="20" borderId="31" applyNumberFormat="0" applyAlignment="0" applyProtection="0"/>
    <xf numFmtId="0" fontId="13" fillId="20" borderId="31"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0" borderId="38" applyNumberFormat="0" applyFill="0" applyAlignment="0" applyProtection="0"/>
    <xf numFmtId="0" fontId="7" fillId="23" borderId="39" applyNumberFormat="0" applyFont="0" applyAlignment="0" applyProtection="0"/>
    <xf numFmtId="0" fontId="18" fillId="0" borderId="38"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3" fillId="20" borderId="41"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6" applyNumberFormat="0" applyAlignment="0" applyProtection="0"/>
    <xf numFmtId="0" fontId="14" fillId="20" borderId="36" applyNumberFormat="0" applyAlignment="0" applyProtection="0"/>
    <xf numFmtId="0" fontId="6" fillId="0" borderId="0"/>
    <xf numFmtId="0" fontId="13" fillId="20" borderId="37" applyNumberFormat="0" applyAlignment="0" applyProtection="0"/>
    <xf numFmtId="0" fontId="13" fillId="20" borderId="37" applyNumberFormat="0" applyAlignment="0" applyProtection="0"/>
    <xf numFmtId="0" fontId="12" fillId="7" borderId="36" applyNumberFormat="0" applyAlignment="0" applyProtection="0"/>
    <xf numFmtId="0" fontId="12" fillId="7" borderId="36"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6" fillId="0" borderId="0"/>
    <xf numFmtId="0" fontId="7" fillId="0" borderId="0"/>
    <xf numFmtId="0" fontId="8" fillId="0" borderId="0"/>
    <xf numFmtId="0" fontId="7"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3" fillId="20" borderId="41" applyNumberFormat="0" applyAlignment="0" applyProtection="0"/>
    <xf numFmtId="0" fontId="14" fillId="20" borderId="40" applyNumberFormat="0" applyAlignment="0" applyProtection="0"/>
    <xf numFmtId="0" fontId="18" fillId="0" borderId="42" applyNumberFormat="0" applyFill="0" applyAlignment="0" applyProtection="0"/>
    <xf numFmtId="0" fontId="12" fillId="7" borderId="40"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6" fillId="0" borderId="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39" applyNumberFormat="0" applyFon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6" fillId="0" borderId="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3" fillId="20" borderId="41"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2" fillId="7"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2" fillId="7" borderId="36"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3" fillId="20" borderId="37"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4" fillId="20" borderId="36" applyNumberFormat="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18" fillId="0" borderId="38"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2" fillId="7" borderId="30"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3" fillId="20" borderId="31"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4" fillId="20" borderId="30" applyNumberFormat="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18" fillId="0" borderId="32" applyNumberFormat="0" applyFill="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42" applyNumberFormat="0" applyFill="0" applyAlignment="0" applyProtection="0"/>
    <xf numFmtId="0" fontId="7" fillId="23" borderId="43" applyNumberFormat="0" applyFont="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0" applyNumberFormat="0" applyAlignment="0" applyProtection="0"/>
    <xf numFmtId="0" fontId="14" fillId="20" borderId="40" applyNumberFormat="0" applyAlignment="0" applyProtection="0"/>
    <xf numFmtId="0" fontId="5" fillId="0" borderId="0"/>
    <xf numFmtId="0" fontId="13" fillId="20" borderId="41" applyNumberFormat="0" applyAlignment="0" applyProtection="0"/>
    <xf numFmtId="0" fontId="13" fillId="20" borderId="41"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5" fillId="0" borderId="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0" borderId="0"/>
    <xf numFmtId="0" fontId="28" fillId="0" borderId="0"/>
    <xf numFmtId="0" fontId="4" fillId="0" borderId="0"/>
    <xf numFmtId="0" fontId="28" fillId="0" borderId="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2" fillId="7" borderId="49"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4" fillId="20" borderId="49" applyNumberFormat="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18" fillId="0" borderId="51" applyNumberFormat="0" applyFill="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7" fillId="23" borderId="52" applyNumberFormat="0" applyFont="0" applyAlignment="0" applyProtection="0"/>
    <xf numFmtId="0" fontId="28" fillId="0" borderId="0"/>
    <xf numFmtId="0" fontId="3" fillId="0" borderId="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4" fillId="20" borderId="40" applyNumberFormat="0" applyAlignment="0" applyProtection="0"/>
    <xf numFmtId="0" fontId="14" fillId="20" borderId="40" applyNumberFormat="0" applyAlignment="0" applyProtection="0"/>
    <xf numFmtId="0" fontId="13" fillId="20" borderId="50" applyNumberFormat="0" applyAlignment="0" applyProtection="0"/>
    <xf numFmtId="0" fontId="13" fillId="20" borderId="5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3" fillId="20" borderId="5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8" fillId="0" borderId="59" applyNumberFormat="0" applyFill="0" applyAlignment="0" applyProtection="0"/>
    <xf numFmtId="0" fontId="7" fillId="23" borderId="60" applyNumberFormat="0" applyFont="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4" fillId="20" borderId="57" applyNumberFormat="0" applyAlignment="0" applyProtection="0"/>
    <xf numFmtId="0" fontId="14" fillId="20" borderId="57" applyNumberFormat="0" applyAlignment="0" applyProtection="0"/>
    <xf numFmtId="0" fontId="3" fillId="0" borderId="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3" fillId="20" borderId="58" applyNumberFormat="0" applyAlignment="0" applyProtection="0"/>
    <xf numFmtId="0" fontId="14" fillId="20" borderId="57" applyNumberFormat="0" applyAlignment="0" applyProtection="0"/>
    <xf numFmtId="0" fontId="18" fillId="0" borderId="59" applyNumberFormat="0" applyFill="0" applyAlignment="0" applyProtection="0"/>
    <xf numFmtId="0" fontId="12" fillId="7" borderId="57"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3" fillId="0" borderId="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3" fillId="20" borderId="58" applyNumberForma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7" fillId="23" borderId="60"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164" fontId="8" fillId="0" borderId="0" applyFont="0" applyFill="0" applyBorder="0" applyAlignment="0" applyProtection="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2" fillId="7" borderId="57"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3" fillId="20" borderId="58"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4" fillId="20" borderId="57" applyNumberFormat="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18" fillId="0" borderId="59"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 fillId="0" borderId="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2" fillId="7" borderId="40"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3" fillId="20" borderId="41"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4" fillId="20" borderId="40" applyNumberFormat="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3" fillId="20" borderId="79"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4" fillId="20" borderId="78" applyNumberFormat="0" applyAlignment="0" applyProtection="0"/>
    <xf numFmtId="0" fontId="14" fillId="20" borderId="78" applyNumberFormat="0" applyAlignment="0" applyProtection="0"/>
    <xf numFmtId="0" fontId="1" fillId="0" borderId="0"/>
    <xf numFmtId="0" fontId="13" fillId="20" borderId="79"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2" fillId="7" borderId="78"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8" fillId="0" borderId="80" applyNumberFormat="0" applyFill="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 fillId="0" borderId="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3" fillId="20" borderId="79" applyNumberForma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2" fillId="7"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2" fillId="7" borderId="78"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3" fillId="20" borderId="79"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4" fillId="20" borderId="78" applyNumberFormat="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18" fillId="0" borderId="80" applyNumberFormat="0" applyFill="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7" fillId="23" borderId="81" applyNumberFormat="0" applyFon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2" fillId="7" borderId="83"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3" fillId="20" borderId="84"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4" fillId="20" borderId="83" applyNumberFormat="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18" fillId="0" borderId="85" applyNumberFormat="0" applyFill="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7" fillId="23" borderId="86"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3" fillId="20" borderId="103"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4" fillId="20" borderId="102"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2" fillId="7" borderId="102"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8" fillId="0" borderId="104" applyNumberFormat="0" applyFill="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3" fillId="20" borderId="103" applyNumberForma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2" fillId="7"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2" fillId="7" borderId="102"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3" fillId="20" borderId="103"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4" fillId="20" borderId="102" applyNumberFormat="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18" fillId="0" borderId="104" applyNumberFormat="0" applyFill="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23" borderId="99" applyNumberFormat="0" applyFont="0" applyAlignment="0" applyProtection="0"/>
    <xf numFmtId="0" fontId="7" fillId="0" borderId="0"/>
  </cellStyleXfs>
  <cellXfs count="1124">
    <xf numFmtId="0" fontId="0" fillId="0" borderId="0" xfId="0"/>
    <xf numFmtId="0" fontId="30" fillId="0" borderId="75" xfId="0" applyFont="1" applyFill="1" applyBorder="1"/>
    <xf numFmtId="0" fontId="31" fillId="0" borderId="0" xfId="0" applyFont="1" applyFill="1" applyBorder="1"/>
    <xf numFmtId="167" fontId="31" fillId="0" borderId="75" xfId="0" applyNumberFormat="1" applyFont="1" applyFill="1" applyBorder="1"/>
    <xf numFmtId="0" fontId="31" fillId="0" borderId="75" xfId="0" applyFont="1" applyFill="1" applyBorder="1"/>
    <xf numFmtId="3" fontId="33" fillId="0" borderId="75" xfId="0" applyNumberFormat="1" applyFont="1" applyFill="1" applyBorder="1" applyAlignment="1">
      <alignment horizontal="right" wrapText="1"/>
    </xf>
    <xf numFmtId="166" fontId="31" fillId="0" borderId="75" xfId="0" applyNumberFormat="1" applyFont="1" applyFill="1" applyBorder="1"/>
    <xf numFmtId="3" fontId="33" fillId="0" borderId="82" xfId="0" applyNumberFormat="1" applyFont="1" applyFill="1" applyBorder="1" applyAlignment="1">
      <alignment horizontal="right" wrapText="1"/>
    </xf>
    <xf numFmtId="0" fontId="31" fillId="0" borderId="82" xfId="0" applyFont="1" applyFill="1" applyBorder="1"/>
    <xf numFmtId="0" fontId="31" fillId="0" borderId="87" xfId="0" applyFont="1" applyFill="1" applyBorder="1"/>
    <xf numFmtId="167" fontId="31" fillId="0" borderId="87" xfId="0" applyNumberFormat="1" applyFont="1" applyFill="1" applyBorder="1"/>
    <xf numFmtId="0" fontId="31" fillId="0" borderId="0" xfId="0" applyFont="1" applyFill="1"/>
    <xf numFmtId="0" fontId="31" fillId="0" borderId="87" xfId="0" applyFont="1" applyFill="1" applyBorder="1" applyAlignment="1">
      <alignment horizontal="right"/>
    </xf>
    <xf numFmtId="0" fontId="31" fillId="33" borderId="87" xfId="0" applyFont="1" applyFill="1" applyBorder="1"/>
    <xf numFmtId="0" fontId="35" fillId="25" borderId="87" xfId="0" applyFont="1" applyFill="1" applyBorder="1" applyAlignment="1">
      <alignment horizontal="center" vertical="center" wrapText="1"/>
    </xf>
    <xf numFmtId="0" fontId="31" fillId="0" borderId="0" xfId="0" applyFont="1"/>
    <xf numFmtId="0" fontId="31" fillId="0" borderId="89" xfId="0" applyFont="1" applyFill="1" applyBorder="1"/>
    <xf numFmtId="49" fontId="36" fillId="32" borderId="87" xfId="0" applyNumberFormat="1" applyFont="1" applyFill="1" applyBorder="1" applyAlignment="1">
      <alignment horizontal="center" vertical="center" wrapText="1"/>
    </xf>
    <xf numFmtId="0" fontId="31" fillId="0" borderId="87" xfId="0" applyFont="1" applyBorder="1"/>
    <xf numFmtId="167" fontId="31" fillId="0" borderId="87" xfId="0" applyNumberFormat="1" applyFont="1" applyBorder="1"/>
    <xf numFmtId="0" fontId="30" fillId="0" borderId="14" xfId="0" applyFont="1" applyBorder="1"/>
    <xf numFmtId="0" fontId="31" fillId="0" borderId="45" xfId="0" applyFont="1" applyBorder="1"/>
    <xf numFmtId="0" fontId="37" fillId="0" borderId="14" xfId="0" applyFont="1" applyBorder="1" applyAlignment="1">
      <alignment horizontal="center" wrapText="1"/>
    </xf>
    <xf numFmtId="0" fontId="33" fillId="0" borderId="14" xfId="0" applyFont="1" applyBorder="1"/>
    <xf numFmtId="0" fontId="31" fillId="0" borderId="14" xfId="0" applyFont="1" applyBorder="1"/>
    <xf numFmtId="0" fontId="35" fillId="0" borderId="14" xfId="0" applyFont="1" applyBorder="1" applyAlignment="1">
      <alignment horizontal="right"/>
    </xf>
    <xf numFmtId="0" fontId="35" fillId="25" borderId="75" xfId="0" applyFont="1" applyFill="1" applyBorder="1" applyAlignment="1">
      <alignment horizontal="left" vertical="center" wrapText="1"/>
    </xf>
    <xf numFmtId="0" fontId="35" fillId="25" borderId="75" xfId="0" applyFont="1" applyFill="1" applyBorder="1" applyAlignment="1">
      <alignment horizontal="center" vertical="center" wrapText="1"/>
    </xf>
    <xf numFmtId="0" fontId="35" fillId="0" borderId="46" xfId="0" applyFont="1" applyBorder="1" applyAlignment="1">
      <alignment vertical="top" wrapText="1"/>
    </xf>
    <xf numFmtId="0" fontId="36" fillId="0" borderId="48" xfId="0" applyFont="1" applyBorder="1" applyAlignment="1">
      <alignment horizontal="center"/>
    </xf>
    <xf numFmtId="165" fontId="33" fillId="0" borderId="10" xfId="0" applyNumberFormat="1" applyFont="1" applyBorder="1" applyAlignment="1" applyProtection="1">
      <alignment horizontal="right" vertical="center" wrapText="1"/>
      <protection locked="0"/>
    </xf>
    <xf numFmtId="166" fontId="33" fillId="0" borderId="10" xfId="0" applyNumberFormat="1" applyFont="1" applyBorder="1" applyAlignment="1" applyProtection="1">
      <alignment horizontal="right" vertical="center" wrapText="1"/>
      <protection locked="0"/>
    </xf>
    <xf numFmtId="0" fontId="30" fillId="0" borderId="10" xfId="0" applyFont="1" applyBorder="1"/>
    <xf numFmtId="0" fontId="30" fillId="24" borderId="10" xfId="0" applyFont="1" applyFill="1" applyBorder="1"/>
    <xf numFmtId="0" fontId="31" fillId="0" borderId="10" xfId="0" applyFont="1" applyBorder="1"/>
    <xf numFmtId="0" fontId="31" fillId="0" borderId="46" xfId="0" applyFont="1" applyBorder="1"/>
    <xf numFmtId="166" fontId="33" fillId="0" borderId="10" xfId="0" applyNumberFormat="1" applyFont="1" applyBorder="1" applyAlignment="1">
      <alignment horizontal="right" wrapText="1"/>
    </xf>
    <xf numFmtId="166" fontId="33" fillId="24" borderId="10" xfId="0" applyNumberFormat="1" applyFont="1" applyFill="1" applyBorder="1" applyAlignment="1">
      <alignment horizontal="right" wrapText="1"/>
    </xf>
    <xf numFmtId="0" fontId="31" fillId="0" borderId="82" xfId="0" applyFont="1" applyFill="1" applyBorder="1" applyAlignment="1">
      <alignment horizontal="right" wrapText="1"/>
    </xf>
    <xf numFmtId="0" fontId="31" fillId="0" borderId="19" xfId="0" applyFont="1" applyBorder="1"/>
    <xf numFmtId="0" fontId="31" fillId="33" borderId="10" xfId="0" applyFont="1" applyFill="1" applyBorder="1"/>
    <xf numFmtId="0" fontId="31" fillId="33" borderId="25" xfId="0" applyFont="1" applyFill="1" applyBorder="1"/>
    <xf numFmtId="0" fontId="31" fillId="33" borderId="72" xfId="0" applyFont="1" applyFill="1" applyBorder="1"/>
    <xf numFmtId="0" fontId="31" fillId="33" borderId="71" xfId="0" applyFont="1" applyFill="1" applyBorder="1"/>
    <xf numFmtId="0" fontId="31" fillId="0" borderId="24" xfId="0" applyFont="1" applyFill="1" applyBorder="1"/>
    <xf numFmtId="167" fontId="33" fillId="0" borderId="10" xfId="0" applyNumberFormat="1" applyFont="1" applyBorder="1" applyAlignment="1">
      <alignment horizontal="right" wrapText="1"/>
    </xf>
    <xf numFmtId="167" fontId="31" fillId="0" borderId="10" xfId="0" applyNumberFormat="1" applyFont="1" applyBorder="1"/>
    <xf numFmtId="167" fontId="30" fillId="0" borderId="10" xfId="0" applyNumberFormat="1" applyFont="1" applyBorder="1"/>
    <xf numFmtId="0" fontId="31" fillId="33" borderId="0" xfId="0" applyFont="1" applyFill="1"/>
    <xf numFmtId="167" fontId="31" fillId="0" borderId="10" xfId="0" applyNumberFormat="1" applyFont="1" applyBorder="1" applyAlignment="1">
      <alignment horizontal="right"/>
    </xf>
    <xf numFmtId="0" fontId="31" fillId="33" borderId="34" xfId="0" applyFont="1" applyFill="1" applyBorder="1"/>
    <xf numFmtId="0" fontId="31" fillId="0" borderId="12" xfId="0" applyFont="1" applyBorder="1"/>
    <xf numFmtId="0" fontId="31" fillId="0" borderId="10" xfId="0" applyFont="1" applyBorder="1" applyAlignment="1">
      <alignment horizontal="right"/>
    </xf>
    <xf numFmtId="167" fontId="31" fillId="0" borderId="10" xfId="0" applyNumberFormat="1" applyFont="1" applyBorder="1" applyAlignment="1">
      <alignment horizontal="right" wrapText="1"/>
    </xf>
    <xf numFmtId="167" fontId="31" fillId="33" borderId="10" xfId="0" applyNumberFormat="1" applyFont="1" applyFill="1" applyBorder="1"/>
    <xf numFmtId="166" fontId="31" fillId="0" borderId="24" xfId="0" applyNumberFormat="1" applyFont="1" applyFill="1" applyBorder="1" applyAlignment="1">
      <alignment horizontal="right" wrapText="1"/>
    </xf>
    <xf numFmtId="0" fontId="31" fillId="0" borderId="10" xfId="0" applyFont="1" applyBorder="1" applyAlignment="1">
      <alignment horizontal="right" wrapText="1"/>
    </xf>
    <xf numFmtId="0" fontId="31" fillId="33" borderId="10" xfId="0" applyFont="1" applyFill="1" applyBorder="1" applyAlignment="1">
      <alignment horizontal="right"/>
    </xf>
    <xf numFmtId="3" fontId="33" fillId="0" borderId="10" xfId="0" applyNumberFormat="1" applyFont="1" applyBorder="1" applyAlignment="1">
      <alignment horizontal="right" wrapText="1"/>
    </xf>
    <xf numFmtId="3" fontId="31" fillId="0" borderId="10" xfId="0" applyNumberFormat="1" applyFont="1" applyBorder="1"/>
    <xf numFmtId="3" fontId="33" fillId="24" borderId="10" xfId="0" applyNumberFormat="1" applyFont="1" applyFill="1" applyBorder="1" applyAlignment="1">
      <alignment horizontal="right" wrapText="1"/>
    </xf>
    <xf numFmtId="3" fontId="31" fillId="33" borderId="10" xfId="0" applyNumberFormat="1" applyFont="1" applyFill="1" applyBorder="1"/>
    <xf numFmtId="3" fontId="31" fillId="0" borderId="75" xfId="0" applyNumberFormat="1" applyFont="1" applyFill="1" applyBorder="1" applyAlignment="1">
      <alignment horizontal="right" wrapText="1"/>
    </xf>
    <xf numFmtId="3" fontId="31" fillId="0" borderId="82" xfId="0" applyNumberFormat="1" applyFont="1" applyFill="1" applyBorder="1" applyAlignment="1">
      <alignment horizontal="right" wrapText="1"/>
    </xf>
    <xf numFmtId="166" fontId="31" fillId="0" borderId="10" xfId="0" applyNumberFormat="1" applyFont="1" applyBorder="1" applyAlignment="1">
      <alignment horizontal="right" wrapText="1"/>
    </xf>
    <xf numFmtId="166" fontId="31" fillId="33" borderId="10" xfId="0" applyNumberFormat="1" applyFont="1" applyFill="1" applyBorder="1"/>
    <xf numFmtId="3" fontId="31" fillId="0" borderId="10" xfId="0" applyNumberFormat="1" applyFont="1" applyBorder="1" applyAlignment="1">
      <alignment horizontal="right" wrapText="1"/>
    </xf>
    <xf numFmtId="3" fontId="31" fillId="0" borderId="10" xfId="0" applyNumberFormat="1" applyFont="1" applyBorder="1" applyAlignment="1">
      <alignment horizontal="right"/>
    </xf>
    <xf numFmtId="3" fontId="33" fillId="0" borderId="12" xfId="0" applyNumberFormat="1" applyFont="1" applyBorder="1" applyAlignment="1">
      <alignment horizontal="right" wrapText="1"/>
    </xf>
    <xf numFmtId="3" fontId="31" fillId="24" borderId="10" xfId="0" applyNumberFormat="1" applyFont="1" applyFill="1" applyBorder="1"/>
    <xf numFmtId="3" fontId="31" fillId="0" borderId="75" xfId="0" applyNumberFormat="1" applyFont="1" applyBorder="1"/>
    <xf numFmtId="3" fontId="31" fillId="0" borderId="75" xfId="0" applyNumberFormat="1" applyFont="1" applyFill="1" applyBorder="1"/>
    <xf numFmtId="3" fontId="31" fillId="0" borderId="82" xfId="0" applyNumberFormat="1" applyFont="1" applyFill="1" applyBorder="1"/>
    <xf numFmtId="3" fontId="31" fillId="0" borderId="12" xfId="0" applyNumberFormat="1" applyFont="1" applyBorder="1"/>
    <xf numFmtId="3" fontId="31" fillId="0" borderId="12" xfId="0" applyNumberFormat="1" applyFont="1" applyBorder="1" applyAlignment="1">
      <alignment horizontal="right" wrapText="1"/>
    </xf>
    <xf numFmtId="0" fontId="31" fillId="33" borderId="69" xfId="0" applyFont="1" applyFill="1" applyBorder="1"/>
    <xf numFmtId="0" fontId="31" fillId="0" borderId="72" xfId="0" applyFont="1" applyBorder="1"/>
    <xf numFmtId="0" fontId="31" fillId="0" borderId="69" xfId="0" applyFont="1" applyBorder="1"/>
    <xf numFmtId="0" fontId="45" fillId="0" borderId="10" xfId="0" applyFont="1" applyBorder="1" applyAlignment="1">
      <alignment wrapText="1"/>
    </xf>
    <xf numFmtId="0" fontId="45" fillId="0" borderId="72" xfId="0" applyFont="1" applyBorder="1" applyAlignment="1">
      <alignment wrapText="1"/>
    </xf>
    <xf numFmtId="0" fontId="45" fillId="0" borderId="69" xfId="0" applyFont="1" applyBorder="1" applyAlignment="1">
      <alignment wrapText="1"/>
    </xf>
    <xf numFmtId="0" fontId="45" fillId="0" borderId="0" xfId="0" applyFont="1" applyAlignment="1">
      <alignment wrapText="1"/>
    </xf>
    <xf numFmtId="0" fontId="35" fillId="25" borderId="46" xfId="0" applyFont="1" applyFill="1" applyBorder="1" applyAlignment="1">
      <alignment horizontal="left" vertical="center" wrapText="1"/>
    </xf>
    <xf numFmtId="0" fontId="35" fillId="25" borderId="46" xfId="0" applyFont="1" applyFill="1" applyBorder="1" applyAlignment="1">
      <alignment horizontal="center" vertical="center" wrapText="1"/>
    </xf>
    <xf numFmtId="0" fontId="35" fillId="25" borderId="10" xfId="0" applyFont="1" applyFill="1" applyBorder="1" applyAlignment="1">
      <alignment horizontal="center" vertical="center" wrapText="1"/>
    </xf>
    <xf numFmtId="0" fontId="35" fillId="25" borderId="12" xfId="0" applyFont="1" applyFill="1" applyBorder="1" applyAlignment="1">
      <alignment horizontal="center" vertical="center" wrapText="1"/>
    </xf>
    <xf numFmtId="0" fontId="35" fillId="25" borderId="17" xfId="0" applyFont="1" applyFill="1" applyBorder="1" applyAlignment="1">
      <alignment horizontal="center" vertical="center" wrapText="1"/>
    </xf>
    <xf numFmtId="0" fontId="31" fillId="0" borderId="0" xfId="0" applyFont="1" applyAlignment="1">
      <alignment vertical="center"/>
    </xf>
    <xf numFmtId="0" fontId="35" fillId="33" borderId="73" xfId="0" applyFont="1" applyFill="1" applyBorder="1" applyAlignment="1">
      <alignment vertical="top" wrapText="1"/>
    </xf>
    <xf numFmtId="0" fontId="35" fillId="33" borderId="48" xfId="0" applyFont="1" applyFill="1" applyBorder="1" applyAlignment="1">
      <alignment horizontal="center" vertical="top" wrapText="1"/>
    </xf>
    <xf numFmtId="166" fontId="33" fillId="33" borderId="10" xfId="0" applyNumberFormat="1" applyFont="1" applyFill="1" applyBorder="1" applyAlignment="1">
      <alignment horizontal="right" wrapText="1"/>
    </xf>
    <xf numFmtId="0" fontId="30" fillId="33" borderId="12" xfId="0" applyFont="1" applyFill="1" applyBorder="1"/>
    <xf numFmtId="0" fontId="30" fillId="33" borderId="10" xfId="0" applyFont="1" applyFill="1" applyBorder="1"/>
    <xf numFmtId="0" fontId="35" fillId="33" borderId="46" xfId="0" applyFont="1" applyFill="1" applyBorder="1" applyAlignment="1">
      <alignment vertical="top" wrapText="1"/>
    </xf>
    <xf numFmtId="0" fontId="31" fillId="33" borderId="48" xfId="0" applyFont="1" applyFill="1" applyBorder="1"/>
    <xf numFmtId="3" fontId="33" fillId="33" borderId="10" xfId="0" applyNumberFormat="1" applyFont="1" applyFill="1" applyBorder="1" applyAlignment="1">
      <alignment horizontal="right" wrapText="1"/>
    </xf>
    <xf numFmtId="3" fontId="33" fillId="33" borderId="73" xfId="0" applyNumberFormat="1" applyFont="1" applyFill="1" applyBorder="1" applyAlignment="1">
      <alignment horizontal="right" wrapText="1"/>
    </xf>
    <xf numFmtId="0" fontId="31" fillId="33" borderId="21" xfId="0" applyFont="1" applyFill="1" applyBorder="1"/>
    <xf numFmtId="0" fontId="31" fillId="33" borderId="73" xfId="0" applyFont="1" applyFill="1" applyBorder="1"/>
    <xf numFmtId="0" fontId="33" fillId="33" borderId="46" xfId="0" applyFont="1" applyFill="1" applyBorder="1" applyAlignment="1">
      <alignment horizontal="justify" vertical="top" wrapText="1"/>
    </xf>
    <xf numFmtId="0" fontId="31" fillId="33" borderId="12" xfId="0" applyFont="1" applyFill="1" applyBorder="1"/>
    <xf numFmtId="0" fontId="31" fillId="33" borderId="13" xfId="0" applyFont="1" applyFill="1" applyBorder="1"/>
    <xf numFmtId="3" fontId="33" fillId="33" borderId="34" xfId="0" applyNumberFormat="1" applyFont="1" applyFill="1" applyBorder="1" applyAlignment="1">
      <alignment horizontal="right" wrapText="1"/>
    </xf>
    <xf numFmtId="3" fontId="33" fillId="33" borderId="71" xfId="0" applyNumberFormat="1" applyFont="1" applyFill="1" applyBorder="1" applyAlignment="1">
      <alignment horizontal="right" wrapText="1"/>
    </xf>
    <xf numFmtId="0" fontId="34" fillId="33" borderId="46" xfId="0" applyFont="1" applyFill="1" applyBorder="1" applyAlignment="1">
      <alignment wrapText="1"/>
    </xf>
    <xf numFmtId="3" fontId="33" fillId="33" borderId="12" xfId="0" applyNumberFormat="1" applyFont="1" applyFill="1" applyBorder="1" applyAlignment="1">
      <alignment horizontal="right" wrapText="1"/>
    </xf>
    <xf numFmtId="1" fontId="31" fillId="33" borderId="73" xfId="0" applyNumberFormat="1" applyFont="1" applyFill="1" applyBorder="1" applyAlignment="1">
      <alignment horizontal="right" wrapText="1"/>
    </xf>
    <xf numFmtId="3" fontId="31" fillId="33" borderId="0" xfId="0" applyNumberFormat="1" applyFont="1" applyFill="1" applyBorder="1" applyAlignment="1">
      <alignment horizontal="right"/>
    </xf>
    <xf numFmtId="3" fontId="33" fillId="33" borderId="25" xfId="0" applyNumberFormat="1" applyFont="1" applyFill="1" applyBorder="1" applyAlignment="1">
      <alignment horizontal="right" wrapText="1"/>
    </xf>
    <xf numFmtId="3" fontId="34" fillId="33" borderId="71" xfId="0" applyNumberFormat="1" applyFont="1" applyFill="1" applyBorder="1" applyAlignment="1">
      <alignment horizontal="right" wrapText="1"/>
    </xf>
    <xf numFmtId="3" fontId="31" fillId="0" borderId="89" xfId="0" applyNumberFormat="1" applyFont="1" applyFill="1" applyBorder="1"/>
    <xf numFmtId="3" fontId="34" fillId="0" borderId="89" xfId="0" applyNumberFormat="1" applyFont="1" applyFill="1" applyBorder="1" applyAlignment="1">
      <alignment horizontal="right" wrapText="1"/>
    </xf>
    <xf numFmtId="0" fontId="36" fillId="33" borderId="48" xfId="0" applyFont="1" applyFill="1" applyBorder="1" applyAlignment="1">
      <alignment horizontal="center"/>
    </xf>
    <xf numFmtId="166" fontId="31" fillId="33" borderId="12" xfId="0" applyNumberFormat="1" applyFont="1" applyFill="1" applyBorder="1" applyAlignment="1">
      <alignment horizontal="right" wrapText="1"/>
    </xf>
    <xf numFmtId="167" fontId="31" fillId="33" borderId="12" xfId="0" applyNumberFormat="1" applyFont="1" applyFill="1" applyBorder="1"/>
    <xf numFmtId="166" fontId="33" fillId="33" borderId="25" xfId="0" applyNumberFormat="1" applyFont="1" applyFill="1" applyBorder="1" applyAlignment="1">
      <alignment horizontal="right" wrapText="1"/>
    </xf>
    <xf numFmtId="166" fontId="33" fillId="33" borderId="54" xfId="0" applyNumberFormat="1" applyFont="1" applyFill="1" applyBorder="1" applyAlignment="1">
      <alignment horizontal="right" wrapText="1"/>
    </xf>
    <xf numFmtId="166" fontId="34" fillId="33" borderId="87" xfId="0" applyNumberFormat="1" applyFont="1" applyFill="1" applyBorder="1" applyAlignment="1">
      <alignment horizontal="right" wrapText="1"/>
    </xf>
    <xf numFmtId="166" fontId="31" fillId="0" borderId="89" xfId="0" applyNumberFormat="1" applyFont="1" applyFill="1" applyBorder="1"/>
    <xf numFmtId="166" fontId="33" fillId="33" borderId="53" xfId="0" applyNumberFormat="1" applyFont="1" applyFill="1" applyBorder="1" applyAlignment="1">
      <alignment horizontal="right" wrapText="1"/>
    </xf>
    <xf numFmtId="167" fontId="31" fillId="0" borderId="89" xfId="0" applyNumberFormat="1" applyFont="1" applyBorder="1"/>
    <xf numFmtId="166" fontId="31" fillId="33" borderId="25" xfId="0" applyNumberFormat="1" applyFont="1" applyFill="1" applyBorder="1"/>
    <xf numFmtId="3" fontId="33" fillId="0" borderId="87" xfId="0" applyNumberFormat="1" applyFont="1" applyFill="1" applyBorder="1" applyAlignment="1">
      <alignment horizontal="right" wrapText="1"/>
    </xf>
    <xf numFmtId="0" fontId="31" fillId="33" borderId="12" xfId="0" applyFont="1" applyFill="1" applyBorder="1" applyAlignment="1">
      <alignment horizontal="right"/>
    </xf>
    <xf numFmtId="0" fontId="31" fillId="33" borderId="25" xfId="0" applyFont="1" applyFill="1" applyBorder="1" applyAlignment="1">
      <alignment horizontal="right"/>
    </xf>
    <xf numFmtId="171" fontId="30" fillId="33" borderId="10" xfId="0" applyNumberFormat="1" applyFont="1" applyFill="1" applyBorder="1"/>
    <xf numFmtId="171" fontId="33" fillId="33" borderId="10" xfId="0" applyNumberFormat="1" applyFont="1" applyFill="1" applyBorder="1" applyAlignment="1">
      <alignment wrapText="1"/>
    </xf>
    <xf numFmtId="171" fontId="33" fillId="33" borderId="12" xfId="0" applyNumberFormat="1" applyFont="1" applyFill="1" applyBorder="1" applyAlignment="1">
      <alignment wrapText="1"/>
    </xf>
    <xf numFmtId="171" fontId="33" fillId="33" borderId="25" xfId="0" applyNumberFormat="1" applyFont="1" applyFill="1" applyBorder="1" applyAlignment="1">
      <alignment wrapText="1"/>
    </xf>
    <xf numFmtId="166" fontId="34" fillId="0" borderId="89" xfId="0" applyNumberFormat="1" applyFont="1" applyFill="1" applyBorder="1" applyAlignment="1">
      <alignment horizontal="right" wrapText="1"/>
    </xf>
    <xf numFmtId="3" fontId="31" fillId="33" borderId="12" xfId="0" applyNumberFormat="1" applyFont="1" applyFill="1" applyBorder="1" applyAlignment="1">
      <alignment horizontal="right" wrapText="1"/>
    </xf>
    <xf numFmtId="171" fontId="33" fillId="33" borderId="10" xfId="0" applyNumberFormat="1" applyFont="1" applyFill="1" applyBorder="1" applyAlignment="1">
      <alignment horizontal="right" wrapText="1"/>
    </xf>
    <xf numFmtId="171" fontId="33" fillId="33" borderId="12" xfId="0" applyNumberFormat="1" applyFont="1" applyFill="1" applyBorder="1" applyAlignment="1">
      <alignment horizontal="right" wrapText="1"/>
    </xf>
    <xf numFmtId="49" fontId="33" fillId="33" borderId="12" xfId="0" applyNumberFormat="1" applyFont="1" applyFill="1" applyBorder="1" applyAlignment="1">
      <alignment horizontal="right" wrapText="1"/>
    </xf>
    <xf numFmtId="166" fontId="33" fillId="33" borderId="34" xfId="0" applyNumberFormat="1" applyFont="1" applyFill="1" applyBorder="1" applyAlignment="1">
      <alignment horizontal="right" wrapText="1"/>
    </xf>
    <xf numFmtId="167" fontId="34" fillId="33" borderId="87" xfId="0" applyNumberFormat="1" applyFont="1" applyFill="1" applyBorder="1" applyAlignment="1">
      <alignment horizontal="right" wrapText="1"/>
    </xf>
    <xf numFmtId="171" fontId="33" fillId="33" borderId="25" xfId="0" applyNumberFormat="1" applyFont="1" applyFill="1" applyBorder="1" applyAlignment="1">
      <alignment horizontal="right" wrapText="1"/>
    </xf>
    <xf numFmtId="3" fontId="31" fillId="33" borderId="12" xfId="0" applyNumberFormat="1" applyFont="1" applyFill="1" applyBorder="1"/>
    <xf numFmtId="3" fontId="31" fillId="33" borderId="25" xfId="0" applyNumberFormat="1" applyFont="1" applyFill="1" applyBorder="1"/>
    <xf numFmtId="3" fontId="31" fillId="33" borderId="34" xfId="0" applyNumberFormat="1" applyFont="1" applyFill="1" applyBorder="1"/>
    <xf numFmtId="0" fontId="30" fillId="33" borderId="0" xfId="0" applyFont="1" applyFill="1"/>
    <xf numFmtId="0" fontId="42" fillId="33" borderId="0" xfId="0" applyFont="1" applyFill="1" applyBorder="1" applyAlignment="1">
      <alignment wrapText="1"/>
    </xf>
    <xf numFmtId="0" fontId="30" fillId="0" borderId="0" xfId="0" applyFont="1"/>
    <xf numFmtId="0" fontId="42" fillId="0" borderId="0" xfId="0" applyFont="1" applyAlignment="1">
      <alignment vertical="top" wrapText="1"/>
    </xf>
    <xf numFmtId="0" fontId="30" fillId="0" borderId="0" xfId="0" applyFont="1" applyFill="1" applyBorder="1"/>
    <xf numFmtId="0" fontId="30" fillId="0" borderId="15" xfId="0" applyFont="1" applyBorder="1"/>
    <xf numFmtId="0" fontId="35" fillId="30" borderId="17" xfId="0" applyFont="1" applyFill="1" applyBorder="1" applyAlignment="1">
      <alignment horizontal="left" vertical="center" wrapText="1"/>
    </xf>
    <xf numFmtId="0" fontId="35" fillId="30" borderId="16" xfId="0" applyFont="1" applyFill="1" applyBorder="1" applyAlignment="1">
      <alignment horizontal="center" vertical="center" wrapText="1"/>
    </xf>
    <xf numFmtId="0" fontId="35" fillId="30" borderId="17" xfId="0" applyFont="1" applyFill="1" applyBorder="1" applyAlignment="1">
      <alignment horizontal="center" vertical="center" wrapText="1"/>
    </xf>
    <xf numFmtId="0" fontId="35" fillId="30" borderId="18" xfId="0" applyFont="1" applyFill="1" applyBorder="1" applyAlignment="1">
      <alignment horizontal="center" vertical="center" wrapText="1"/>
    </xf>
    <xf numFmtId="0" fontId="35" fillId="30" borderId="10" xfId="0" applyFont="1" applyFill="1" applyBorder="1" applyAlignment="1">
      <alignment horizontal="center" vertical="center" wrapText="1"/>
    </xf>
    <xf numFmtId="0" fontId="35" fillId="30" borderId="62" xfId="0" applyFont="1" applyFill="1" applyBorder="1" applyAlignment="1">
      <alignment horizontal="center" vertical="center" wrapText="1"/>
    </xf>
    <xf numFmtId="0" fontId="36" fillId="33" borderId="0" xfId="0" applyFont="1" applyFill="1" applyAlignment="1">
      <alignment horizontal="center"/>
    </xf>
    <xf numFmtId="3" fontId="31" fillId="33" borderId="22" xfId="0" applyNumberFormat="1" applyFont="1" applyFill="1" applyBorder="1" applyAlignment="1">
      <alignment horizontal="right" wrapText="1"/>
    </xf>
    <xf numFmtId="3" fontId="33" fillId="33" borderId="22" xfId="0" applyNumberFormat="1" applyFont="1" applyFill="1" applyBorder="1" applyAlignment="1">
      <alignment horizontal="right" wrapText="1"/>
    </xf>
    <xf numFmtId="3" fontId="31" fillId="33" borderId="22" xfId="0" applyNumberFormat="1" applyFont="1" applyFill="1" applyBorder="1"/>
    <xf numFmtId="3" fontId="31" fillId="33" borderId="23" xfId="0" applyNumberFormat="1" applyFont="1" applyFill="1" applyBorder="1"/>
    <xf numFmtId="166" fontId="31" fillId="33" borderId="22" xfId="0" applyNumberFormat="1" applyFont="1" applyFill="1" applyBorder="1" applyAlignment="1">
      <alignment horizontal="right" wrapText="1"/>
    </xf>
    <xf numFmtId="166" fontId="33" fillId="33" borderId="22" xfId="0" applyNumberFormat="1" applyFont="1" applyFill="1" applyBorder="1" applyAlignment="1">
      <alignment horizontal="right" wrapText="1"/>
    </xf>
    <xf numFmtId="0" fontId="31" fillId="33" borderId="22" xfId="0" applyFont="1" applyFill="1" applyBorder="1"/>
    <xf numFmtId="0" fontId="31" fillId="33" borderId="23" xfId="0" applyFont="1" applyFill="1" applyBorder="1"/>
    <xf numFmtId="171" fontId="31" fillId="33" borderId="22" xfId="0" applyNumberFormat="1" applyFont="1" applyFill="1" applyBorder="1"/>
    <xf numFmtId="0" fontId="31" fillId="33" borderId="62" xfId="0" applyFont="1" applyFill="1" applyBorder="1"/>
    <xf numFmtId="49" fontId="31" fillId="33" borderId="12" xfId="0" applyNumberFormat="1" applyFont="1" applyFill="1" applyBorder="1" applyAlignment="1">
      <alignment horizontal="right"/>
    </xf>
    <xf numFmtId="0" fontId="31" fillId="0" borderId="10" xfId="0" applyFont="1" applyFill="1" applyBorder="1"/>
    <xf numFmtId="0" fontId="31" fillId="0" borderId="22" xfId="0" applyFont="1" applyFill="1" applyBorder="1"/>
    <xf numFmtId="0" fontId="35" fillId="33" borderId="10" xfId="0" applyFont="1" applyFill="1" applyBorder="1" applyAlignment="1">
      <alignment vertical="top" wrapText="1"/>
    </xf>
    <xf numFmtId="176" fontId="31" fillId="33" borderId="12" xfId="0" applyNumberFormat="1" applyFont="1" applyFill="1" applyBorder="1" applyAlignment="1">
      <alignment horizontal="right"/>
    </xf>
    <xf numFmtId="3" fontId="31" fillId="33" borderId="10" xfId="0" applyNumberFormat="1" applyFont="1" applyFill="1" applyBorder="1" applyAlignment="1">
      <alignment horizontal="right"/>
    </xf>
    <xf numFmtId="0" fontId="30" fillId="0" borderId="18" xfId="0" applyFont="1" applyFill="1" applyBorder="1"/>
    <xf numFmtId="0" fontId="30" fillId="0" borderId="17" xfId="0" applyFont="1" applyFill="1" applyBorder="1"/>
    <xf numFmtId="0" fontId="30" fillId="0" borderId="0" xfId="0" applyFont="1" applyFill="1"/>
    <xf numFmtId="0" fontId="30" fillId="0" borderId="82" xfId="0" applyFont="1" applyFill="1" applyBorder="1"/>
    <xf numFmtId="0" fontId="30" fillId="0" borderId="87" xfId="0" applyFont="1" applyFill="1" applyBorder="1"/>
    <xf numFmtId="0" fontId="35" fillId="31" borderId="46" xfId="0" applyFont="1" applyFill="1" applyBorder="1" applyAlignment="1">
      <alignment horizontal="left" vertical="center" wrapText="1"/>
    </xf>
    <xf numFmtId="0" fontId="35" fillId="31" borderId="46" xfId="0" applyFont="1" applyFill="1" applyBorder="1" applyAlignment="1">
      <alignment horizontal="center" wrapText="1"/>
    </xf>
    <xf numFmtId="0" fontId="35" fillId="31" borderId="10" xfId="0" applyFont="1" applyFill="1" applyBorder="1" applyAlignment="1">
      <alignment horizontal="center" vertical="center" wrapText="1"/>
    </xf>
    <xf numFmtId="0" fontId="35" fillId="31" borderId="12" xfId="0" applyFont="1" applyFill="1" applyBorder="1" applyAlignment="1">
      <alignment horizontal="center" vertical="center" wrapText="1"/>
    </xf>
    <xf numFmtId="0" fontId="35" fillId="34" borderId="10" xfId="0" applyFont="1" applyFill="1" applyBorder="1" applyAlignment="1">
      <alignment horizontal="center" vertical="center" wrapText="1"/>
    </xf>
    <xf numFmtId="0" fontId="35" fillId="34" borderId="70" xfId="0" applyFont="1" applyFill="1" applyBorder="1" applyAlignment="1">
      <alignment horizontal="center" vertical="center" wrapText="1"/>
    </xf>
    <xf numFmtId="0" fontId="35" fillId="31" borderId="17" xfId="0" applyFont="1" applyFill="1" applyBorder="1" applyAlignment="1">
      <alignment horizontal="center" vertical="center" wrapText="1"/>
    </xf>
    <xf numFmtId="0" fontId="35" fillId="0" borderId="0" xfId="0" applyFont="1" applyAlignment="1">
      <alignment horizontal="center" vertical="center" wrapText="1"/>
    </xf>
    <xf numFmtId="0" fontId="36" fillId="0" borderId="46" xfId="0" applyFont="1" applyFill="1" applyBorder="1" applyAlignment="1">
      <alignment horizontal="justify" vertical="top" wrapText="1"/>
    </xf>
    <xf numFmtId="0" fontId="48" fillId="0" borderId="0" xfId="0" applyFont="1" applyFill="1"/>
    <xf numFmtId="166" fontId="33" fillId="0" borderId="10" xfId="0" applyNumberFormat="1" applyFont="1" applyFill="1" applyBorder="1" applyAlignment="1">
      <alignment horizontal="right" wrapText="1"/>
    </xf>
    <xf numFmtId="167" fontId="33" fillId="0" borderId="10" xfId="0" applyNumberFormat="1" applyFont="1" applyFill="1" applyBorder="1" applyAlignment="1">
      <alignment horizontal="right" wrapText="1"/>
    </xf>
    <xf numFmtId="166" fontId="31" fillId="0" borderId="12" xfId="0" applyNumberFormat="1" applyFont="1" applyFill="1" applyBorder="1"/>
    <xf numFmtId="166" fontId="31" fillId="0" borderId="10" xfId="0" applyNumberFormat="1" applyFont="1" applyFill="1" applyBorder="1"/>
    <xf numFmtId="166" fontId="31" fillId="0" borderId="35" xfId="0" applyNumberFormat="1" applyFont="1" applyFill="1" applyBorder="1"/>
    <xf numFmtId="166" fontId="31" fillId="0" borderId="68" xfId="0" applyNumberFormat="1" applyFont="1" applyFill="1" applyBorder="1"/>
    <xf numFmtId="166" fontId="31" fillId="0" borderId="70" xfId="0" applyNumberFormat="1" applyFont="1" applyFill="1" applyBorder="1"/>
    <xf numFmtId="166" fontId="31" fillId="33" borderId="87" xfId="0" applyNumberFormat="1" applyFont="1" applyFill="1" applyBorder="1"/>
    <xf numFmtId="0" fontId="31" fillId="0" borderId="62" xfId="0" applyFont="1" applyFill="1" applyBorder="1"/>
    <xf numFmtId="166" fontId="31" fillId="0" borderId="63" xfId="0" applyNumberFormat="1" applyFont="1" applyFill="1" applyBorder="1"/>
    <xf numFmtId="3" fontId="31" fillId="0" borderId="62" xfId="0" applyNumberFormat="1" applyFont="1" applyFill="1" applyBorder="1"/>
    <xf numFmtId="166" fontId="31" fillId="0" borderId="66" xfId="0" applyNumberFormat="1" applyFont="1" applyFill="1" applyBorder="1"/>
    <xf numFmtId="3" fontId="31" fillId="0" borderId="0" xfId="0" applyNumberFormat="1" applyFont="1" applyFill="1"/>
    <xf numFmtId="166" fontId="31" fillId="0" borderId="0" xfId="0" applyNumberFormat="1" applyFont="1" applyFill="1"/>
    <xf numFmtId="0" fontId="36" fillId="0" borderId="46" xfId="0" applyFont="1" applyFill="1" applyBorder="1" applyAlignment="1">
      <alignment horizontal="center" vertical="top" wrapText="1"/>
    </xf>
    <xf numFmtId="166" fontId="33" fillId="0" borderId="34" xfId="0" applyNumberFormat="1" applyFont="1" applyFill="1" applyBorder="1" applyAlignment="1">
      <alignment horizontal="right" wrapText="1"/>
    </xf>
    <xf numFmtId="166" fontId="33" fillId="0" borderId="70" xfId="0" applyNumberFormat="1" applyFont="1" applyFill="1" applyBorder="1" applyAlignment="1">
      <alignment horizontal="right" wrapText="1"/>
    </xf>
    <xf numFmtId="167" fontId="33" fillId="0" borderId="62" xfId="0" applyNumberFormat="1" applyFont="1" applyFill="1" applyBorder="1" applyAlignment="1">
      <alignment horizontal="right" wrapText="1"/>
    </xf>
    <xf numFmtId="0" fontId="31" fillId="0" borderId="63" xfId="0" applyFont="1" applyFill="1" applyBorder="1"/>
    <xf numFmtId="0" fontId="31" fillId="0" borderId="66" xfId="0" applyFont="1" applyFill="1" applyBorder="1"/>
    <xf numFmtId="167" fontId="31" fillId="0" borderId="10" xfId="0" applyNumberFormat="1" applyFont="1" applyFill="1" applyBorder="1" applyAlignment="1">
      <alignment horizontal="right" wrapText="1"/>
    </xf>
    <xf numFmtId="167" fontId="31" fillId="0" borderId="62" xfId="0" applyNumberFormat="1" applyFont="1" applyFill="1" applyBorder="1" applyAlignment="1">
      <alignment horizontal="right" wrapText="1"/>
    </xf>
    <xf numFmtId="167" fontId="31" fillId="0" borderId="10" xfId="0" applyNumberFormat="1" applyFont="1" applyFill="1" applyBorder="1"/>
    <xf numFmtId="167" fontId="31" fillId="0" borderId="62" xfId="0" applyNumberFormat="1" applyFont="1" applyFill="1" applyBorder="1"/>
    <xf numFmtId="167" fontId="31" fillId="0" borderId="0" xfId="0" applyNumberFormat="1" applyFont="1" applyFill="1"/>
    <xf numFmtId="0" fontId="36" fillId="0" borderId="46" xfId="0" applyFont="1" applyFill="1" applyBorder="1" applyAlignment="1">
      <alignment vertical="top" wrapText="1"/>
    </xf>
    <xf numFmtId="166" fontId="33" fillId="0" borderId="56" xfId="0" applyNumberFormat="1" applyFont="1" applyFill="1" applyBorder="1" applyAlignment="1">
      <alignment horizontal="right" wrapText="1"/>
    </xf>
    <xf numFmtId="166" fontId="33" fillId="0" borderId="44" xfId="0" applyNumberFormat="1" applyFont="1" applyFill="1" applyBorder="1" applyAlignment="1">
      <alignment horizontal="right" wrapText="1"/>
    </xf>
    <xf numFmtId="167" fontId="31" fillId="0" borderId="63" xfId="0" applyNumberFormat="1" applyFont="1" applyFill="1" applyBorder="1"/>
    <xf numFmtId="0" fontId="31" fillId="0" borderId="46" xfId="0" applyFont="1" applyFill="1" applyBorder="1" applyAlignment="1">
      <alignment horizontal="center"/>
    </xf>
    <xf numFmtId="166" fontId="31" fillId="0" borderId="10" xfId="0" applyNumberFormat="1" applyFont="1" applyFill="1" applyBorder="1" applyAlignment="1">
      <alignment horizontal="right" wrapText="1"/>
    </xf>
    <xf numFmtId="166" fontId="31" fillId="0" borderId="34" xfId="0" applyNumberFormat="1" applyFont="1" applyFill="1" applyBorder="1" applyAlignment="1">
      <alignment horizontal="right" wrapText="1"/>
    </xf>
    <xf numFmtId="166" fontId="31" fillId="0" borderId="70" xfId="0" applyNumberFormat="1" applyFont="1" applyFill="1" applyBorder="1" applyAlignment="1">
      <alignment horizontal="right" wrapText="1"/>
    </xf>
    <xf numFmtId="166" fontId="31" fillId="0" borderId="62" xfId="0" applyNumberFormat="1" applyFont="1" applyFill="1" applyBorder="1" applyAlignment="1">
      <alignment horizontal="right" wrapText="1"/>
    </xf>
    <xf numFmtId="0" fontId="31" fillId="0" borderId="10" xfId="0" applyFont="1" applyFill="1" applyBorder="1" applyAlignment="1">
      <alignment horizontal="right"/>
    </xf>
    <xf numFmtId="0" fontId="31" fillId="0" borderId="12" xfId="0" applyFont="1" applyFill="1" applyBorder="1"/>
    <xf numFmtId="166" fontId="31" fillId="0" borderId="34" xfId="0" applyNumberFormat="1" applyFont="1" applyFill="1" applyBorder="1"/>
    <xf numFmtId="0" fontId="30" fillId="0" borderId="10" xfId="0" applyFont="1" applyFill="1" applyBorder="1"/>
    <xf numFmtId="166" fontId="33" fillId="0" borderId="62" xfId="0" applyNumberFormat="1" applyFont="1" applyFill="1" applyBorder="1" applyAlignment="1">
      <alignment horizontal="right" wrapText="1"/>
    </xf>
    <xf numFmtId="0" fontId="31" fillId="0" borderId="46" xfId="0" applyFont="1" applyFill="1" applyBorder="1"/>
    <xf numFmtId="179" fontId="50" fillId="0" borderId="10" xfId="1909" applyNumberFormat="1" applyFont="1" applyFill="1" applyBorder="1"/>
    <xf numFmtId="166" fontId="30" fillId="0" borderId="34" xfId="0" applyNumberFormat="1" applyFont="1" applyFill="1" applyBorder="1"/>
    <xf numFmtId="166" fontId="30" fillId="0" borderId="70" xfId="0" applyNumberFormat="1" applyFont="1" applyFill="1" applyBorder="1"/>
    <xf numFmtId="0" fontId="30" fillId="0" borderId="62" xfId="0" applyFont="1" applyFill="1" applyBorder="1"/>
    <xf numFmtId="0" fontId="36" fillId="0" borderId="24" xfId="0" applyFont="1" applyFill="1" applyBorder="1" applyAlignment="1">
      <alignment horizontal="center" vertical="top" wrapText="1"/>
    </xf>
    <xf numFmtId="166" fontId="33" fillId="0" borderId="24" xfId="0" applyNumberFormat="1" applyFont="1" applyFill="1" applyBorder="1" applyAlignment="1">
      <alignment horizontal="right" wrapText="1"/>
    </xf>
    <xf numFmtId="0" fontId="36" fillId="0" borderId="24" xfId="0" applyFont="1" applyFill="1" applyBorder="1" applyAlignment="1">
      <alignment vertical="top" wrapText="1"/>
    </xf>
    <xf numFmtId="167" fontId="33" fillId="0" borderId="24" xfId="0" applyNumberFormat="1" applyFont="1" applyFill="1" applyBorder="1" applyAlignment="1">
      <alignment horizontal="right" wrapText="1"/>
    </xf>
    <xf numFmtId="166" fontId="31" fillId="0" borderId="0" xfId="0" applyNumberFormat="1" applyFont="1" applyFill="1" applyBorder="1" applyAlignment="1">
      <alignment horizontal="right" wrapText="1"/>
    </xf>
    <xf numFmtId="166" fontId="31" fillId="0" borderId="0" xfId="0" applyNumberFormat="1" applyFont="1" applyFill="1" applyBorder="1"/>
    <xf numFmtId="0" fontId="30" fillId="0" borderId="20" xfId="0" applyFont="1" applyBorder="1"/>
    <xf numFmtId="0" fontId="30" fillId="0" borderId="88" xfId="0" applyFont="1" applyFill="1" applyBorder="1"/>
    <xf numFmtId="0" fontId="36" fillId="31" borderId="46" xfId="0" applyFont="1" applyFill="1" applyBorder="1" applyAlignment="1">
      <alignment horizontal="justify" vertical="center" wrapText="1"/>
    </xf>
    <xf numFmtId="0" fontId="36" fillId="31" borderId="46" xfId="0" applyFont="1" applyFill="1" applyBorder="1" applyAlignment="1">
      <alignment horizontal="center" vertical="center" wrapText="1"/>
    </xf>
    <xf numFmtId="0" fontId="35" fillId="31" borderId="75" xfId="0" applyFont="1" applyFill="1" applyBorder="1" applyAlignment="1">
      <alignment horizontal="center" vertical="center" wrapText="1"/>
    </xf>
    <xf numFmtId="0" fontId="36" fillId="0" borderId="46" xfId="0" applyFont="1" applyBorder="1" applyAlignment="1">
      <alignment horizontal="left" vertical="top" wrapText="1"/>
    </xf>
    <xf numFmtId="0" fontId="36" fillId="0" borderId="46" xfId="0" applyFont="1" applyBorder="1" applyAlignment="1">
      <alignment horizontal="center" vertical="top" wrapText="1"/>
    </xf>
    <xf numFmtId="0" fontId="31" fillId="24" borderId="10" xfId="0" applyFont="1" applyFill="1" applyBorder="1"/>
    <xf numFmtId="0" fontId="31" fillId="0" borderId="75" xfId="0" applyFont="1" applyBorder="1"/>
    <xf numFmtId="0" fontId="36" fillId="24" borderId="46" xfId="0" applyFont="1" applyFill="1" applyBorder="1" applyAlignment="1">
      <alignment vertical="top" wrapText="1"/>
    </xf>
    <xf numFmtId="3" fontId="33" fillId="0" borderId="44" xfId="0" applyNumberFormat="1" applyFont="1" applyBorder="1" applyAlignment="1">
      <alignment horizontal="right" wrapText="1"/>
    </xf>
    <xf numFmtId="3" fontId="33" fillId="0" borderId="73" xfId="0" applyNumberFormat="1" applyFont="1" applyBorder="1" applyAlignment="1">
      <alignment horizontal="right" wrapText="1"/>
    </xf>
    <xf numFmtId="0" fontId="31" fillId="0" borderId="46" xfId="0" applyFont="1" applyBorder="1" applyAlignment="1">
      <alignment horizontal="left" vertical="top" wrapText="1"/>
    </xf>
    <xf numFmtId="172" fontId="33" fillId="0" borderId="0" xfId="0" applyNumberFormat="1" applyFont="1" applyAlignment="1">
      <alignment horizontal="left" wrapText="1"/>
    </xf>
    <xf numFmtId="0" fontId="36" fillId="0" borderId="46" xfId="0" applyFont="1" applyBorder="1" applyAlignment="1">
      <alignment vertical="top" wrapText="1"/>
    </xf>
    <xf numFmtId="0" fontId="35" fillId="0" borderId="46" xfId="0" applyFont="1" applyBorder="1" applyAlignment="1">
      <alignment horizontal="center" vertical="top" wrapText="1"/>
    </xf>
    <xf numFmtId="166" fontId="33" fillId="0" borderId="44" xfId="0" applyNumberFormat="1" applyFont="1" applyBorder="1" applyAlignment="1">
      <alignment horizontal="right" wrapText="1"/>
    </xf>
    <xf numFmtId="166" fontId="33" fillId="0" borderId="73" xfId="0" applyNumberFormat="1" applyFont="1" applyBorder="1" applyAlignment="1">
      <alignment horizontal="right" wrapText="1"/>
    </xf>
    <xf numFmtId="167" fontId="33" fillId="33" borderId="87" xfId="0" applyNumberFormat="1" applyFont="1" applyFill="1" applyBorder="1" applyAlignment="1">
      <alignment horizontal="right" wrapText="1"/>
    </xf>
    <xf numFmtId="0" fontId="31" fillId="0" borderId="44" xfId="0" applyFont="1" applyBorder="1"/>
    <xf numFmtId="0" fontId="31" fillId="0" borderId="73" xfId="0" applyFont="1" applyBorder="1"/>
    <xf numFmtId="166" fontId="31" fillId="0" borderId="56" xfId="0" applyNumberFormat="1" applyFont="1" applyBorder="1" applyAlignment="1">
      <alignment horizontal="right" wrapText="1"/>
    </xf>
    <xf numFmtId="0" fontId="36" fillId="24" borderId="10" xfId="0" applyFont="1" applyFill="1" applyBorder="1"/>
    <xf numFmtId="0" fontId="36" fillId="0" borderId="10" xfId="0" applyFont="1" applyBorder="1"/>
    <xf numFmtId="0" fontId="35" fillId="0" borderId="46" xfId="0" applyFont="1" applyBorder="1" applyAlignment="1">
      <alignment horizontal="left" vertical="center" wrapText="1"/>
    </xf>
    <xf numFmtId="0" fontId="35" fillId="0" borderId="46" xfId="0" applyFont="1" applyBorder="1" applyAlignment="1">
      <alignment horizontal="center" vertical="center" wrapText="1"/>
    </xf>
    <xf numFmtId="3" fontId="31" fillId="0" borderId="56" xfId="0" applyNumberFormat="1" applyFont="1" applyBorder="1" applyAlignment="1">
      <alignment horizontal="right" wrapText="1"/>
    </xf>
    <xf numFmtId="3" fontId="31" fillId="0" borderId="56" xfId="0" applyNumberFormat="1" applyFont="1" applyBorder="1" applyAlignment="1">
      <alignment horizontal="center" wrapText="1"/>
    </xf>
    <xf numFmtId="3" fontId="31" fillId="0" borderId="10" xfId="0" applyNumberFormat="1" applyFont="1" applyBorder="1" applyAlignment="1">
      <alignment wrapText="1"/>
    </xf>
    <xf numFmtId="3" fontId="31" fillId="0" borderId="44" xfId="0" applyNumberFormat="1" applyFont="1" applyBorder="1" applyAlignment="1">
      <alignment wrapText="1"/>
    </xf>
    <xf numFmtId="3" fontId="31" fillId="0" borderId="73" xfId="0" applyNumberFormat="1" applyFont="1" applyBorder="1" applyAlignment="1">
      <alignment wrapText="1"/>
    </xf>
    <xf numFmtId="3" fontId="31" fillId="33" borderId="87" xfId="0" applyNumberFormat="1" applyFont="1" applyFill="1" applyBorder="1"/>
    <xf numFmtId="0" fontId="53" fillId="26" borderId="10" xfId="0" applyFont="1" applyFill="1" applyBorder="1" applyAlignment="1">
      <alignment horizontal="left" vertical="center" wrapText="1"/>
    </xf>
    <xf numFmtId="0" fontId="53" fillId="26" borderId="10" xfId="0" applyFont="1" applyFill="1" applyBorder="1" applyAlignment="1">
      <alignment horizontal="center" vertical="center" wrapText="1"/>
    </xf>
    <xf numFmtId="0" fontId="53" fillId="26" borderId="10" xfId="0" applyFont="1" applyFill="1" applyBorder="1" applyAlignment="1">
      <alignment horizontal="center" vertical="center"/>
    </xf>
    <xf numFmtId="0" fontId="53" fillId="26" borderId="12" xfId="0" applyFont="1" applyFill="1" applyBorder="1" applyAlignment="1">
      <alignment horizontal="center" vertical="center" wrapText="1"/>
    </xf>
    <xf numFmtId="0" fontId="55" fillId="26" borderId="12" xfId="0" applyFont="1" applyFill="1" applyBorder="1" applyAlignment="1">
      <alignment horizontal="center" vertical="center" wrapText="1"/>
    </xf>
    <xf numFmtId="0" fontId="53" fillId="26" borderId="75" xfId="0" applyFont="1" applyFill="1" applyBorder="1" applyAlignment="1">
      <alignment horizontal="center" vertical="center" wrapText="1"/>
    </xf>
    <xf numFmtId="0" fontId="36" fillId="0" borderId="54" xfId="0" applyFont="1" applyBorder="1" applyAlignment="1">
      <alignment horizontal="left" vertical="top" wrapText="1"/>
    </xf>
    <xf numFmtId="0" fontId="36" fillId="0" borderId="53" xfId="0" applyFont="1" applyBorder="1" applyAlignment="1">
      <alignment horizontal="center"/>
    </xf>
    <xf numFmtId="166" fontId="31" fillId="0" borderId="10" xfId="0" applyNumberFormat="1" applyFont="1" applyBorder="1" applyAlignment="1">
      <alignment horizontal="right"/>
    </xf>
    <xf numFmtId="4" fontId="31" fillId="0" borderId="10" xfId="0" applyNumberFormat="1" applyFont="1" applyBorder="1" applyAlignment="1">
      <alignment horizontal="right"/>
    </xf>
    <xf numFmtId="166" fontId="31" fillId="0" borderId="10" xfId="0" applyNumberFormat="1" applyFont="1" applyBorder="1"/>
    <xf numFmtId="166" fontId="31" fillId="0" borderId="46" xfId="0" applyNumberFormat="1" applyFont="1" applyBorder="1"/>
    <xf numFmtId="0" fontId="36" fillId="0" borderId="54" xfId="0" applyFont="1" applyBorder="1" applyAlignment="1">
      <alignment horizontal="justify" vertical="top" wrapText="1"/>
    </xf>
    <xf numFmtId="167" fontId="31" fillId="0" borderId="46" xfId="0" applyNumberFormat="1" applyFont="1" applyBorder="1"/>
    <xf numFmtId="167" fontId="31" fillId="0" borderId="61" xfId="0" applyNumberFormat="1" applyFont="1" applyBorder="1"/>
    <xf numFmtId="167" fontId="31" fillId="0" borderId="63" xfId="0" applyNumberFormat="1" applyFont="1" applyBorder="1"/>
    <xf numFmtId="0" fontId="36" fillId="0" borderId="54" xfId="0" applyFont="1" applyBorder="1" applyAlignment="1">
      <alignment vertical="top" wrapText="1"/>
    </xf>
    <xf numFmtId="0" fontId="31" fillId="0" borderId="53" xfId="0" applyFont="1" applyBorder="1"/>
    <xf numFmtId="3" fontId="31" fillId="0" borderId="46" xfId="0" applyNumberFormat="1" applyFont="1" applyBorder="1"/>
    <xf numFmtId="0" fontId="31" fillId="0" borderId="54" xfId="0" applyFont="1" applyBorder="1" applyAlignment="1">
      <alignment horizontal="left" vertical="top" wrapText="1"/>
    </xf>
    <xf numFmtId="0" fontId="30" fillId="24" borderId="12" xfId="0" applyFont="1" applyFill="1" applyBorder="1"/>
    <xf numFmtId="3" fontId="30" fillId="24" borderId="47" xfId="0" applyNumberFormat="1" applyFont="1" applyFill="1" applyBorder="1"/>
    <xf numFmtId="0" fontId="43" fillId="0" borderId="45" xfId="0" applyFont="1" applyBorder="1" applyAlignment="1">
      <alignment horizontal="left" vertical="top" wrapText="1"/>
    </xf>
    <xf numFmtId="0" fontId="31" fillId="0" borderId="45" xfId="0" applyFont="1" applyBorder="1" applyAlignment="1">
      <alignment vertical="top" wrapText="1"/>
    </xf>
    <xf numFmtId="0" fontId="30" fillId="0" borderId="34" xfId="0" applyFont="1" applyBorder="1"/>
    <xf numFmtId="0" fontId="31" fillId="0" borderId="0" xfId="0" applyFont="1" applyAlignment="1">
      <alignment vertical="top" wrapText="1"/>
    </xf>
    <xf numFmtId="0" fontId="53" fillId="27" borderId="10" xfId="0" applyFont="1" applyFill="1" applyBorder="1" applyAlignment="1">
      <alignment horizontal="left" vertical="center" wrapText="1"/>
    </xf>
    <xf numFmtId="0" fontId="53" fillId="27" borderId="53" xfId="0" applyFont="1" applyFill="1" applyBorder="1" applyAlignment="1">
      <alignment horizontal="center" vertical="center" wrapText="1"/>
    </xf>
    <xf numFmtId="0" fontId="53" fillId="27" borderId="10" xfId="0" applyFont="1" applyFill="1" applyBorder="1" applyAlignment="1">
      <alignment horizontal="center" vertical="center" wrapText="1"/>
    </xf>
    <xf numFmtId="0" fontId="53" fillId="27" borderId="17" xfId="0" applyFont="1" applyFill="1" applyBorder="1" applyAlignment="1">
      <alignment horizontal="center" vertical="center" wrapText="1"/>
    </xf>
    <xf numFmtId="0" fontId="53" fillId="27" borderId="62" xfId="0" applyFont="1" applyFill="1" applyBorder="1" applyAlignment="1">
      <alignment horizontal="center" vertical="center" wrapText="1"/>
    </xf>
    <xf numFmtId="0" fontId="53" fillId="27" borderId="18" xfId="0" applyFont="1" applyFill="1" applyBorder="1" applyAlignment="1">
      <alignment horizontal="center" vertical="center" wrapText="1"/>
    </xf>
    <xf numFmtId="0" fontId="36" fillId="0" borderId="53" xfId="0" applyFont="1" applyBorder="1" applyAlignment="1">
      <alignment horizontal="center" wrapText="1"/>
    </xf>
    <xf numFmtId="3" fontId="31" fillId="24" borderId="10" xfId="0" applyNumberFormat="1" applyFont="1" applyFill="1" applyBorder="1" applyAlignment="1">
      <alignment horizontal="right" wrapText="1"/>
    </xf>
    <xf numFmtId="172" fontId="33" fillId="0" borderId="10" xfId="0" applyNumberFormat="1" applyFont="1" applyBorder="1" applyAlignment="1">
      <alignment horizontal="right" wrapText="1"/>
    </xf>
    <xf numFmtId="172" fontId="33" fillId="0" borderId="82" xfId="0" applyNumberFormat="1" applyFont="1" applyFill="1" applyBorder="1" applyAlignment="1">
      <alignment horizontal="right" wrapText="1"/>
    </xf>
    <xf numFmtId="172" fontId="33" fillId="0" borderId="87" xfId="0" applyNumberFormat="1" applyFont="1" applyFill="1" applyBorder="1" applyAlignment="1">
      <alignment horizontal="right" wrapText="1"/>
    </xf>
    <xf numFmtId="171" fontId="31" fillId="24" borderId="10" xfId="0" applyNumberFormat="1" applyFont="1" applyFill="1" applyBorder="1"/>
    <xf numFmtId="173" fontId="31" fillId="0" borderId="75" xfId="0" applyNumberFormat="1" applyFont="1" applyFill="1" applyBorder="1" applyAlignment="1">
      <alignment horizontal="right" wrapText="1"/>
    </xf>
    <xf numFmtId="171" fontId="31" fillId="0" borderId="75" xfId="0" applyNumberFormat="1" applyFont="1" applyFill="1" applyBorder="1" applyAlignment="1">
      <alignment horizontal="right"/>
    </xf>
    <xf numFmtId="171" fontId="31" fillId="0" borderId="10" xfId="0" applyNumberFormat="1" applyFont="1" applyBorder="1" applyAlignment="1">
      <alignment horizontal="right"/>
    </xf>
    <xf numFmtId="172" fontId="33" fillId="0" borderId="0" xfId="0" applyNumberFormat="1" applyFont="1" applyAlignment="1">
      <alignment horizontal="right" wrapText="1"/>
    </xf>
    <xf numFmtId="173" fontId="31" fillId="0" borderId="0" xfId="0" applyNumberFormat="1" applyFont="1" applyFill="1" applyBorder="1" applyAlignment="1">
      <alignment horizontal="right" wrapText="1"/>
    </xf>
    <xf numFmtId="0" fontId="53" fillId="27" borderId="10" xfId="0" applyFont="1" applyFill="1" applyBorder="1" applyAlignment="1">
      <alignment horizontal="center" vertical="top" wrapText="1"/>
    </xf>
    <xf numFmtId="166" fontId="33" fillId="0" borderId="12" xfId="0" applyNumberFormat="1" applyFont="1" applyBorder="1" applyAlignment="1">
      <alignment horizontal="right" wrapText="1"/>
    </xf>
    <xf numFmtId="166" fontId="33" fillId="0" borderId="75" xfId="0" applyNumberFormat="1" applyFont="1" applyFill="1" applyBorder="1" applyAlignment="1">
      <alignment horizontal="right" wrapText="1"/>
    </xf>
    <xf numFmtId="166" fontId="31" fillId="0" borderId="75" xfId="0" applyNumberFormat="1" applyFont="1" applyBorder="1"/>
    <xf numFmtId="166" fontId="31" fillId="0" borderId="87" xfId="0" applyNumberFormat="1" applyFont="1" applyFill="1" applyBorder="1"/>
    <xf numFmtId="49" fontId="31" fillId="0" borderId="87" xfId="0" applyNumberFormat="1" applyFont="1" applyFill="1" applyBorder="1" applyAlignment="1">
      <alignment horizontal="right"/>
    </xf>
    <xf numFmtId="171" fontId="30" fillId="0" borderId="10" xfId="0" applyNumberFormat="1" applyFont="1" applyBorder="1"/>
    <xf numFmtId="171" fontId="33" fillId="0" borderId="10" xfId="0" applyNumberFormat="1" applyFont="1" applyBorder="1" applyAlignment="1">
      <alignment horizontal="right" wrapText="1"/>
    </xf>
    <xf numFmtId="166" fontId="33" fillId="0" borderId="82" xfId="0" applyNumberFormat="1" applyFont="1" applyFill="1" applyBorder="1" applyAlignment="1">
      <alignment horizontal="right" wrapText="1"/>
    </xf>
    <xf numFmtId="166" fontId="33" fillId="0" borderId="87" xfId="0" applyNumberFormat="1" applyFont="1" applyFill="1" applyBorder="1" applyAlignment="1">
      <alignment horizontal="right" wrapText="1"/>
    </xf>
    <xf numFmtId="167" fontId="31" fillId="33" borderId="87" xfId="0" applyNumberFormat="1" applyFont="1" applyFill="1" applyBorder="1"/>
    <xf numFmtId="0" fontId="33" fillId="24" borderId="0" xfId="0" applyFont="1" applyFill="1"/>
    <xf numFmtId="0" fontId="43" fillId="0" borderId="75" xfId="0" applyFont="1" applyFill="1" applyBorder="1" applyAlignment="1">
      <alignment vertical="top" wrapText="1"/>
    </xf>
    <xf numFmtId="0" fontId="43" fillId="0" borderId="87" xfId="0" applyFont="1" applyFill="1" applyBorder="1" applyAlignment="1">
      <alignment vertical="top" wrapText="1"/>
    </xf>
    <xf numFmtId="0" fontId="33" fillId="0" borderId="10" xfId="0" applyFont="1" applyBorder="1"/>
    <xf numFmtId="0" fontId="31" fillId="0" borderId="75" xfId="0" applyFont="1" applyFill="1" applyBorder="1" applyAlignment="1">
      <alignment vertical="top" wrapText="1"/>
    </xf>
    <xf numFmtId="0" fontId="33" fillId="0" borderId="0" xfId="0" applyFont="1"/>
    <xf numFmtId="0" fontId="53" fillId="27" borderId="53" xfId="0" applyFont="1" applyFill="1" applyBorder="1" applyAlignment="1">
      <alignment horizontal="left" vertical="center" wrapText="1"/>
    </xf>
    <xf numFmtId="0" fontId="53" fillId="27" borderId="75" xfId="0" applyFont="1" applyFill="1" applyBorder="1" applyAlignment="1">
      <alignment horizontal="center" vertical="center" wrapText="1"/>
    </xf>
    <xf numFmtId="0" fontId="53" fillId="27" borderId="87" xfId="0" applyFont="1" applyFill="1" applyBorder="1" applyAlignment="1">
      <alignment horizontal="center" vertical="center" wrapText="1"/>
    </xf>
    <xf numFmtId="0" fontId="36" fillId="0" borderId="53" xfId="0" applyFont="1" applyBorder="1" applyAlignment="1">
      <alignment vertical="top" wrapText="1"/>
    </xf>
    <xf numFmtId="0" fontId="33" fillId="24" borderId="10" xfId="0" applyFont="1" applyFill="1" applyBorder="1"/>
    <xf numFmtId="0" fontId="33" fillId="0" borderId="10" xfId="0" applyFont="1" applyBorder="1" applyAlignment="1">
      <alignment horizontal="right"/>
    </xf>
    <xf numFmtId="0" fontId="31" fillId="0" borderId="11" xfId="0" applyFont="1" applyBorder="1"/>
    <xf numFmtId="0" fontId="36" fillId="0" borderId="53" xfId="0" applyFont="1" applyBorder="1" applyAlignment="1">
      <alignment horizontal="left" vertical="top" wrapText="1" indent="1"/>
    </xf>
    <xf numFmtId="3" fontId="33" fillId="24" borderId="53" xfId="0" applyNumberFormat="1" applyFont="1" applyFill="1" applyBorder="1" applyAlignment="1">
      <alignment horizontal="right" wrapText="1"/>
    </xf>
    <xf numFmtId="0" fontId="31" fillId="0" borderId="53" xfId="0" applyFont="1" applyBorder="1" applyAlignment="1">
      <alignment horizontal="left" vertical="top" wrapText="1" indent="1"/>
    </xf>
    <xf numFmtId="0" fontId="36" fillId="0" borderId="53" xfId="0" applyFont="1" applyBorder="1" applyAlignment="1">
      <alignment wrapText="1"/>
    </xf>
    <xf numFmtId="171" fontId="33" fillId="0" borderId="10" xfId="0" applyNumberFormat="1" applyFont="1" applyBorder="1"/>
    <xf numFmtId="0" fontId="31" fillId="0" borderId="77" xfId="0" applyFont="1" applyBorder="1" applyAlignment="1"/>
    <xf numFmtId="173" fontId="33" fillId="0" borderId="10" xfId="0" applyNumberFormat="1" applyFont="1" applyBorder="1" applyAlignment="1">
      <alignment horizontal="right" wrapText="1"/>
    </xf>
    <xf numFmtId="167" fontId="33" fillId="0" borderId="10" xfId="0" applyNumberFormat="1" applyFont="1" applyBorder="1" applyAlignment="1">
      <alignment horizontal="right"/>
    </xf>
    <xf numFmtId="173" fontId="33" fillId="0" borderId="53" xfId="0" applyNumberFormat="1" applyFont="1" applyBorder="1" applyAlignment="1">
      <alignment horizontal="right" wrapText="1"/>
    </xf>
    <xf numFmtId="0" fontId="33" fillId="0" borderId="10" xfId="0" applyFont="1" applyBorder="1" applyAlignment="1">
      <alignment horizontal="right" wrapText="1"/>
    </xf>
    <xf numFmtId="0" fontId="36" fillId="0" borderId="53" xfId="0" applyFont="1" applyBorder="1" applyAlignment="1">
      <alignment horizontal="justify" vertical="top" wrapText="1"/>
    </xf>
    <xf numFmtId="167" fontId="33" fillId="0" borderId="10" xfId="0" applyNumberFormat="1" applyFont="1" applyBorder="1"/>
    <xf numFmtId="166" fontId="33" fillId="0" borderId="18" xfId="0" applyNumberFormat="1" applyFont="1" applyBorder="1" applyAlignment="1">
      <alignment horizontal="right" wrapText="1"/>
    </xf>
    <xf numFmtId="167" fontId="31" fillId="0" borderId="17" xfId="0" applyNumberFormat="1" applyFont="1" applyBorder="1"/>
    <xf numFmtId="0" fontId="31" fillId="0" borderId="17" xfId="0" applyFont="1" applyBorder="1"/>
    <xf numFmtId="0" fontId="31" fillId="0" borderId="76" xfId="0" applyFont="1" applyBorder="1"/>
    <xf numFmtId="0" fontId="36" fillId="0" borderId="53" xfId="0" applyFont="1" applyBorder="1" applyAlignment="1">
      <alignment horizontal="center" vertical="top" wrapText="1"/>
    </xf>
    <xf numFmtId="166" fontId="33" fillId="0" borderId="53" xfId="0" applyNumberFormat="1" applyFont="1" applyBorder="1" applyAlignment="1">
      <alignment horizontal="right" wrapText="1"/>
    </xf>
    <xf numFmtId="180" fontId="31" fillId="0" borderId="24" xfId="0" applyNumberFormat="1" applyFont="1" applyBorder="1" applyAlignment="1">
      <alignment horizontal="right" wrapText="1"/>
    </xf>
    <xf numFmtId="178" fontId="33" fillId="0" borderId="10" xfId="0" applyNumberFormat="1" applyFont="1" applyBorder="1" applyAlignment="1">
      <alignment horizontal="right" wrapText="1"/>
    </xf>
    <xf numFmtId="177" fontId="33" fillId="0" borderId="10" xfId="0" applyNumberFormat="1" applyFont="1" applyBorder="1" applyAlignment="1">
      <alignment horizontal="right" wrapText="1"/>
    </xf>
    <xf numFmtId="173" fontId="33" fillId="0" borderId="75" xfId="0" applyNumberFormat="1" applyFont="1" applyBorder="1" applyAlignment="1">
      <alignment horizontal="right" wrapText="1"/>
    </xf>
    <xf numFmtId="0" fontId="35" fillId="0" borderId="10" xfId="0" applyFont="1" applyBorder="1" applyAlignment="1">
      <alignment horizontal="center" wrapText="1"/>
    </xf>
    <xf numFmtId="0" fontId="31" fillId="0" borderId="0" xfId="0" applyFont="1" applyBorder="1" applyAlignment="1"/>
    <xf numFmtId="0" fontId="31" fillId="0" borderId="53" xfId="0" applyFont="1" applyBorder="1" applyAlignment="1">
      <alignment horizontal="right"/>
    </xf>
    <xf numFmtId="3" fontId="33" fillId="0" borderId="10" xfId="0" applyNumberFormat="1" applyFont="1" applyBorder="1"/>
    <xf numFmtId="3" fontId="31" fillId="0" borderId="53" xfId="0" applyNumberFormat="1" applyFont="1" applyBorder="1" applyAlignment="1">
      <alignment horizontal="right"/>
    </xf>
    <xf numFmtId="3" fontId="31" fillId="0" borderId="18" xfId="0" applyNumberFormat="1" applyFont="1" applyFill="1" applyBorder="1" applyAlignment="1">
      <alignment horizontal="right"/>
    </xf>
    <xf numFmtId="3" fontId="31" fillId="0" borderId="76" xfId="0" applyNumberFormat="1" applyFont="1" applyFill="1" applyBorder="1" applyAlignment="1">
      <alignment horizontal="right"/>
    </xf>
    <xf numFmtId="3" fontId="31" fillId="0" borderId="87" xfId="0" applyNumberFormat="1" applyFont="1" applyFill="1" applyBorder="1" applyAlignment="1">
      <alignment horizontal="right"/>
    </xf>
    <xf numFmtId="0" fontId="31" fillId="0" borderId="0" xfId="0" applyFont="1" applyAlignment="1">
      <alignment horizontal="right"/>
    </xf>
    <xf numFmtId="0" fontId="31" fillId="0" borderId="76" xfId="0" applyFont="1" applyBorder="1" applyAlignment="1">
      <alignment horizontal="right"/>
    </xf>
    <xf numFmtId="3" fontId="31" fillId="0" borderId="76" xfId="0" applyNumberFormat="1" applyFont="1" applyBorder="1" applyAlignment="1">
      <alignment horizontal="right"/>
    </xf>
    <xf numFmtId="3" fontId="31" fillId="0" borderId="75" xfId="0" applyNumberFormat="1" applyFont="1" applyBorder="1" applyAlignment="1">
      <alignment horizontal="right"/>
    </xf>
    <xf numFmtId="171" fontId="33" fillId="0" borderId="10" xfId="0" applyNumberFormat="1" applyFont="1" applyBorder="1" applyAlignment="1">
      <alignment horizontal="right"/>
    </xf>
    <xf numFmtId="0" fontId="53" fillId="28" borderId="53" xfId="0" applyFont="1" applyFill="1" applyBorder="1" applyAlignment="1">
      <alignment horizontal="left" vertical="center" wrapText="1"/>
    </xf>
    <xf numFmtId="0" fontId="53" fillId="28" borderId="53" xfId="0" applyFont="1" applyFill="1" applyBorder="1" applyAlignment="1">
      <alignment horizontal="center" vertical="center" wrapText="1"/>
    </xf>
    <xf numFmtId="0" fontId="53" fillId="28" borderId="10" xfId="0" applyFont="1" applyFill="1" applyBorder="1" applyAlignment="1">
      <alignment horizontal="center" vertical="center" wrapText="1"/>
    </xf>
    <xf numFmtId="0" fontId="53" fillId="29" borderId="10" xfId="0" applyFont="1" applyFill="1" applyBorder="1" applyAlignment="1">
      <alignment horizontal="center" vertical="center" wrapText="1"/>
    </xf>
    <xf numFmtId="0" fontId="55" fillId="29" borderId="46" xfId="0" applyFont="1" applyFill="1" applyBorder="1" applyAlignment="1">
      <alignment horizontal="center" vertical="center" wrapText="1"/>
    </xf>
    <xf numFmtId="166" fontId="36" fillId="0" borderId="53" xfId="0" applyNumberFormat="1" applyFont="1" applyBorder="1" applyAlignment="1">
      <alignment horizontal="center"/>
    </xf>
    <xf numFmtId="4" fontId="31" fillId="0" borderId="10" xfId="0" applyNumberFormat="1" applyFont="1" applyBorder="1"/>
    <xf numFmtId="4" fontId="31" fillId="0" borderId="46" xfId="0" applyNumberFormat="1" applyFont="1" applyBorder="1"/>
    <xf numFmtId="49" fontId="33" fillId="0" borderId="10" xfId="0" applyNumberFormat="1" applyFont="1" applyBorder="1" applyAlignment="1">
      <alignment horizontal="right" wrapText="1"/>
    </xf>
    <xf numFmtId="173" fontId="33" fillId="0" borderId="46" xfId="0" applyNumberFormat="1" applyFont="1" applyBorder="1" applyAlignment="1">
      <alignment horizontal="right" wrapText="1"/>
    </xf>
    <xf numFmtId="166" fontId="31" fillId="0" borderId="34" xfId="0" applyNumberFormat="1" applyFont="1" applyBorder="1" applyAlignment="1">
      <alignment horizontal="right"/>
    </xf>
    <xf numFmtId="0" fontId="31" fillId="0" borderId="65" xfId="0" applyFont="1" applyFill="1" applyBorder="1"/>
    <xf numFmtId="0" fontId="33" fillId="0" borderId="82" xfId="0" applyFont="1" applyFill="1" applyBorder="1" applyAlignment="1">
      <alignment horizontal="right" wrapText="1"/>
    </xf>
    <xf numFmtId="166" fontId="33" fillId="0" borderId="10" xfId="0" applyNumberFormat="1" applyFont="1" applyBorder="1"/>
    <xf numFmtId="171" fontId="31" fillId="0" borderId="10" xfId="0" applyNumberFormat="1" applyFont="1" applyBorder="1"/>
    <xf numFmtId="166" fontId="31" fillId="0" borderId="34" xfId="0" applyNumberFormat="1" applyFont="1" applyBorder="1"/>
    <xf numFmtId="173" fontId="33" fillId="0" borderId="53" xfId="0" applyNumberFormat="1" applyFont="1" applyBorder="1" applyAlignment="1">
      <alignment horizontal="right" vertical="center" wrapText="1"/>
    </xf>
    <xf numFmtId="0" fontId="43" fillId="0" borderId="55" xfId="0" applyFont="1" applyBorder="1" applyAlignment="1">
      <alignment horizontal="left" vertical="top" wrapText="1"/>
    </xf>
    <xf numFmtId="0" fontId="53" fillId="27" borderId="10" xfId="0" applyFont="1" applyFill="1" applyBorder="1" applyAlignment="1">
      <alignment vertical="center" wrapText="1"/>
    </xf>
    <xf numFmtId="166" fontId="35" fillId="0" borderId="62" xfId="0" applyNumberFormat="1" applyFont="1" applyBorder="1" applyAlignment="1">
      <alignment vertical="top" wrapText="1"/>
    </xf>
    <xf numFmtId="166" fontId="35" fillId="0" borderId="62" xfId="0" applyNumberFormat="1" applyFont="1" applyBorder="1" applyAlignment="1">
      <alignment horizontal="center" vertical="top" wrapText="1"/>
    </xf>
    <xf numFmtId="166" fontId="31" fillId="0" borderId="62" xfId="0" applyNumberFormat="1" applyFont="1" applyBorder="1" applyAlignment="1">
      <alignment horizontal="right" wrapText="1"/>
    </xf>
    <xf numFmtId="166" fontId="33" fillId="0" borderId="62" xfId="0" applyNumberFormat="1" applyFont="1" applyBorder="1" applyAlignment="1">
      <alignment horizontal="right" wrapText="1"/>
    </xf>
    <xf numFmtId="166" fontId="33" fillId="24" borderId="75" xfId="0" applyNumberFormat="1" applyFont="1" applyFill="1" applyBorder="1" applyAlignment="1">
      <alignment horizontal="right" wrapText="1"/>
    </xf>
    <xf numFmtId="166" fontId="33" fillId="24" borderId="87" xfId="0" applyNumberFormat="1" applyFont="1" applyFill="1" applyBorder="1" applyAlignment="1">
      <alignment horizontal="right" wrapText="1"/>
    </xf>
    <xf numFmtId="166" fontId="36" fillId="0" borderId="62" xfId="0" applyNumberFormat="1" applyFont="1" applyBorder="1" applyAlignment="1">
      <alignment horizontal="center"/>
    </xf>
    <xf numFmtId="0" fontId="36" fillId="0" borderId="62" xfId="0" applyFont="1" applyBorder="1" applyAlignment="1">
      <alignment wrapText="1"/>
    </xf>
    <xf numFmtId="166" fontId="31" fillId="0" borderId="62" xfId="0" applyNumberFormat="1" applyFont="1" applyBorder="1"/>
    <xf numFmtId="168" fontId="36" fillId="0" borderId="62" xfId="2344" applyNumberFormat="1" applyFont="1" applyFill="1" applyBorder="1" applyAlignment="1">
      <alignment horizontal="right"/>
    </xf>
    <xf numFmtId="166" fontId="31" fillId="0" borderId="0" xfId="2344" applyNumberFormat="1" applyFont="1" applyFill="1" applyAlignment="1">
      <alignment horizontal="right"/>
    </xf>
    <xf numFmtId="166" fontId="31" fillId="0" borderId="62" xfId="2344" applyNumberFormat="1" applyFont="1" applyFill="1" applyBorder="1" applyAlignment="1">
      <alignment horizontal="right"/>
    </xf>
    <xf numFmtId="166" fontId="36" fillId="0" borderId="62" xfId="0" applyNumberFormat="1" applyFont="1" applyBorder="1" applyAlignment="1">
      <alignment horizontal="right" wrapText="1"/>
    </xf>
    <xf numFmtId="166" fontId="36" fillId="0" borderId="62" xfId="0" applyNumberFormat="1" applyFont="1" applyBorder="1" applyAlignment="1">
      <alignment vertical="top" wrapText="1"/>
    </xf>
    <xf numFmtId="166" fontId="31" fillId="0" borderId="62" xfId="0" applyNumberFormat="1" applyFont="1" applyBorder="1" applyAlignment="1">
      <alignment horizontal="right"/>
    </xf>
    <xf numFmtId="166" fontId="31" fillId="24" borderId="75" xfId="0" applyNumberFormat="1" applyFont="1" applyFill="1" applyBorder="1"/>
    <xf numFmtId="166" fontId="31" fillId="0" borderId="0" xfId="0" applyNumberFormat="1" applyFont="1"/>
    <xf numFmtId="167" fontId="31" fillId="24" borderId="75" xfId="0" applyNumberFormat="1" applyFont="1" applyFill="1" applyBorder="1"/>
    <xf numFmtId="49" fontId="31" fillId="33" borderId="87" xfId="0" applyNumberFormat="1" applyFont="1" applyFill="1" applyBorder="1" applyAlignment="1">
      <alignment horizontal="right"/>
    </xf>
    <xf numFmtId="0" fontId="53" fillId="26" borderId="53" xfId="0" applyFont="1" applyFill="1" applyBorder="1" applyAlignment="1">
      <alignment horizontal="left" vertical="center" wrapText="1"/>
    </xf>
    <xf numFmtId="0" fontId="53" fillId="26" borderId="53" xfId="0" applyFont="1" applyFill="1" applyBorder="1" applyAlignment="1">
      <alignment horizontal="center" vertical="center" wrapText="1"/>
    </xf>
    <xf numFmtId="0" fontId="53" fillId="26" borderId="62" xfId="0" applyFont="1" applyFill="1" applyBorder="1" applyAlignment="1">
      <alignment horizontal="center" vertical="center" wrapText="1"/>
    </xf>
    <xf numFmtId="0" fontId="53" fillId="26" borderId="87" xfId="0" applyFont="1" applyFill="1" applyBorder="1" applyAlignment="1">
      <alignment horizontal="center" vertical="center" wrapText="1"/>
    </xf>
    <xf numFmtId="0" fontId="36" fillId="24" borderId="53" xfId="0" applyFont="1" applyFill="1" applyBorder="1" applyAlignment="1">
      <alignment horizontal="justify" vertical="top" wrapText="1"/>
    </xf>
    <xf numFmtId="0" fontId="31" fillId="24" borderId="10" xfId="0" applyFont="1" applyFill="1" applyBorder="1" applyAlignment="1">
      <alignment horizontal="right"/>
    </xf>
    <xf numFmtId="172" fontId="31" fillId="0" borderId="75" xfId="0" applyNumberFormat="1" applyFont="1" applyBorder="1"/>
    <xf numFmtId="0" fontId="33" fillId="0" borderId="10" xfId="3218" applyFont="1" applyBorder="1" applyAlignment="1">
      <alignment horizontal="right" wrapText="1"/>
    </xf>
    <xf numFmtId="3" fontId="31" fillId="0" borderId="53" xfId="0" applyNumberFormat="1" applyFont="1" applyBorder="1"/>
    <xf numFmtId="0" fontId="36" fillId="24" borderId="53" xfId="0" applyFont="1" applyFill="1" applyBorder="1" applyAlignment="1">
      <alignment wrapText="1"/>
    </xf>
    <xf numFmtId="0" fontId="36" fillId="24" borderId="53" xfId="0" applyFont="1" applyFill="1" applyBorder="1" applyAlignment="1">
      <alignment horizontal="center" wrapText="1"/>
    </xf>
    <xf numFmtId="166" fontId="31" fillId="24" borderId="10" xfId="0" applyNumberFormat="1" applyFont="1" applyFill="1" applyBorder="1"/>
    <xf numFmtId="166" fontId="31" fillId="0" borderId="12" xfId="0" applyNumberFormat="1" applyFont="1" applyBorder="1"/>
    <xf numFmtId="166" fontId="31" fillId="0" borderId="53" xfId="0" applyNumberFormat="1" applyFont="1" applyBorder="1"/>
    <xf numFmtId="0" fontId="31" fillId="24" borderId="10" xfId="0" applyFont="1" applyFill="1" applyBorder="1" applyAlignment="1">
      <alignment horizontal="right" wrapText="1"/>
    </xf>
    <xf numFmtId="0" fontId="36" fillId="0" borderId="53" xfId="0" applyFont="1" applyBorder="1" applyAlignment="1">
      <alignment horizontal="justify" wrapText="1"/>
    </xf>
    <xf numFmtId="0" fontId="53" fillId="26" borderId="44" xfId="0" applyFont="1" applyFill="1" applyBorder="1" applyAlignment="1">
      <alignment horizontal="left" vertical="center" wrapText="1"/>
    </xf>
    <xf numFmtId="0" fontId="36" fillId="0" borderId="44" xfId="0" applyFont="1" applyBorder="1" applyAlignment="1">
      <alignment horizontal="justify" vertical="top" wrapText="1"/>
    </xf>
    <xf numFmtId="174" fontId="33" fillId="24" borderId="10" xfId="0" applyNumberFormat="1" applyFont="1" applyFill="1" applyBorder="1" applyAlignment="1">
      <alignment wrapText="1"/>
    </xf>
    <xf numFmtId="3" fontId="58" fillId="0" borderId="82" xfId="0" applyNumberFormat="1" applyFont="1" applyFill="1" applyBorder="1" applyAlignment="1">
      <alignment horizontal="right" wrapText="1"/>
    </xf>
    <xf numFmtId="0" fontId="31" fillId="0" borderId="44" xfId="0" applyFont="1" applyBorder="1" applyAlignment="1">
      <alignment horizontal="left" vertical="top" wrapText="1" indent="1"/>
    </xf>
    <xf numFmtId="174" fontId="31" fillId="24" borderId="10" xfId="0" applyNumberFormat="1" applyFont="1" applyFill="1" applyBorder="1"/>
    <xf numFmtId="0" fontId="31" fillId="0" borderId="19" xfId="0" applyFont="1" applyFill="1" applyBorder="1"/>
    <xf numFmtId="0" fontId="31" fillId="0" borderId="17" xfId="0" applyFont="1" applyFill="1" applyBorder="1"/>
    <xf numFmtId="3" fontId="31" fillId="0" borderId="82" xfId="0" applyNumberFormat="1" applyFont="1" applyBorder="1" applyAlignment="1">
      <alignment horizontal="right" wrapText="1"/>
    </xf>
    <xf numFmtId="0" fontId="33" fillId="0" borderId="10" xfId="0" applyFont="1" applyBorder="1" applyAlignment="1">
      <alignment horizontal="right" vertical="center" wrapText="1"/>
    </xf>
    <xf numFmtId="0" fontId="31" fillId="0" borderId="10" xfId="0" applyFont="1" applyBorder="1" applyAlignment="1">
      <alignment horizontal="right" vertical="center" wrapText="1"/>
    </xf>
    <xf numFmtId="175" fontId="33" fillId="0" borderId="10" xfId="0" applyNumberFormat="1" applyFont="1" applyBorder="1" applyAlignment="1">
      <alignment wrapText="1"/>
    </xf>
    <xf numFmtId="175" fontId="33" fillId="0" borderId="82" xfId="0" applyNumberFormat="1" applyFont="1" applyFill="1" applyBorder="1" applyAlignment="1">
      <alignment wrapText="1"/>
    </xf>
    <xf numFmtId="3" fontId="31" fillId="0" borderId="17" xfId="0" applyNumberFormat="1" applyFont="1" applyBorder="1"/>
    <xf numFmtId="166" fontId="33" fillId="0" borderId="11" xfId="0" applyNumberFormat="1" applyFont="1" applyBorder="1" applyAlignment="1">
      <alignment horizontal="right" wrapText="1"/>
    </xf>
    <xf numFmtId="0" fontId="30" fillId="0" borderId="19" xfId="0" applyFont="1" applyBorder="1"/>
    <xf numFmtId="0" fontId="59" fillId="32" borderId="44" xfId="0" applyFont="1" applyFill="1" applyBorder="1" applyAlignment="1">
      <alignment horizontal="left" vertical="center" wrapText="1"/>
    </xf>
    <xf numFmtId="0" fontId="36" fillId="32" borderId="10" xfId="0" applyFont="1" applyFill="1" applyBorder="1" applyAlignment="1">
      <alignment horizontal="center" vertical="center" wrapText="1"/>
    </xf>
    <xf numFmtId="49" fontId="36" fillId="32" borderId="10" xfId="0" applyNumberFormat="1" applyFont="1" applyFill="1" applyBorder="1" applyAlignment="1">
      <alignment horizontal="center" vertical="center" wrapText="1"/>
    </xf>
    <xf numFmtId="49" fontId="36" fillId="32" borderId="22" xfId="0" applyNumberFormat="1" applyFont="1" applyFill="1" applyBorder="1" applyAlignment="1">
      <alignment horizontal="center" vertical="center" wrapText="1"/>
    </xf>
    <xf numFmtId="0" fontId="36" fillId="0" borderId="44" xfId="0" applyFont="1" applyBorder="1" applyAlignment="1">
      <alignment wrapText="1"/>
    </xf>
    <xf numFmtId="0" fontId="31" fillId="0" borderId="34" xfId="0" applyFont="1" applyBorder="1"/>
    <xf numFmtId="0" fontId="31" fillId="0" borderId="64" xfId="0" applyFont="1" applyBorder="1"/>
    <xf numFmtId="0" fontId="36" fillId="0" borderId="44" xfId="0" applyFont="1" applyBorder="1" applyAlignment="1">
      <alignment horizontal="left" wrapText="1" indent="1"/>
    </xf>
    <xf numFmtId="167" fontId="31" fillId="0" borderId="64" xfId="0" applyNumberFormat="1" applyFont="1" applyBorder="1"/>
    <xf numFmtId="171" fontId="33" fillId="24" borderId="10" xfId="0" applyNumberFormat="1" applyFont="1" applyFill="1" applyBorder="1" applyAlignment="1">
      <alignment horizontal="right" wrapText="1"/>
    </xf>
    <xf numFmtId="0" fontId="31" fillId="0" borderId="64" xfId="0" applyFont="1" applyBorder="1" applyAlignment="1">
      <alignment horizontal="right"/>
    </xf>
    <xf numFmtId="167" fontId="31" fillId="0" borderId="64" xfId="0" applyNumberFormat="1" applyFont="1" applyBorder="1" applyAlignment="1">
      <alignment horizontal="right"/>
    </xf>
    <xf numFmtId="167" fontId="31" fillId="0" borderId="34" xfId="0" applyNumberFormat="1" applyFont="1" applyBorder="1"/>
    <xf numFmtId="49" fontId="53" fillId="26" borderId="10" xfId="0" applyNumberFormat="1" applyFont="1" applyFill="1" applyBorder="1" applyAlignment="1">
      <alignment horizontal="center" vertical="center" wrapText="1"/>
    </xf>
    <xf numFmtId="0" fontId="53" fillId="26" borderId="70" xfId="0" applyFont="1" applyFill="1" applyBorder="1" applyAlignment="1">
      <alignment horizontal="center" vertical="center" wrapText="1"/>
    </xf>
    <xf numFmtId="0" fontId="35" fillId="0" borderId="44" xfId="0" applyFont="1" applyBorder="1" applyAlignment="1">
      <alignment vertical="top" wrapText="1"/>
    </xf>
    <xf numFmtId="0" fontId="36" fillId="0" borderId="0" xfId="0" applyFont="1" applyAlignment="1">
      <alignment horizontal="center"/>
    </xf>
    <xf numFmtId="180" fontId="33" fillId="33" borderId="10" xfId="0" applyNumberFormat="1" applyFont="1" applyFill="1" applyBorder="1" applyAlignment="1">
      <alignment horizontal="right" wrapText="1"/>
    </xf>
    <xf numFmtId="180" fontId="33" fillId="0" borderId="10" xfId="0" applyNumberFormat="1" applyFont="1" applyBorder="1" applyAlignment="1">
      <alignment horizontal="right" wrapText="1"/>
    </xf>
    <xf numFmtId="180" fontId="33" fillId="0" borderId="70" xfId="0" applyNumberFormat="1" applyFont="1" applyBorder="1" applyAlignment="1">
      <alignment horizontal="right" wrapText="1"/>
    </xf>
    <xf numFmtId="170" fontId="33" fillId="24" borderId="10" xfId="0" applyNumberFormat="1" applyFont="1" applyFill="1" applyBorder="1" applyAlignment="1">
      <alignment horizontal="right" wrapText="1"/>
    </xf>
    <xf numFmtId="169" fontId="33" fillId="33" borderId="10" xfId="2344" applyNumberFormat="1" applyFont="1" applyFill="1" applyBorder="1" applyAlignment="1">
      <alignment horizontal="right" wrapText="1"/>
    </xf>
    <xf numFmtId="169" fontId="33" fillId="0" borderId="10" xfId="2344" applyNumberFormat="1" applyFont="1" applyFill="1" applyBorder="1" applyAlignment="1">
      <alignment horizontal="right" wrapText="1"/>
    </xf>
    <xf numFmtId="169" fontId="33" fillId="0" borderId="70" xfId="2344" applyNumberFormat="1" applyFont="1" applyFill="1" applyBorder="1" applyAlignment="1">
      <alignment horizontal="right" wrapText="1"/>
    </xf>
    <xf numFmtId="169" fontId="31" fillId="0" borderId="70" xfId="2344" applyNumberFormat="1" applyFont="1" applyFill="1" applyBorder="1" applyAlignment="1">
      <alignment horizontal="right"/>
    </xf>
    <xf numFmtId="49" fontId="53" fillId="26" borderId="34" xfId="0" applyNumberFormat="1" applyFont="1" applyFill="1" applyBorder="1" applyAlignment="1">
      <alignment horizontal="center" vertical="center" wrapText="1"/>
    </xf>
    <xf numFmtId="0" fontId="35" fillId="0" borderId="44" xfId="0" applyFont="1" applyBorder="1" applyAlignment="1" applyProtection="1">
      <alignment horizontal="left" vertical="top" wrapText="1"/>
      <protection locked="0"/>
    </xf>
    <xf numFmtId="171" fontId="33" fillId="24" borderId="34" xfId="0" applyNumberFormat="1" applyFont="1" applyFill="1" applyBorder="1" applyAlignment="1">
      <alignment horizontal="right" wrapText="1"/>
    </xf>
    <xf numFmtId="171" fontId="33" fillId="0" borderId="34" xfId="0" applyNumberFormat="1" applyFont="1" applyBorder="1" applyAlignment="1">
      <alignment horizontal="right" wrapText="1"/>
    </xf>
    <xf numFmtId="166" fontId="34" fillId="0" borderId="67" xfId="0" applyNumberFormat="1" applyFont="1" applyBorder="1" applyAlignment="1">
      <alignment horizontal="right" wrapText="1"/>
    </xf>
    <xf numFmtId="166" fontId="33" fillId="24" borderId="10" xfId="0" applyNumberFormat="1" applyFont="1" applyFill="1" applyBorder="1" applyAlignment="1">
      <alignment horizontal="right" vertical="top" wrapText="1"/>
    </xf>
    <xf numFmtId="167" fontId="34" fillId="0" borderId="34" xfId="0" applyNumberFormat="1" applyFont="1" applyBorder="1" applyAlignment="1">
      <alignment horizontal="right"/>
    </xf>
    <xf numFmtId="0" fontId="31" fillId="0" borderId="0" xfId="0" applyFont="1" applyAlignment="1">
      <alignment horizontal="center"/>
    </xf>
    <xf numFmtId="171" fontId="33" fillId="0" borderId="67" xfId="0" applyNumberFormat="1" applyFont="1" applyBorder="1" applyAlignment="1">
      <alignment horizontal="right" wrapText="1"/>
    </xf>
    <xf numFmtId="166" fontId="34" fillId="0" borderId="34" xfId="0" applyNumberFormat="1" applyFont="1" applyBorder="1" applyAlignment="1">
      <alignment horizontal="right" wrapText="1"/>
    </xf>
    <xf numFmtId="166" fontId="34" fillId="0" borderId="67" xfId="0" applyNumberFormat="1" applyFont="1" applyBorder="1" applyAlignment="1">
      <alignment horizontal="right"/>
    </xf>
    <xf numFmtId="166" fontId="36" fillId="0" borderId="53" xfId="0" applyNumberFormat="1" applyFont="1" applyBorder="1" applyAlignment="1">
      <alignment horizontal="center" vertical="center"/>
    </xf>
    <xf numFmtId="0" fontId="30" fillId="0" borderId="67" xfId="0" applyFont="1" applyBorder="1"/>
    <xf numFmtId="0" fontId="30" fillId="33" borderId="0" xfId="0" applyFont="1" applyFill="1" applyBorder="1"/>
    <xf numFmtId="166" fontId="33" fillId="33" borderId="87" xfId="0" applyNumberFormat="1" applyFont="1" applyFill="1" applyBorder="1" applyAlignment="1">
      <alignment horizontal="right" wrapText="1"/>
    </xf>
    <xf numFmtId="49" fontId="33" fillId="33" borderId="10" xfId="0" applyNumberFormat="1" applyFont="1" applyFill="1" applyBorder="1" applyAlignment="1">
      <alignment horizontal="right" wrapText="1"/>
    </xf>
    <xf numFmtId="3" fontId="31" fillId="33" borderId="87" xfId="0" applyNumberFormat="1" applyFont="1" applyFill="1" applyBorder="1" applyAlignment="1">
      <alignment horizontal="right"/>
    </xf>
    <xf numFmtId="0" fontId="60" fillId="0" borderId="87" xfId="0" applyFont="1" applyFill="1" applyBorder="1"/>
    <xf numFmtId="0" fontId="43" fillId="0" borderId="10" xfId="0" applyFont="1" applyBorder="1" applyAlignment="1">
      <alignment horizontal="left" vertical="top" wrapText="1"/>
    </xf>
    <xf numFmtId="0" fontId="51" fillId="0" borderId="0" xfId="0" applyFont="1" applyAlignment="1">
      <alignment horizontal="left" vertical="justify" wrapText="1"/>
    </xf>
    <xf numFmtId="0" fontId="51" fillId="0" borderId="10" xfId="0" applyFont="1" applyBorder="1" applyAlignment="1">
      <alignment horizontal="left" vertical="top" wrapText="1"/>
    </xf>
    <xf numFmtId="0" fontId="42" fillId="0" borderId="0" xfId="0" applyFont="1" applyAlignment="1">
      <alignment horizontal="left" wrapText="1"/>
    </xf>
    <xf numFmtId="0" fontId="51" fillId="0" borderId="0" xfId="0" applyFont="1" applyAlignment="1">
      <alignment horizontal="left" vertical="top" wrapText="1"/>
    </xf>
    <xf numFmtId="0" fontId="51" fillId="0" borderId="74" xfId="0" applyFont="1" applyBorder="1" applyAlignment="1">
      <alignment vertical="top" wrapText="1"/>
    </xf>
    <xf numFmtId="0" fontId="51" fillId="0" borderId="0" xfId="0" applyFont="1" applyAlignment="1">
      <alignment vertical="top" wrapText="1"/>
    </xf>
    <xf numFmtId="3" fontId="31" fillId="0" borderId="0" xfId="0" applyNumberFormat="1" applyFont="1" applyFill="1" applyBorder="1" applyAlignment="1">
      <alignment horizontal="right"/>
    </xf>
    <xf numFmtId="0" fontId="42" fillId="0" borderId="0" xfId="0" applyFont="1" applyFill="1" applyBorder="1" applyAlignment="1">
      <alignment wrapText="1"/>
    </xf>
    <xf numFmtId="0" fontId="35" fillId="0" borderId="0" xfId="0" applyFont="1" applyFill="1" applyBorder="1" applyAlignment="1">
      <alignment horizontal="center" vertical="center" wrapText="1"/>
    </xf>
    <xf numFmtId="167" fontId="31" fillId="0" borderId="87" xfId="0" applyNumberFormat="1" applyFont="1" applyFill="1" applyBorder="1" applyAlignment="1">
      <alignment horizontal="right"/>
    </xf>
    <xf numFmtId="0" fontId="31" fillId="0" borderId="0" xfId="0" applyFont="1" applyFill="1" applyBorder="1" applyAlignment="1"/>
    <xf numFmtId="14" fontId="53" fillId="0" borderId="0" xfId="0" applyNumberFormat="1" applyFont="1" applyFill="1" applyBorder="1" applyAlignment="1">
      <alignment horizontal="center" vertical="center" wrapText="1"/>
    </xf>
    <xf numFmtId="0" fontId="35" fillId="0" borderId="0" xfId="0" applyFont="1" applyFill="1" applyBorder="1" applyAlignment="1">
      <alignment horizontal="left" vertical="center" wrapText="1"/>
    </xf>
    <xf numFmtId="49" fontId="35" fillId="0" borderId="0" xfId="0" applyNumberFormat="1" applyFont="1" applyFill="1" applyBorder="1" applyAlignment="1">
      <alignment horizontal="center" vertical="center" wrapText="1"/>
    </xf>
    <xf numFmtId="0" fontId="35" fillId="0" borderId="0" xfId="0" applyFont="1" applyFill="1" applyBorder="1" applyAlignment="1">
      <alignment vertical="top" wrapText="1"/>
    </xf>
    <xf numFmtId="0" fontId="36" fillId="0" borderId="0" xfId="0" applyFont="1" applyFill="1" applyBorder="1" applyAlignment="1">
      <alignment horizontal="center"/>
    </xf>
    <xf numFmtId="166" fontId="33" fillId="0" borderId="0" xfId="0" applyNumberFormat="1" applyFont="1" applyFill="1" applyBorder="1" applyAlignment="1">
      <alignment horizontal="right" wrapText="1"/>
    </xf>
    <xf numFmtId="168" fontId="31" fillId="0" borderId="0" xfId="2344" applyNumberFormat="1" applyFont="1" applyFill="1" applyBorder="1" applyAlignment="1">
      <alignment horizontal="right" wrapText="1"/>
    </xf>
    <xf numFmtId="168" fontId="33" fillId="0" borderId="0" xfId="2344" applyNumberFormat="1" applyFont="1" applyFill="1" applyBorder="1" applyAlignment="1">
      <alignment horizontal="right" wrapText="1"/>
    </xf>
    <xf numFmtId="166" fontId="31" fillId="0" borderId="0" xfId="2082" applyNumberFormat="1" applyFont="1" applyFill="1" applyBorder="1" applyAlignment="1">
      <alignment wrapText="1"/>
    </xf>
    <xf numFmtId="0" fontId="31" fillId="0" borderId="0" xfId="0" applyFont="1" applyFill="1" applyBorder="1" applyAlignment="1">
      <alignment horizontal="right" wrapText="1"/>
    </xf>
    <xf numFmtId="166" fontId="31" fillId="0" borderId="0" xfId="0" applyNumberFormat="1" applyFont="1" applyFill="1" applyBorder="1" applyAlignment="1">
      <alignment horizontal="right" vertical="center" wrapText="1"/>
    </xf>
    <xf numFmtId="167" fontId="31" fillId="0" borderId="0" xfId="17164" applyNumberFormat="1" applyFont="1" applyFill="1" applyBorder="1" applyAlignment="1">
      <alignment horizontal="right" vertical="center" wrapText="1"/>
    </xf>
    <xf numFmtId="183" fontId="31" fillId="0" borderId="0" xfId="0" applyNumberFormat="1" applyFont="1" applyFill="1" applyBorder="1" applyAlignment="1">
      <alignment horizontal="right" wrapText="1"/>
    </xf>
    <xf numFmtId="0" fontId="33" fillId="0" borderId="0" xfId="0" applyFont="1" applyFill="1" applyBorder="1" applyAlignment="1">
      <alignment horizontal="justify" vertical="top" wrapText="1"/>
    </xf>
    <xf numFmtId="167" fontId="31" fillId="0" borderId="0" xfId="0" applyNumberFormat="1" applyFont="1" applyFill="1" applyBorder="1"/>
    <xf numFmtId="0" fontId="34" fillId="0" borderId="0" xfId="0" applyFont="1" applyFill="1" applyBorder="1" applyAlignment="1">
      <alignment wrapText="1"/>
    </xf>
    <xf numFmtId="167" fontId="33" fillId="0" borderId="0" xfId="0" applyNumberFormat="1" applyFont="1" applyFill="1" applyBorder="1" applyAlignment="1">
      <alignment horizontal="right" wrapText="1"/>
    </xf>
    <xf numFmtId="0" fontId="35" fillId="0" borderId="0" xfId="0" applyFont="1" applyFill="1" applyBorder="1" applyAlignment="1">
      <alignment horizontal="justify" vertical="top" wrapText="1"/>
    </xf>
    <xf numFmtId="167" fontId="30" fillId="0" borderId="0" xfId="0" applyNumberFormat="1" applyFont="1" applyFill="1" applyBorder="1"/>
    <xf numFmtId="4" fontId="31" fillId="0" borderId="0" xfId="0" applyNumberFormat="1" applyFont="1" applyFill="1" applyBorder="1"/>
    <xf numFmtId="0" fontId="41" fillId="0" borderId="0" xfId="0" applyFont="1" applyFill="1" applyBorder="1" applyAlignment="1">
      <alignment horizontal="center"/>
    </xf>
    <xf numFmtId="167" fontId="31" fillId="0" borderId="0" xfId="0" applyNumberFormat="1" applyFont="1" applyFill="1" applyBorder="1" applyAlignment="1">
      <alignment horizontal="right"/>
    </xf>
    <xf numFmtId="0" fontId="35" fillId="0" borderId="0" xfId="0" applyFont="1" applyFill="1" applyBorder="1" applyAlignment="1">
      <alignment horizontal="center" vertical="top" wrapText="1"/>
    </xf>
    <xf numFmtId="0" fontId="33" fillId="0" borderId="0" xfId="0" applyFont="1" applyFill="1" applyBorder="1" applyAlignment="1">
      <alignment vertical="top" wrapText="1"/>
    </xf>
    <xf numFmtId="4" fontId="33" fillId="0" borderId="0" xfId="0" applyNumberFormat="1" applyFont="1" applyFill="1" applyBorder="1" applyAlignment="1">
      <alignment horizontal="right" wrapText="1"/>
    </xf>
    <xf numFmtId="182" fontId="31" fillId="0" borderId="0" xfId="0" applyNumberFormat="1" applyFont="1" applyFill="1" applyBorder="1" applyAlignment="1">
      <alignment horizontal="right" wrapText="1"/>
    </xf>
    <xf numFmtId="4" fontId="31" fillId="0" borderId="0" xfId="0" applyNumberFormat="1" applyFont="1" applyFill="1" applyBorder="1" applyAlignment="1">
      <alignment horizontal="right" wrapText="1"/>
    </xf>
    <xf numFmtId="167" fontId="31" fillId="0" borderId="0" xfId="0" applyNumberFormat="1" applyFont="1" applyFill="1" applyBorder="1" applyAlignment="1">
      <alignment horizontal="right" vertical="center" wrapText="1"/>
    </xf>
    <xf numFmtId="0" fontId="31" fillId="0" borderId="0" xfId="0" applyFont="1" applyFill="1" applyBorder="1" applyAlignment="1">
      <alignment horizontal="right"/>
    </xf>
    <xf numFmtId="167" fontId="33" fillId="0" borderId="0" xfId="2083" applyNumberFormat="1" applyFont="1" applyFill="1" applyBorder="1" applyAlignment="1">
      <alignment horizontal="right" wrapText="1"/>
    </xf>
    <xf numFmtId="167" fontId="31" fillId="0" borderId="0" xfId="0" applyNumberFormat="1" applyFont="1" applyFill="1" applyBorder="1" applyAlignment="1">
      <alignment horizontal="right" wrapText="1"/>
    </xf>
    <xf numFmtId="49" fontId="31" fillId="0" borderId="0" xfId="0" applyNumberFormat="1" applyFont="1" applyFill="1" applyBorder="1" applyAlignment="1">
      <alignment horizontal="right"/>
    </xf>
    <xf numFmtId="3" fontId="33" fillId="0" borderId="0" xfId="0" applyNumberFormat="1" applyFont="1" applyFill="1" applyBorder="1" applyAlignment="1">
      <alignment horizontal="right" wrapText="1"/>
    </xf>
    <xf numFmtId="3" fontId="31" fillId="0" borderId="0" xfId="0" applyNumberFormat="1" applyFont="1" applyFill="1" applyBorder="1"/>
    <xf numFmtId="3" fontId="33" fillId="0" borderId="0" xfId="0" applyNumberFormat="1" applyFont="1" applyFill="1" applyBorder="1" applyAlignment="1">
      <alignment wrapText="1"/>
    </xf>
    <xf numFmtId="3" fontId="31" fillId="0" borderId="0" xfId="0" applyNumberFormat="1" applyFont="1" applyFill="1" applyBorder="1" applyAlignment="1">
      <alignment horizontal="right" wrapText="1"/>
    </xf>
    <xf numFmtId="0" fontId="35" fillId="0" borderId="0" xfId="0" applyFont="1" applyFill="1" applyBorder="1" applyAlignment="1">
      <alignment horizontal="left" vertical="top" wrapText="1"/>
    </xf>
    <xf numFmtId="166" fontId="30" fillId="0" borderId="0" xfId="0" applyNumberFormat="1" applyFont="1" applyFill="1" applyBorder="1"/>
    <xf numFmtId="181" fontId="31" fillId="0" borderId="0" xfId="0" applyNumberFormat="1" applyFont="1" applyFill="1" applyBorder="1" applyAlignment="1">
      <alignment horizontal="right" wrapText="1"/>
    </xf>
    <xf numFmtId="0" fontId="43" fillId="0" borderId="0" xfId="0" applyFont="1" applyFill="1" applyBorder="1" applyAlignment="1">
      <alignment vertical="top" wrapText="1"/>
    </xf>
    <xf numFmtId="0" fontId="31" fillId="0" borderId="0" xfId="0" applyFont="1" applyFill="1" applyBorder="1" applyAlignment="1">
      <alignment wrapText="1"/>
    </xf>
    <xf numFmtId="0" fontId="45" fillId="0" borderId="0" xfId="0" applyFont="1" applyFill="1" applyBorder="1" applyAlignment="1">
      <alignment wrapText="1"/>
    </xf>
    <xf numFmtId="0" fontId="31" fillId="0" borderId="0" xfId="0" applyFont="1" applyFill="1" applyBorder="1" applyAlignment="1">
      <alignment vertical="center"/>
    </xf>
    <xf numFmtId="1" fontId="31" fillId="0" borderId="0" xfId="0" applyNumberFormat="1" applyFont="1" applyFill="1" applyBorder="1" applyAlignment="1">
      <alignment horizontal="right" wrapText="1"/>
    </xf>
    <xf numFmtId="3" fontId="34" fillId="0" borderId="0" xfId="0" applyNumberFormat="1" applyFont="1" applyFill="1" applyBorder="1" applyAlignment="1">
      <alignment horizontal="right" wrapText="1"/>
    </xf>
    <xf numFmtId="166" fontId="34" fillId="0" borderId="0" xfId="0" applyNumberFormat="1" applyFont="1" applyFill="1" applyBorder="1" applyAlignment="1">
      <alignment horizontal="right" wrapText="1"/>
    </xf>
    <xf numFmtId="171" fontId="30" fillId="0" borderId="0" xfId="0" applyNumberFormat="1" applyFont="1" applyFill="1" applyBorder="1"/>
    <xf numFmtId="171" fontId="33" fillId="0" borderId="0" xfId="0" applyNumberFormat="1" applyFont="1" applyFill="1" applyBorder="1" applyAlignment="1">
      <alignment wrapText="1"/>
    </xf>
    <xf numFmtId="167" fontId="34" fillId="0" borderId="0" xfId="0" applyNumberFormat="1" applyFont="1" applyFill="1" applyBorder="1" applyAlignment="1">
      <alignment horizontal="right" wrapText="1"/>
    </xf>
    <xf numFmtId="171" fontId="33" fillId="0" borderId="0" xfId="0" applyNumberFormat="1" applyFont="1" applyFill="1" applyBorder="1" applyAlignment="1">
      <alignment horizontal="right" wrapText="1"/>
    </xf>
    <xf numFmtId="49" fontId="33" fillId="0" borderId="0" xfId="0" applyNumberFormat="1" applyFont="1" applyFill="1" applyBorder="1" applyAlignment="1">
      <alignment horizontal="right" wrapText="1"/>
    </xf>
    <xf numFmtId="0" fontId="42" fillId="0" borderId="0" xfId="0" applyFont="1" applyFill="1" applyBorder="1" applyAlignment="1">
      <alignment vertical="top" wrapText="1"/>
    </xf>
    <xf numFmtId="0" fontId="42" fillId="0" borderId="0" xfId="0" applyFont="1" applyFill="1" applyBorder="1" applyAlignment="1">
      <alignment horizontal="left" vertical="top" wrapText="1"/>
    </xf>
    <xf numFmtId="0" fontId="42" fillId="0" borderId="0" xfId="0" applyFont="1" applyFill="1" applyBorder="1" applyAlignment="1">
      <alignment horizontal="left" wrapText="1"/>
    </xf>
    <xf numFmtId="3" fontId="31" fillId="0" borderId="0" xfId="0" applyNumberFormat="1" applyFont="1" applyFill="1" applyBorder="1" applyAlignment="1">
      <alignment vertical="center"/>
    </xf>
    <xf numFmtId="169" fontId="31" fillId="0" borderId="0" xfId="2690" applyNumberFormat="1" applyFont="1" applyFill="1" applyBorder="1" applyAlignment="1">
      <alignment horizontal="right" wrapText="1"/>
    </xf>
    <xf numFmtId="3" fontId="31" fillId="0" borderId="0" xfId="0" applyNumberFormat="1" applyFont="1" applyFill="1" applyBorder="1" applyAlignment="1"/>
    <xf numFmtId="167" fontId="31" fillId="0" borderId="0" xfId="0" applyNumberFormat="1" applyFont="1" applyFill="1" applyBorder="1" applyAlignment="1"/>
    <xf numFmtId="171" fontId="31" fillId="0" borderId="0" xfId="0" applyNumberFormat="1" applyFont="1" applyFill="1" applyBorder="1"/>
    <xf numFmtId="176" fontId="31" fillId="0" borderId="0" xfId="0" applyNumberFormat="1" applyFont="1" applyFill="1" applyBorder="1" applyAlignment="1">
      <alignment horizontal="right"/>
    </xf>
    <xf numFmtId="0" fontId="43" fillId="0" borderId="0" xfId="0" applyFont="1" applyFill="1" applyBorder="1" applyAlignment="1">
      <alignment horizontal="left" vertical="top" wrapText="1"/>
    </xf>
    <xf numFmtId="0" fontId="35" fillId="0" borderId="0" xfId="0" applyFont="1" applyFill="1" applyBorder="1" applyAlignment="1">
      <alignment horizontal="center" wrapText="1"/>
    </xf>
    <xf numFmtId="0" fontId="47" fillId="0" borderId="0" xfId="0" applyFont="1" applyFill="1" applyBorder="1" applyAlignment="1">
      <alignment horizontal="center" vertical="center" wrapText="1"/>
    </xf>
    <xf numFmtId="0" fontId="36" fillId="0" borderId="0" xfId="0" applyFont="1" applyFill="1" applyBorder="1" applyAlignment="1">
      <alignment horizontal="justify" vertical="top" wrapText="1"/>
    </xf>
    <xf numFmtId="0" fontId="48" fillId="0" borderId="0" xfId="0" applyFont="1" applyFill="1" applyBorder="1"/>
    <xf numFmtId="0" fontId="36" fillId="0" borderId="0" xfId="0" applyFont="1" applyFill="1" applyBorder="1" applyAlignment="1">
      <alignment horizontal="center" vertical="top" wrapText="1"/>
    </xf>
    <xf numFmtId="0" fontId="36" fillId="0" borderId="0" xfId="0" applyFont="1" applyFill="1" applyBorder="1" applyAlignment="1">
      <alignment vertical="top" wrapText="1"/>
    </xf>
    <xf numFmtId="167" fontId="60" fillId="0" borderId="0" xfId="0" applyNumberFormat="1" applyFont="1" applyFill="1" applyBorder="1"/>
    <xf numFmtId="0" fontId="60" fillId="0" borderId="0" xfId="0" applyFont="1" applyFill="1" applyBorder="1"/>
    <xf numFmtId="0" fontId="31" fillId="0" borderId="0" xfId="0" applyFont="1" applyFill="1" applyBorder="1" applyAlignment="1">
      <alignment horizontal="center"/>
    </xf>
    <xf numFmtId="0" fontId="31" fillId="0" borderId="0" xfId="0" applyFont="1" applyFill="1" applyBorder="1" applyAlignment="1">
      <alignment horizontal="left" vertical="top" wrapText="1"/>
    </xf>
    <xf numFmtId="179" fontId="50" fillId="0" borderId="0" xfId="10007" applyNumberFormat="1" applyFont="1" applyFill="1" applyBorder="1" applyAlignment="1"/>
    <xf numFmtId="172" fontId="33" fillId="0" borderId="0" xfId="0" applyNumberFormat="1" applyFont="1" applyFill="1" applyBorder="1" applyAlignment="1">
      <alignment horizontal="left" wrapText="1"/>
    </xf>
    <xf numFmtId="179" fontId="50" fillId="0" borderId="0" xfId="1909" applyNumberFormat="1" applyFont="1" applyFill="1" applyBorder="1"/>
    <xf numFmtId="0" fontId="51" fillId="0" borderId="0" xfId="0" applyFont="1" applyFill="1" applyBorder="1" applyAlignment="1">
      <alignment vertical="top" wrapText="1"/>
    </xf>
    <xf numFmtId="0" fontId="51" fillId="0" borderId="0" xfId="0" applyFont="1" applyFill="1" applyBorder="1" applyAlignment="1">
      <alignment horizontal="left" vertical="top" wrapText="1"/>
    </xf>
    <xf numFmtId="0" fontId="36" fillId="0" borderId="0" xfId="0" applyFont="1" applyFill="1" applyBorder="1" applyAlignment="1">
      <alignment horizontal="justify" vertical="center"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left" vertical="top" wrapText="1"/>
    </xf>
    <xf numFmtId="172" fontId="33" fillId="0" borderId="0" xfId="0" applyNumberFormat="1" applyFont="1" applyFill="1" applyBorder="1" applyAlignment="1">
      <alignment horizontal="right" wrapText="1"/>
    </xf>
    <xf numFmtId="173" fontId="33" fillId="0" borderId="0" xfId="0" applyNumberFormat="1" applyFont="1" applyFill="1" applyBorder="1" applyAlignment="1">
      <alignment horizontal="right" wrapText="1"/>
    </xf>
    <xf numFmtId="0" fontId="36" fillId="0" borderId="0" xfId="0" applyFont="1" applyFill="1" applyBorder="1"/>
    <xf numFmtId="3" fontId="31" fillId="0" borderId="0" xfId="0" applyNumberFormat="1" applyFont="1" applyFill="1" applyBorder="1" applyAlignment="1">
      <alignment horizontal="center" wrapText="1"/>
    </xf>
    <xf numFmtId="3" fontId="31" fillId="0" borderId="0" xfId="0" applyNumberFormat="1" applyFont="1" applyFill="1" applyBorder="1" applyAlignment="1">
      <alignment wrapText="1"/>
    </xf>
    <xf numFmtId="0" fontId="53" fillId="0" borderId="0" xfId="0" applyFont="1" applyFill="1" applyBorder="1" applyAlignment="1">
      <alignment horizontal="left" vertical="center" wrapText="1"/>
    </xf>
    <xf numFmtId="0" fontId="53" fillId="0" borderId="0" xfId="0" applyFont="1" applyFill="1" applyBorder="1" applyAlignment="1">
      <alignment horizontal="center" vertical="center" wrapText="1"/>
    </xf>
    <xf numFmtId="0" fontId="53" fillId="0" borderId="0" xfId="0" applyFont="1" applyFill="1" applyBorder="1" applyAlignment="1">
      <alignment horizontal="center" vertical="center"/>
    </xf>
    <xf numFmtId="0" fontId="55" fillId="0" borderId="0" xfId="0" applyFont="1" applyFill="1" applyBorder="1" applyAlignment="1">
      <alignment horizontal="center" vertical="center" wrapText="1"/>
    </xf>
    <xf numFmtId="166" fontId="31" fillId="0" borderId="0" xfId="0" applyNumberFormat="1" applyFont="1" applyFill="1" applyBorder="1" applyAlignment="1">
      <alignment horizontal="right"/>
    </xf>
    <xf numFmtId="4" fontId="31" fillId="0" borderId="0" xfId="0" applyNumberFormat="1" applyFont="1" applyFill="1" applyBorder="1" applyAlignment="1">
      <alignment horizontal="right"/>
    </xf>
    <xf numFmtId="3" fontId="30" fillId="0" borderId="0" xfId="0" applyNumberFormat="1" applyFont="1" applyFill="1" applyBorder="1"/>
    <xf numFmtId="0" fontId="31" fillId="0" borderId="0" xfId="0" applyFont="1" applyFill="1" applyBorder="1" applyAlignment="1">
      <alignment vertical="top" wrapText="1"/>
    </xf>
    <xf numFmtId="0" fontId="36" fillId="0" borderId="0" xfId="0" applyFont="1" applyFill="1" applyBorder="1" applyAlignment="1">
      <alignment vertical="center" wrapText="1"/>
    </xf>
    <xf numFmtId="0" fontId="36" fillId="0" borderId="0" xfId="0" applyFont="1" applyFill="1" applyBorder="1" applyAlignment="1">
      <alignment horizontal="center" wrapText="1"/>
    </xf>
    <xf numFmtId="0" fontId="56" fillId="0" borderId="0" xfId="0" applyFont="1" applyFill="1" applyBorder="1"/>
    <xf numFmtId="49" fontId="31" fillId="0" borderId="0" xfId="0" applyNumberFormat="1" applyFont="1" applyFill="1" applyBorder="1" applyAlignment="1">
      <alignment horizontal="right" vertical="top" wrapText="1"/>
    </xf>
    <xf numFmtId="0" fontId="31" fillId="0" borderId="0" xfId="0" applyFont="1" applyFill="1" applyBorder="1" applyAlignment="1">
      <alignment horizontal="left" vertical="top" wrapText="1" indent="1"/>
    </xf>
    <xf numFmtId="169" fontId="31" fillId="0" borderId="0" xfId="2344" applyNumberFormat="1" applyFont="1" applyFill="1" applyBorder="1" applyAlignment="1">
      <alignment horizontal="right" wrapText="1"/>
    </xf>
    <xf numFmtId="171" fontId="31" fillId="0" borderId="0" xfId="0" applyNumberFormat="1" applyFont="1" applyFill="1" applyBorder="1" applyAlignment="1">
      <alignment horizontal="right"/>
    </xf>
    <xf numFmtId="0" fontId="31" fillId="0" borderId="0" xfId="0" applyFont="1" applyFill="1" applyBorder="1" applyAlignment="1">
      <alignment horizontal="justify" vertical="top" wrapText="1"/>
    </xf>
    <xf numFmtId="49" fontId="31" fillId="0" borderId="0" xfId="0" applyNumberFormat="1" applyFont="1" applyFill="1" applyBorder="1" applyAlignment="1">
      <alignment horizontal="left" wrapText="1" indent="2"/>
    </xf>
    <xf numFmtId="49" fontId="31" fillId="0" borderId="0" xfId="0" applyNumberFormat="1" applyFont="1" applyFill="1" applyBorder="1" applyAlignment="1">
      <alignment horizontal="right" wrapText="1"/>
    </xf>
    <xf numFmtId="49" fontId="31" fillId="0" borderId="0" xfId="0" applyNumberFormat="1" applyFont="1" applyFill="1" applyBorder="1" applyAlignment="1">
      <alignment horizontal="left" indent="2"/>
    </xf>
    <xf numFmtId="0" fontId="31" fillId="0" borderId="0" xfId="0" applyFont="1" applyFill="1" applyBorder="1" applyAlignment="1">
      <alignment horizontal="left" vertical="top" wrapText="1" indent="2"/>
    </xf>
    <xf numFmtId="0" fontId="36" fillId="0" borderId="0" xfId="0" applyFont="1" applyFill="1" applyBorder="1" applyAlignment="1">
      <alignment wrapText="1"/>
    </xf>
    <xf numFmtId="0" fontId="31" fillId="0" borderId="0" xfId="0" applyFont="1" applyFill="1" applyBorder="1" applyAlignment="1">
      <alignment vertical="top"/>
    </xf>
    <xf numFmtId="0" fontId="56" fillId="0" borderId="0" xfId="0" applyFont="1" applyFill="1" applyBorder="1" applyAlignment="1">
      <alignment horizontal="center" vertical="center"/>
    </xf>
    <xf numFmtId="0" fontId="56" fillId="0" borderId="0" xfId="0" applyFont="1" applyFill="1" applyBorder="1" applyAlignment="1">
      <alignment horizontal="center" vertical="center" wrapText="1"/>
    </xf>
    <xf numFmtId="0" fontId="53" fillId="0" borderId="0" xfId="0" applyFont="1" applyFill="1" applyBorder="1" applyAlignment="1">
      <alignment horizontal="center" vertical="top" wrapText="1"/>
    </xf>
    <xf numFmtId="49" fontId="53" fillId="0" borderId="0" xfId="0" applyNumberFormat="1" applyFont="1" applyFill="1" applyBorder="1" applyAlignment="1">
      <alignment horizontal="center" vertical="center" wrapText="1"/>
    </xf>
    <xf numFmtId="171" fontId="30" fillId="0" borderId="0" xfId="0" applyNumberFormat="1" applyFont="1" applyFill="1" applyBorder="1" applyAlignment="1">
      <alignment horizontal="right"/>
    </xf>
    <xf numFmtId="0" fontId="30" fillId="0" borderId="0" xfId="0" applyFont="1" applyFill="1" applyBorder="1" applyAlignment="1">
      <alignment horizontal="right"/>
    </xf>
    <xf numFmtId="171" fontId="57" fillId="0" borderId="0" xfId="0" applyNumberFormat="1" applyFont="1" applyFill="1" applyBorder="1" applyAlignment="1">
      <alignment horizontal="right"/>
    </xf>
    <xf numFmtId="0" fontId="33" fillId="0" borderId="0" xfId="0" applyFont="1" applyFill="1" applyBorder="1"/>
    <xf numFmtId="0" fontId="33" fillId="0" borderId="0" xfId="0" applyFont="1" applyFill="1" applyBorder="1" applyAlignment="1">
      <alignment horizontal="right"/>
    </xf>
    <xf numFmtId="0" fontId="36" fillId="0" borderId="0" xfId="0" applyFont="1" applyFill="1" applyBorder="1" applyAlignment="1">
      <alignment horizontal="left" vertical="top" wrapText="1" indent="1"/>
    </xf>
    <xf numFmtId="176" fontId="31" fillId="0" borderId="0" xfId="0" applyNumberFormat="1" applyFont="1" applyFill="1" applyBorder="1"/>
    <xf numFmtId="176" fontId="31" fillId="0" borderId="0" xfId="0" applyNumberFormat="1" applyFont="1" applyFill="1" applyBorder="1" applyAlignment="1">
      <alignment wrapText="1"/>
    </xf>
    <xf numFmtId="171" fontId="33" fillId="0" borderId="0" xfId="0" applyNumberFormat="1" applyFont="1" applyFill="1" applyBorder="1"/>
    <xf numFmtId="167" fontId="33" fillId="0" borderId="0" xfId="0" applyNumberFormat="1" applyFont="1" applyFill="1" applyBorder="1" applyAlignment="1">
      <alignment horizontal="right"/>
    </xf>
    <xf numFmtId="0" fontId="33" fillId="0" borderId="0" xfId="0" applyFont="1" applyFill="1" applyBorder="1" applyAlignment="1">
      <alignment horizontal="right" wrapText="1"/>
    </xf>
    <xf numFmtId="167" fontId="33" fillId="0" borderId="0" xfId="0" applyNumberFormat="1" applyFont="1" applyFill="1" applyBorder="1"/>
    <xf numFmtId="180" fontId="31" fillId="0" borderId="0" xfId="0" applyNumberFormat="1" applyFont="1" applyFill="1" applyBorder="1" applyAlignment="1">
      <alignment horizontal="right" wrapText="1"/>
    </xf>
    <xf numFmtId="180" fontId="31" fillId="0" borderId="0" xfId="0" applyNumberFormat="1" applyFont="1" applyFill="1" applyBorder="1"/>
    <xf numFmtId="178" fontId="33" fillId="0" borderId="0" xfId="0" applyNumberFormat="1" applyFont="1" applyFill="1" applyBorder="1" applyAlignment="1">
      <alignment horizontal="right" wrapText="1"/>
    </xf>
    <xf numFmtId="177" fontId="33" fillId="0" borderId="0" xfId="0" applyNumberFormat="1" applyFont="1" applyFill="1" applyBorder="1" applyAlignment="1">
      <alignment horizontal="right" wrapText="1"/>
    </xf>
    <xf numFmtId="3" fontId="33" fillId="0" borderId="0" xfId="0" applyNumberFormat="1" applyFont="1" applyFill="1" applyBorder="1"/>
    <xf numFmtId="171" fontId="33" fillId="0" borderId="0" xfId="0" applyNumberFormat="1" applyFont="1" applyFill="1" applyBorder="1" applyAlignment="1">
      <alignment horizontal="right"/>
    </xf>
    <xf numFmtId="166" fontId="36" fillId="0" borderId="0" xfId="0" applyNumberFormat="1" applyFont="1" applyFill="1" applyBorder="1" applyAlignment="1">
      <alignment horizontal="center"/>
    </xf>
    <xf numFmtId="166" fontId="33" fillId="0" borderId="0" xfId="0" applyNumberFormat="1" applyFont="1" applyFill="1" applyBorder="1"/>
    <xf numFmtId="173" fontId="33" fillId="0" borderId="0" xfId="0" applyNumberFormat="1" applyFont="1" applyFill="1" applyBorder="1" applyAlignment="1">
      <alignment horizontal="right" vertical="center" wrapText="1"/>
    </xf>
    <xf numFmtId="0" fontId="53" fillId="0" borderId="0" xfId="0" applyFont="1" applyFill="1" applyBorder="1" applyAlignment="1">
      <alignment vertical="center" wrapText="1"/>
    </xf>
    <xf numFmtId="166" fontId="35" fillId="0" borderId="0" xfId="0" applyNumberFormat="1" applyFont="1" applyFill="1" applyBorder="1" applyAlignment="1">
      <alignment vertical="top" wrapText="1"/>
    </xf>
    <xf numFmtId="166" fontId="35" fillId="0" borderId="0" xfId="0" applyNumberFormat="1" applyFont="1" applyFill="1" applyBorder="1" applyAlignment="1">
      <alignment horizontal="center" vertical="top" wrapText="1"/>
    </xf>
    <xf numFmtId="49" fontId="31" fillId="0" borderId="0" xfId="2344" applyNumberFormat="1" applyFont="1" applyFill="1" applyBorder="1" applyAlignment="1">
      <alignment horizontal="right"/>
    </xf>
    <xf numFmtId="167" fontId="31" fillId="0" borderId="0" xfId="2344" applyNumberFormat="1" applyFont="1" applyFill="1" applyBorder="1" applyAlignment="1">
      <alignment horizontal="right" wrapText="1"/>
    </xf>
    <xf numFmtId="166" fontId="31" fillId="0" borderId="0" xfId="2344" applyNumberFormat="1" applyFont="1" applyFill="1" applyBorder="1" applyAlignment="1">
      <alignment horizontal="right" wrapText="1"/>
    </xf>
    <xf numFmtId="168" fontId="36" fillId="0" borderId="0" xfId="2344" applyNumberFormat="1" applyFont="1" applyFill="1" applyBorder="1" applyAlignment="1">
      <alignment horizontal="right"/>
    </xf>
    <xf numFmtId="166" fontId="31" fillId="0" borderId="0" xfId="2344" applyNumberFormat="1" applyFont="1" applyFill="1" applyBorder="1" applyAlignment="1">
      <alignment horizontal="right"/>
    </xf>
    <xf numFmtId="167" fontId="31" fillId="0" borderId="0" xfId="2344" applyNumberFormat="1" applyFont="1" applyFill="1" applyBorder="1" applyAlignment="1">
      <alignment horizontal="right"/>
    </xf>
    <xf numFmtId="166" fontId="36" fillId="0" borderId="0" xfId="0" applyNumberFormat="1" applyFont="1" applyFill="1" applyBorder="1" applyAlignment="1">
      <alignment horizontal="right" wrapText="1"/>
    </xf>
    <xf numFmtId="166" fontId="36" fillId="0" borderId="0" xfId="0" applyNumberFormat="1" applyFont="1" applyFill="1" applyBorder="1" applyAlignment="1">
      <alignment vertical="top" wrapText="1"/>
    </xf>
    <xf numFmtId="172" fontId="31" fillId="0" borderId="0" xfId="0" applyNumberFormat="1" applyFont="1" applyFill="1" applyBorder="1"/>
    <xf numFmtId="0" fontId="33" fillId="0" borderId="0" xfId="3218" applyFont="1" applyFill="1" applyBorder="1" applyAlignment="1">
      <alignment horizontal="right" wrapText="1"/>
    </xf>
    <xf numFmtId="0" fontId="36" fillId="0" borderId="0" xfId="0" applyFont="1" applyFill="1" applyBorder="1" applyAlignment="1">
      <alignment horizontal="justify" wrapText="1"/>
    </xf>
    <xf numFmtId="174" fontId="33" fillId="0" borderId="0" xfId="0" applyNumberFormat="1" applyFont="1" applyFill="1" applyBorder="1" applyAlignment="1">
      <alignment wrapText="1"/>
    </xf>
    <xf numFmtId="3" fontId="58" fillId="0" borderId="0" xfId="0" applyNumberFormat="1" applyFont="1" applyFill="1" applyBorder="1" applyAlignment="1">
      <alignment horizontal="right" wrapText="1"/>
    </xf>
    <xf numFmtId="174" fontId="31" fillId="0" borderId="0" xfId="0" applyNumberFormat="1" applyFont="1" applyFill="1" applyBorder="1"/>
    <xf numFmtId="0" fontId="33" fillId="0" borderId="0" xfId="0" applyFont="1" applyFill="1" applyBorder="1" applyAlignment="1">
      <alignment horizontal="right" vertical="center" wrapText="1"/>
    </xf>
    <xf numFmtId="0" fontId="31" fillId="0" borderId="0" xfId="0" applyFont="1" applyFill="1" applyBorder="1" applyAlignment="1">
      <alignment horizontal="right" vertical="center" wrapText="1"/>
    </xf>
    <xf numFmtId="175" fontId="33" fillId="0" borderId="0" xfId="0" applyNumberFormat="1" applyFont="1" applyFill="1" applyBorder="1" applyAlignment="1">
      <alignment wrapText="1"/>
    </xf>
    <xf numFmtId="0" fontId="59" fillId="0" borderId="0" xfId="0" applyFont="1" applyFill="1" applyBorder="1" applyAlignment="1">
      <alignment horizontal="left" vertical="center" wrapText="1"/>
    </xf>
    <xf numFmtId="49" fontId="36" fillId="0" borderId="0" xfId="0" applyNumberFormat="1" applyFont="1" applyFill="1" applyBorder="1" applyAlignment="1">
      <alignment horizontal="center" vertical="center" wrapText="1"/>
    </xf>
    <xf numFmtId="0" fontId="36" fillId="0" borderId="0" xfId="0" applyFont="1" applyFill="1" applyBorder="1" applyAlignment="1">
      <alignment horizontal="left" wrapText="1" indent="1"/>
    </xf>
    <xf numFmtId="180" fontId="33" fillId="0" borderId="0" xfId="0" applyNumberFormat="1" applyFont="1" applyFill="1" applyBorder="1" applyAlignment="1">
      <alignment horizontal="right" wrapText="1"/>
    </xf>
    <xf numFmtId="170" fontId="33" fillId="0" borderId="0" xfId="0" applyNumberFormat="1" applyFont="1" applyFill="1" applyBorder="1" applyAlignment="1">
      <alignment horizontal="right" wrapText="1"/>
    </xf>
    <xf numFmtId="169" fontId="33" fillId="0" borderId="0" xfId="2344" applyNumberFormat="1" applyFont="1" applyFill="1" applyBorder="1" applyAlignment="1">
      <alignment horizontal="right" wrapText="1"/>
    </xf>
    <xf numFmtId="169" fontId="31" fillId="0" borderId="0" xfId="2344" applyNumberFormat="1" applyFont="1" applyFill="1" applyBorder="1" applyAlignment="1">
      <alignment horizontal="right"/>
    </xf>
    <xf numFmtId="0" fontId="35" fillId="0" borderId="0" xfId="0" applyFont="1" applyFill="1" applyBorder="1" applyAlignment="1" applyProtection="1">
      <alignment horizontal="left" vertical="top" wrapText="1"/>
      <protection locked="0"/>
    </xf>
    <xf numFmtId="166" fontId="33" fillId="0" borderId="0" xfId="0" applyNumberFormat="1" applyFont="1" applyFill="1" applyBorder="1" applyAlignment="1">
      <alignment horizontal="right" vertical="top" wrapText="1"/>
    </xf>
    <xf numFmtId="167"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166" fontId="36" fillId="0" borderId="0" xfId="0" applyNumberFormat="1" applyFont="1" applyFill="1" applyBorder="1" applyAlignment="1">
      <alignment horizontal="center" vertical="center"/>
    </xf>
    <xf numFmtId="0" fontId="38" fillId="0" borderId="0" xfId="3222" applyFont="1" applyFill="1" applyAlignment="1">
      <alignment vertical="center" wrapText="1"/>
    </xf>
    <xf numFmtId="0" fontId="39" fillId="0" borderId="0" xfId="0" applyFont="1" applyFill="1" applyBorder="1" applyAlignment="1"/>
    <xf numFmtId="0" fontId="62" fillId="30" borderId="87" xfId="0" applyFont="1" applyFill="1" applyBorder="1" applyAlignment="1">
      <alignment horizontal="center" vertical="center" wrapText="1"/>
    </xf>
    <xf numFmtId="169" fontId="31" fillId="0" borderId="87" xfId="2690" applyNumberFormat="1" applyFont="1" applyFill="1" applyBorder="1" applyAlignment="1">
      <alignment horizontal="right" wrapText="1"/>
    </xf>
    <xf numFmtId="0" fontId="35" fillId="25" borderId="18" xfId="0" applyFont="1" applyFill="1" applyBorder="1" applyAlignment="1">
      <alignment horizontal="center" vertical="center" wrapText="1"/>
    </xf>
    <xf numFmtId="0" fontId="31" fillId="33" borderId="91" xfId="0" applyFont="1" applyFill="1" applyBorder="1"/>
    <xf numFmtId="0" fontId="31" fillId="33" borderId="91" xfId="0" applyFont="1" applyFill="1" applyBorder="1" applyAlignment="1">
      <alignment wrapText="1"/>
    </xf>
    <xf numFmtId="0" fontId="31" fillId="0" borderId="91" xfId="0" applyFont="1" applyBorder="1"/>
    <xf numFmtId="0" fontId="31" fillId="0" borderId="91" xfId="0" applyFont="1" applyBorder="1" applyAlignment="1">
      <alignment wrapText="1"/>
    </xf>
    <xf numFmtId="0" fontId="45" fillId="0" borderId="91" xfId="0" applyFont="1" applyBorder="1" applyAlignment="1">
      <alignment wrapText="1"/>
    </xf>
    <xf numFmtId="0" fontId="33" fillId="0" borderId="87" xfId="0" applyFont="1" applyBorder="1"/>
    <xf numFmtId="49" fontId="53" fillId="26" borderId="15" xfId="0" applyNumberFormat="1" applyFont="1" applyFill="1" applyBorder="1" applyAlignment="1">
      <alignment horizontal="center" vertical="center" wrapText="1"/>
    </xf>
    <xf numFmtId="171" fontId="33" fillId="24" borderId="0" xfId="0" applyNumberFormat="1" applyFont="1" applyFill="1" applyBorder="1" applyAlignment="1">
      <alignment horizontal="right" wrapText="1"/>
    </xf>
    <xf numFmtId="171" fontId="33" fillId="24" borderId="87" xfId="0" applyNumberFormat="1" applyFont="1" applyFill="1" applyBorder="1" applyAlignment="1">
      <alignment horizontal="right" wrapText="1"/>
    </xf>
    <xf numFmtId="169" fontId="31" fillId="33" borderId="87" xfId="11369" applyNumberFormat="1" applyFont="1" applyFill="1" applyBorder="1" applyAlignment="1">
      <alignment horizontal="right" wrapText="1"/>
    </xf>
    <xf numFmtId="0" fontId="64" fillId="0" borderId="91" xfId="0" applyFont="1" applyFill="1" applyBorder="1" applyAlignment="1">
      <alignment horizontal="left" vertical="top" wrapText="1"/>
    </xf>
    <xf numFmtId="0" fontId="64" fillId="0" borderId="92" xfId="0" applyFont="1" applyFill="1" applyBorder="1" applyAlignment="1">
      <alignment horizontal="left" vertical="top" wrapText="1"/>
    </xf>
    <xf numFmtId="0" fontId="30" fillId="0" borderId="12" xfId="0" applyFont="1" applyFill="1" applyBorder="1"/>
    <xf numFmtId="3" fontId="33" fillId="0" borderId="10" xfId="0" applyNumberFormat="1" applyFont="1" applyFill="1" applyBorder="1" applyAlignment="1">
      <alignment horizontal="right" wrapText="1"/>
    </xf>
    <xf numFmtId="171" fontId="33" fillId="0" borderId="12" xfId="0" applyNumberFormat="1" applyFont="1" applyFill="1" applyBorder="1" applyAlignment="1">
      <alignment horizontal="right" wrapText="1"/>
    </xf>
    <xf numFmtId="171" fontId="33" fillId="0" borderId="10" xfId="0" applyNumberFormat="1" applyFont="1" applyFill="1" applyBorder="1" applyAlignment="1">
      <alignment horizontal="right" wrapText="1"/>
    </xf>
    <xf numFmtId="0" fontId="31" fillId="0" borderId="64" xfId="0" applyFont="1" applyFill="1" applyBorder="1"/>
    <xf numFmtId="3" fontId="33" fillId="33" borderId="87" xfId="0" applyNumberFormat="1" applyFont="1" applyFill="1" applyBorder="1" applyAlignment="1">
      <alignment horizontal="right" wrapText="1"/>
    </xf>
    <xf numFmtId="166" fontId="33" fillId="0" borderId="46" xfId="0" applyNumberFormat="1" applyFont="1" applyBorder="1" applyAlignment="1">
      <alignment horizontal="right" wrapText="1"/>
    </xf>
    <xf numFmtId="0" fontId="35" fillId="30" borderId="87" xfId="0" applyFont="1" applyFill="1" applyBorder="1" applyAlignment="1">
      <alignment horizontal="center" vertical="center" wrapText="1"/>
    </xf>
    <xf numFmtId="0" fontId="35" fillId="34" borderId="87" xfId="0" applyFont="1" applyFill="1" applyBorder="1" applyAlignment="1">
      <alignment horizontal="center" vertical="center" wrapText="1"/>
    </xf>
    <xf numFmtId="166" fontId="31" fillId="33" borderId="90" xfId="0" applyNumberFormat="1" applyFont="1" applyFill="1" applyBorder="1"/>
    <xf numFmtId="166" fontId="31" fillId="33" borderId="87" xfId="0" applyNumberFormat="1" applyFont="1" applyFill="1" applyBorder="1" applyAlignment="1">
      <alignment horizontal="right" wrapText="1"/>
    </xf>
    <xf numFmtId="166" fontId="30" fillId="33" borderId="87" xfId="0" applyNumberFormat="1" applyFont="1" applyFill="1" applyBorder="1"/>
    <xf numFmtId="0" fontId="35" fillId="31" borderId="87" xfId="0" applyFont="1" applyFill="1" applyBorder="1" applyAlignment="1">
      <alignment horizontal="center" vertical="center" wrapText="1"/>
    </xf>
    <xf numFmtId="166" fontId="33" fillId="0" borderId="87" xfId="0" applyNumberFormat="1" applyFont="1" applyFill="1" applyBorder="1" applyAlignment="1" applyProtection="1">
      <alignment horizontal="right" vertical="center" wrapText="1"/>
      <protection locked="0"/>
    </xf>
    <xf numFmtId="165" fontId="33" fillId="0" borderId="93" xfId="0" applyNumberFormat="1" applyFont="1" applyFill="1" applyBorder="1" applyAlignment="1" applyProtection="1">
      <alignment horizontal="right" vertical="center" wrapText="1"/>
      <protection locked="0"/>
    </xf>
    <xf numFmtId="0" fontId="30" fillId="0" borderId="94" xfId="0" applyFont="1" applyFill="1" applyBorder="1"/>
    <xf numFmtId="0" fontId="31" fillId="0" borderId="21" xfId="0" applyFont="1" applyFill="1" applyBorder="1"/>
    <xf numFmtId="0" fontId="42" fillId="0" borderId="87" xfId="0" applyFont="1" applyFill="1" applyBorder="1" applyAlignment="1">
      <alignment vertical="top" wrapText="1"/>
    </xf>
    <xf numFmtId="0" fontId="43" fillId="0" borderId="94" xfId="0" applyFont="1" applyFill="1" applyBorder="1" applyAlignment="1">
      <alignment vertical="top" wrapText="1"/>
    </xf>
    <xf numFmtId="0" fontId="33" fillId="0" borderId="87" xfId="0" applyFont="1" applyFill="1" applyBorder="1" applyAlignment="1">
      <alignment vertical="top" wrapText="1"/>
    </xf>
    <xf numFmtId="0" fontId="45" fillId="0" borderId="87" xfId="0" applyFont="1" applyFill="1" applyBorder="1" applyAlignment="1">
      <alignment wrapText="1"/>
    </xf>
    <xf numFmtId="0" fontId="42" fillId="0" borderId="94" xfId="0" applyFont="1" applyFill="1" applyBorder="1" applyAlignment="1">
      <alignment horizontal="left" vertical="top" wrapText="1"/>
    </xf>
    <xf numFmtId="0" fontId="42" fillId="0" borderId="97" xfId="0" applyFont="1" applyFill="1" applyBorder="1" applyAlignment="1">
      <alignment horizontal="left" vertical="top" wrapText="1"/>
    </xf>
    <xf numFmtId="0" fontId="44" fillId="0" borderId="94" xfId="0" applyFont="1" applyFill="1" applyBorder="1" applyAlignment="1">
      <alignment horizontal="left" vertical="top" wrapText="1"/>
    </xf>
    <xf numFmtId="0" fontId="44" fillId="0" borderId="97" xfId="0" applyFont="1" applyFill="1" applyBorder="1" applyAlignment="1">
      <alignment horizontal="left" vertical="top" wrapText="1"/>
    </xf>
    <xf numFmtId="0" fontId="33" fillId="0" borderId="87" xfId="0" applyFont="1" applyFill="1" applyBorder="1" applyAlignment="1">
      <alignment horizontal="left" vertical="top" wrapText="1"/>
    </xf>
    <xf numFmtId="0" fontId="31" fillId="0" borderId="87" xfId="0" applyFont="1" applyFill="1" applyBorder="1" applyAlignment="1">
      <alignment wrapText="1"/>
    </xf>
    <xf numFmtId="3" fontId="33" fillId="33" borderId="94" xfId="0" applyNumberFormat="1" applyFont="1" applyFill="1" applyBorder="1" applyAlignment="1">
      <alignment horizontal="right" wrapText="1"/>
    </xf>
    <xf numFmtId="0" fontId="31" fillId="33" borderId="97" xfId="0" applyFont="1" applyFill="1" applyBorder="1"/>
    <xf numFmtId="0" fontId="31" fillId="33" borderId="0" xfId="0" applyFont="1" applyFill="1" applyAlignment="1">
      <alignment horizontal="right"/>
    </xf>
    <xf numFmtId="0" fontId="35" fillId="0" borderId="46" xfId="0" applyFont="1" applyFill="1" applyBorder="1" applyAlignment="1">
      <alignment vertical="top" wrapText="1"/>
    </xf>
    <xf numFmtId="166" fontId="34" fillId="0" borderId="87" xfId="0" applyNumberFormat="1" applyFont="1" applyFill="1" applyBorder="1" applyAlignment="1">
      <alignment horizontal="right"/>
    </xf>
    <xf numFmtId="166" fontId="33" fillId="0" borderId="95" xfId="0" applyNumberFormat="1" applyFont="1" applyFill="1" applyBorder="1"/>
    <xf numFmtId="166" fontId="34" fillId="0" borderId="94" xfId="0" applyNumberFormat="1" applyFont="1" applyFill="1" applyBorder="1" applyAlignment="1">
      <alignment horizontal="right"/>
    </xf>
    <xf numFmtId="183" fontId="31" fillId="0" borderId="87" xfId="0" applyNumberFormat="1" applyFont="1" applyFill="1" applyBorder="1" applyAlignment="1">
      <alignment horizontal="right" wrapText="1"/>
    </xf>
    <xf numFmtId="0" fontId="33" fillId="0" borderId="46" xfId="0" applyFont="1" applyFill="1" applyBorder="1" applyAlignment="1">
      <alignment horizontal="justify" vertical="top" wrapText="1"/>
    </xf>
    <xf numFmtId="0" fontId="31" fillId="0" borderId="94" xfId="0" applyFont="1" applyFill="1" applyBorder="1"/>
    <xf numFmtId="0" fontId="34" fillId="0" borderId="46" xfId="0" applyFont="1" applyFill="1" applyBorder="1" applyAlignment="1">
      <alignment wrapText="1"/>
    </xf>
    <xf numFmtId="0" fontId="36" fillId="0" borderId="46" xfId="0" applyFont="1" applyFill="1" applyBorder="1" applyAlignment="1">
      <alignment horizontal="center"/>
    </xf>
    <xf numFmtId="166" fontId="34" fillId="0" borderId="87" xfId="0" applyNumberFormat="1" applyFont="1" applyFill="1" applyBorder="1"/>
    <xf numFmtId="166" fontId="34" fillId="0" borderId="94" xfId="0" applyNumberFormat="1" applyFont="1" applyFill="1" applyBorder="1"/>
    <xf numFmtId="0" fontId="35" fillId="0" borderId="46" xfId="0" applyFont="1" applyFill="1" applyBorder="1" applyAlignment="1">
      <alignment horizontal="justify" vertical="top" wrapText="1"/>
    </xf>
    <xf numFmtId="166" fontId="33" fillId="0" borderId="94" xfId="0" applyNumberFormat="1" applyFont="1" applyFill="1" applyBorder="1" applyAlignment="1">
      <alignment horizontal="right" wrapText="1"/>
    </xf>
    <xf numFmtId="167" fontId="30" fillId="0" borderId="87" xfId="0" applyNumberFormat="1" applyFont="1" applyFill="1" applyBorder="1"/>
    <xf numFmtId="166" fontId="31" fillId="0" borderId="19" xfId="0" applyNumberFormat="1" applyFont="1" applyFill="1" applyBorder="1"/>
    <xf numFmtId="183" fontId="31" fillId="0" borderId="94" xfId="0" applyNumberFormat="1" applyFont="1" applyFill="1" applyBorder="1"/>
    <xf numFmtId="183" fontId="31" fillId="0" borderId="0" xfId="0" applyNumberFormat="1" applyFont="1" applyFill="1" applyBorder="1"/>
    <xf numFmtId="0" fontId="41" fillId="0" borderId="46" xfId="0" applyFont="1" applyFill="1" applyBorder="1" applyAlignment="1">
      <alignment horizontal="center"/>
    </xf>
    <xf numFmtId="166" fontId="0" fillId="0" borderId="87" xfId="0" applyNumberFormat="1" applyFill="1" applyBorder="1" applyAlignment="1">
      <alignment vertical="top"/>
    </xf>
    <xf numFmtId="0" fontId="31" fillId="0" borderId="48" xfId="0" applyFont="1" applyFill="1" applyBorder="1"/>
    <xf numFmtId="167" fontId="31" fillId="0" borderId="94" xfId="0" applyNumberFormat="1" applyFont="1" applyFill="1" applyBorder="1"/>
    <xf numFmtId="3" fontId="63" fillId="0" borderId="87" xfId="0" applyNumberFormat="1" applyFont="1" applyFill="1" applyBorder="1" applyAlignment="1">
      <alignment horizontal="right"/>
    </xf>
    <xf numFmtId="166" fontId="63" fillId="0" borderId="87" xfId="0" applyNumberFormat="1" applyFont="1" applyFill="1" applyBorder="1" applyAlignment="1">
      <alignment horizontal="right"/>
    </xf>
    <xf numFmtId="0" fontId="35" fillId="0" borderId="48" xfId="0" applyFont="1" applyFill="1" applyBorder="1" applyAlignment="1">
      <alignment horizontal="center" vertical="top" wrapText="1"/>
    </xf>
    <xf numFmtId="166" fontId="33" fillId="0" borderId="19" xfId="0" applyNumberFormat="1" applyFont="1" applyFill="1" applyBorder="1" applyAlignment="1">
      <alignment horizontal="right" wrapText="1"/>
    </xf>
    <xf numFmtId="0" fontId="30" fillId="0" borderId="19" xfId="0" applyFont="1" applyFill="1" applyBorder="1"/>
    <xf numFmtId="0" fontId="30" fillId="0" borderId="21" xfId="0" applyFont="1" applyFill="1" applyBorder="1"/>
    <xf numFmtId="0" fontId="33" fillId="0" borderId="46" xfId="0" applyFont="1" applyFill="1" applyBorder="1" applyAlignment="1">
      <alignment vertical="top" wrapText="1"/>
    </xf>
    <xf numFmtId="166" fontId="58" fillId="0" borderId="87" xfId="0" applyNumberFormat="1" applyFont="1" applyFill="1" applyBorder="1" applyAlignment="1">
      <alignment horizontal="right"/>
    </xf>
    <xf numFmtId="166" fontId="58" fillId="0" borderId="87" xfId="2344" applyNumberFormat="1" applyFont="1" applyFill="1" applyBorder="1" applyAlignment="1">
      <alignment horizontal="right"/>
    </xf>
    <xf numFmtId="166" fontId="33" fillId="0" borderId="17" xfId="0" applyNumberFormat="1" applyFont="1" applyFill="1" applyBorder="1" applyAlignment="1">
      <alignment horizontal="right" wrapText="1"/>
    </xf>
    <xf numFmtId="0" fontId="31" fillId="0" borderId="18" xfId="0" applyFont="1" applyFill="1" applyBorder="1"/>
    <xf numFmtId="167" fontId="33" fillId="0" borderId="87" xfId="0" applyNumberFormat="1" applyFont="1" applyFill="1" applyBorder="1"/>
    <xf numFmtId="167" fontId="34" fillId="0" borderId="87" xfId="0" applyNumberFormat="1" applyFont="1" applyFill="1" applyBorder="1" applyAlignment="1">
      <alignment horizontal="right"/>
    </xf>
    <xf numFmtId="167" fontId="31" fillId="0" borderId="87" xfId="0" applyNumberFormat="1" applyFont="1" applyFill="1" applyBorder="1" applyAlignment="1">
      <alignment horizontal="right" vertical="center" wrapText="1"/>
    </xf>
    <xf numFmtId="167" fontId="30" fillId="0" borderId="94" xfId="0" applyNumberFormat="1" applyFont="1" applyFill="1" applyBorder="1"/>
    <xf numFmtId="166" fontId="33" fillId="0" borderId="87" xfId="0" applyNumberFormat="1" applyFont="1" applyFill="1" applyBorder="1"/>
    <xf numFmtId="184" fontId="33" fillId="0" borderId="87" xfId="0" applyNumberFormat="1" applyFont="1" applyFill="1" applyBorder="1"/>
    <xf numFmtId="166" fontId="31" fillId="0" borderId="87" xfId="0" applyNumberFormat="1" applyFont="1" applyFill="1" applyBorder="1" applyAlignment="1">
      <alignment horizontal="right" vertical="center" wrapText="1"/>
    </xf>
    <xf numFmtId="184" fontId="31" fillId="0" borderId="0" xfId="0" applyNumberFormat="1" applyFont="1" applyFill="1"/>
    <xf numFmtId="0" fontId="31" fillId="0" borderId="94" xfId="0" applyFont="1" applyFill="1" applyBorder="1" applyAlignment="1">
      <alignment horizontal="right"/>
    </xf>
    <xf numFmtId="183" fontId="31" fillId="0" borderId="93" xfId="0" applyNumberFormat="1" applyFont="1" applyFill="1" applyBorder="1" applyAlignment="1">
      <alignment horizontal="right" wrapText="1"/>
    </xf>
    <xf numFmtId="166" fontId="31" fillId="0" borderId="87" xfId="0" applyNumberFormat="1" applyFont="1" applyFill="1" applyBorder="1" applyAlignment="1">
      <alignment horizontal="right"/>
    </xf>
    <xf numFmtId="167" fontId="31" fillId="0" borderId="94" xfId="0" applyNumberFormat="1" applyFont="1" applyFill="1" applyBorder="1" applyAlignment="1">
      <alignment horizontal="right"/>
    </xf>
    <xf numFmtId="3" fontId="33" fillId="0" borderId="87" xfId="0" applyNumberFormat="1" applyFont="1" applyFill="1" applyBorder="1"/>
    <xf numFmtId="3" fontId="34" fillId="0" borderId="87" xfId="0" applyNumberFormat="1" applyFont="1" applyFill="1" applyBorder="1" applyAlignment="1">
      <alignment horizontal="right"/>
    </xf>
    <xf numFmtId="3" fontId="31" fillId="0" borderId="87" xfId="0" applyNumberFormat="1" applyFont="1" applyFill="1" applyBorder="1" applyAlignment="1">
      <alignment wrapText="1"/>
    </xf>
    <xf numFmtId="0" fontId="35" fillId="0" borderId="48" xfId="0" applyFont="1" applyFill="1" applyBorder="1" applyAlignment="1">
      <alignment horizontal="left" vertical="top" wrapText="1"/>
    </xf>
    <xf numFmtId="166" fontId="33" fillId="0" borderId="93" xfId="0" applyNumberFormat="1" applyFont="1" applyFill="1" applyBorder="1" applyAlignment="1">
      <alignment horizontal="right" wrapText="1"/>
    </xf>
    <xf numFmtId="166" fontId="30" fillId="0" borderId="93" xfId="0" applyNumberFormat="1" applyFont="1" applyFill="1" applyBorder="1"/>
    <xf numFmtId="167" fontId="30" fillId="0" borderId="96" xfId="0" applyNumberFormat="1" applyFont="1" applyFill="1" applyBorder="1"/>
    <xf numFmtId="0" fontId="30" fillId="0" borderId="93" xfId="0" applyFont="1" applyFill="1" applyBorder="1"/>
    <xf numFmtId="0" fontId="31" fillId="0" borderId="93" xfId="0" applyFont="1" applyFill="1" applyBorder="1"/>
    <xf numFmtId="0" fontId="31" fillId="0" borderId="96" xfId="0" applyFont="1" applyFill="1" applyBorder="1"/>
    <xf numFmtId="3" fontId="31" fillId="0" borderId="10" xfId="0" applyNumberFormat="1" applyFont="1" applyFill="1" applyBorder="1" applyAlignment="1">
      <alignment horizontal="right" wrapText="1"/>
    </xf>
    <xf numFmtId="3" fontId="58" fillId="0" borderId="87" xfId="0" applyNumberFormat="1" applyFont="1" applyFill="1" applyBorder="1" applyAlignment="1">
      <alignment horizontal="right"/>
    </xf>
    <xf numFmtId="3" fontId="34" fillId="0" borderId="87" xfId="0" applyNumberFormat="1" applyFont="1" applyFill="1" applyBorder="1"/>
    <xf numFmtId="0" fontId="51" fillId="33" borderId="87" xfId="0" applyFont="1" applyFill="1" applyBorder="1" applyAlignment="1">
      <alignment horizontal="left" vertical="top" wrapText="1"/>
    </xf>
    <xf numFmtId="0" fontId="33" fillId="33" borderId="87" xfId="0" applyFont="1" applyFill="1" applyBorder="1"/>
    <xf numFmtId="0" fontId="31" fillId="0" borderId="35" xfId="0" applyFont="1" applyBorder="1"/>
    <xf numFmtId="3" fontId="31" fillId="0" borderId="35" xfId="0" applyNumberFormat="1" applyFont="1" applyBorder="1" applyAlignment="1">
      <alignment horizontal="right"/>
    </xf>
    <xf numFmtId="0" fontId="31" fillId="0" borderId="35" xfId="0" applyFont="1" applyBorder="1" applyAlignment="1">
      <alignment horizontal="right"/>
    </xf>
    <xf numFmtId="173" fontId="33" fillId="0" borderId="100" xfId="0" applyNumberFormat="1" applyFont="1" applyBorder="1" applyAlignment="1">
      <alignment horizontal="right" wrapText="1"/>
    </xf>
    <xf numFmtId="3" fontId="31" fillId="0" borderId="100" xfId="0" applyNumberFormat="1" applyFont="1" applyFill="1" applyBorder="1" applyAlignment="1">
      <alignment horizontal="right"/>
    </xf>
    <xf numFmtId="0" fontId="31" fillId="0" borderId="100" xfId="0" applyFont="1" applyBorder="1"/>
    <xf numFmtId="3" fontId="31" fillId="0" borderId="100" xfId="0" applyNumberFormat="1" applyFont="1" applyBorder="1"/>
    <xf numFmtId="167" fontId="31" fillId="0" borderId="100" xfId="0" applyNumberFormat="1" applyFont="1" applyBorder="1"/>
    <xf numFmtId="0" fontId="35" fillId="25" borderId="100" xfId="0" applyFont="1" applyFill="1" applyBorder="1" applyAlignment="1">
      <alignment horizontal="center" vertical="center" wrapText="1"/>
    </xf>
    <xf numFmtId="166" fontId="31" fillId="0" borderId="100" xfId="0" applyNumberFormat="1" applyFont="1" applyFill="1" applyBorder="1"/>
    <xf numFmtId="0" fontId="55" fillId="29" borderId="100" xfId="0" applyFont="1" applyFill="1" applyBorder="1" applyAlignment="1">
      <alignment horizontal="center" vertical="center" wrapText="1"/>
    </xf>
    <xf numFmtId="0" fontId="31" fillId="0" borderId="100" xfId="0" applyFont="1" applyFill="1" applyBorder="1"/>
    <xf numFmtId="173" fontId="33" fillId="0" borderId="100" xfId="0" applyNumberFormat="1" applyFont="1" applyFill="1" applyBorder="1" applyAlignment="1">
      <alignment horizontal="right" wrapText="1"/>
    </xf>
    <xf numFmtId="0" fontId="31" fillId="33" borderId="100" xfId="0" applyFont="1" applyFill="1" applyBorder="1"/>
    <xf numFmtId="49" fontId="31" fillId="33" borderId="100" xfId="2344" applyNumberFormat="1" applyFont="1" applyFill="1" applyBorder="1" applyAlignment="1">
      <alignment horizontal="right"/>
    </xf>
    <xf numFmtId="166" fontId="31" fillId="0" borderId="100" xfId="2344" applyNumberFormat="1" applyFont="1" applyFill="1" applyBorder="1" applyAlignment="1">
      <alignment horizontal="right" wrapText="1"/>
    </xf>
    <xf numFmtId="49" fontId="31" fillId="0" borderId="100" xfId="2344" applyNumberFormat="1" applyFont="1" applyFill="1" applyBorder="1" applyAlignment="1">
      <alignment horizontal="right"/>
    </xf>
    <xf numFmtId="166" fontId="31" fillId="33" borderId="100" xfId="0" applyNumberFormat="1" applyFont="1" applyFill="1" applyBorder="1"/>
    <xf numFmtId="167" fontId="31" fillId="33" borderId="100" xfId="0" applyNumberFormat="1" applyFont="1" applyFill="1" applyBorder="1"/>
    <xf numFmtId="49" fontId="31" fillId="33" borderId="100" xfId="0" applyNumberFormat="1" applyFont="1" applyFill="1" applyBorder="1" applyAlignment="1">
      <alignment horizontal="right"/>
    </xf>
    <xf numFmtId="166" fontId="31" fillId="0" borderId="100" xfId="0" applyNumberFormat="1" applyFont="1" applyBorder="1"/>
    <xf numFmtId="167" fontId="31" fillId="24" borderId="100" xfId="0" applyNumberFormat="1" applyFont="1" applyFill="1" applyBorder="1"/>
    <xf numFmtId="0" fontId="31" fillId="0" borderId="100" xfId="0" applyFont="1" applyBorder="1" applyAlignment="1">
      <alignment horizontal="right"/>
    </xf>
    <xf numFmtId="0" fontId="53" fillId="27" borderId="100" xfId="0" applyFont="1" applyFill="1" applyBorder="1" applyAlignment="1">
      <alignment horizontal="center" vertical="center" wrapText="1"/>
    </xf>
    <xf numFmtId="0" fontId="30" fillId="0" borderId="35" xfId="0" applyFont="1" applyBorder="1"/>
    <xf numFmtId="166" fontId="31" fillId="0" borderId="35" xfId="0" applyNumberFormat="1" applyFont="1" applyBorder="1"/>
    <xf numFmtId="0" fontId="31" fillId="0" borderId="105" xfId="0" applyFont="1" applyBorder="1"/>
    <xf numFmtId="0" fontId="30" fillId="0" borderId="100" xfId="0" applyFont="1" applyBorder="1"/>
    <xf numFmtId="172" fontId="67" fillId="0" borderId="100" xfId="0" applyNumberFormat="1" applyFont="1" applyBorder="1" applyAlignment="1">
      <alignment horizontal="right" wrapText="1"/>
    </xf>
    <xf numFmtId="0" fontId="30" fillId="0" borderId="106" xfId="0" applyFont="1" applyBorder="1"/>
    <xf numFmtId="3" fontId="31" fillId="0" borderId="18" xfId="0" applyNumberFormat="1" applyFont="1" applyBorder="1" applyAlignment="1">
      <alignment horizontal="right"/>
    </xf>
    <xf numFmtId="3" fontId="31" fillId="0" borderId="100" xfId="0" applyNumberFormat="1" applyFont="1" applyBorder="1" applyAlignment="1">
      <alignment horizontal="right"/>
    </xf>
    <xf numFmtId="0" fontId="31" fillId="0" borderId="18" xfId="0" applyFont="1" applyBorder="1"/>
    <xf numFmtId="0" fontId="33" fillId="33" borderId="106" xfId="0" applyFont="1" applyFill="1" applyBorder="1"/>
    <xf numFmtId="0" fontId="53" fillId="26" borderId="35" xfId="0" applyFont="1" applyFill="1" applyBorder="1" applyAlignment="1">
      <alignment horizontal="center" vertical="center" wrapText="1"/>
    </xf>
    <xf numFmtId="172" fontId="33" fillId="0" borderId="100" xfId="0" applyNumberFormat="1" applyFont="1" applyBorder="1" applyAlignment="1">
      <alignment horizontal="right" wrapText="1"/>
    </xf>
    <xf numFmtId="3" fontId="31" fillId="0" borderId="100" xfId="0" applyNumberFormat="1" applyFont="1" applyFill="1" applyBorder="1"/>
    <xf numFmtId="3" fontId="31" fillId="0" borderId="17" xfId="0" applyNumberFormat="1" applyFont="1" applyFill="1" applyBorder="1"/>
    <xf numFmtId="0" fontId="53" fillId="26" borderId="100" xfId="0" applyFont="1" applyFill="1" applyBorder="1" applyAlignment="1">
      <alignment horizontal="center" vertical="center" wrapText="1"/>
    </xf>
    <xf numFmtId="0" fontId="30" fillId="24" borderId="100" xfId="0" applyFont="1" applyFill="1" applyBorder="1"/>
    <xf numFmtId="183" fontId="31" fillId="0" borderId="100" xfId="0" applyNumberFormat="1" applyFont="1" applyFill="1" applyBorder="1"/>
    <xf numFmtId="183" fontId="31" fillId="0" borderId="100" xfId="0" applyNumberFormat="1" applyFont="1" applyBorder="1" applyAlignment="1">
      <alignment horizontal="right" wrapText="1"/>
    </xf>
    <xf numFmtId="3" fontId="31" fillId="0" borderId="100" xfId="0" applyNumberFormat="1" applyFont="1" applyBorder="1" applyAlignment="1">
      <alignment horizontal="right" wrapText="1"/>
    </xf>
    <xf numFmtId="3" fontId="34" fillId="0" borderId="100" xfId="0" applyNumberFormat="1" applyFont="1" applyFill="1" applyBorder="1" applyAlignment="1">
      <alignment horizontal="right" wrapText="1"/>
    </xf>
    <xf numFmtId="176" fontId="31" fillId="0" borderId="100" xfId="0" applyNumberFormat="1" applyFont="1" applyBorder="1"/>
    <xf numFmtId="166" fontId="33" fillId="0" borderId="100" xfId="0" applyNumberFormat="1" applyFont="1" applyBorder="1" applyAlignment="1">
      <alignment horizontal="right" wrapText="1"/>
    </xf>
    <xf numFmtId="0" fontId="0" fillId="0" borderId="100" xfId="0" applyBorder="1"/>
    <xf numFmtId="166" fontId="33" fillId="33" borderId="100" xfId="0" applyNumberFormat="1" applyFont="1" applyFill="1" applyBorder="1" applyAlignment="1">
      <alignment horizontal="right" wrapText="1"/>
    </xf>
    <xf numFmtId="0" fontId="0" fillId="33" borderId="0" xfId="0" applyFill="1"/>
    <xf numFmtId="0" fontId="31" fillId="0" borderId="100" xfId="0" applyFont="1" applyBorder="1"/>
    <xf numFmtId="0" fontId="31" fillId="0" borderId="100" xfId="0" applyFont="1" applyFill="1" applyBorder="1"/>
    <xf numFmtId="3" fontId="31" fillId="0" borderId="100" xfId="0" applyNumberFormat="1" applyFont="1" applyFill="1" applyBorder="1" applyAlignment="1">
      <alignment horizontal="right"/>
    </xf>
    <xf numFmtId="49" fontId="36" fillId="32" borderId="100" xfId="0" applyNumberFormat="1" applyFont="1" applyFill="1" applyBorder="1" applyAlignment="1">
      <alignment horizontal="center" vertical="center" wrapText="1"/>
    </xf>
    <xf numFmtId="167" fontId="31" fillId="0" borderId="100" xfId="0" applyNumberFormat="1" applyFont="1" applyFill="1" applyBorder="1"/>
    <xf numFmtId="0" fontId="31" fillId="0" borderId="100" xfId="0" applyFont="1" applyFill="1" applyBorder="1" applyAlignment="1">
      <alignment horizontal="right"/>
    </xf>
    <xf numFmtId="167" fontId="31" fillId="0" borderId="100" xfId="0" applyNumberFormat="1" applyFont="1" applyBorder="1"/>
    <xf numFmtId="0" fontId="31" fillId="0" borderId="100" xfId="0" applyFont="1" applyBorder="1" applyAlignment="1">
      <alignment horizontal="right"/>
    </xf>
    <xf numFmtId="173" fontId="31" fillId="0" borderId="100" xfId="2696" applyNumberFormat="1" applyFont="1" applyFill="1" applyBorder="1" applyAlignment="1">
      <alignment horizontal="right"/>
    </xf>
    <xf numFmtId="166" fontId="31" fillId="0" borderId="100" xfId="2696" applyNumberFormat="1" applyFont="1" applyFill="1" applyBorder="1" applyAlignment="1">
      <alignment horizontal="right" wrapText="1"/>
    </xf>
    <xf numFmtId="49" fontId="31" fillId="0" borderId="100" xfId="2696" applyNumberFormat="1" applyFont="1" applyFill="1" applyBorder="1" applyAlignment="1">
      <alignment horizontal="right"/>
    </xf>
    <xf numFmtId="0" fontId="42" fillId="0" borderId="0" xfId="0" applyFont="1" applyFill="1" applyBorder="1" applyAlignment="1">
      <alignment horizontal="left" wrapText="1"/>
    </xf>
    <xf numFmtId="0" fontId="42" fillId="0" borderId="0" xfId="0" applyFont="1" applyFill="1" applyBorder="1" applyAlignment="1">
      <alignment horizontal="left" vertical="top" wrapText="1"/>
    </xf>
    <xf numFmtId="0" fontId="68" fillId="0" borderId="100" xfId="0" applyFont="1" applyFill="1" applyBorder="1"/>
    <xf numFmtId="0" fontId="31" fillId="0" borderId="101" xfId="0" applyFont="1" applyFill="1" applyBorder="1"/>
    <xf numFmtId="0" fontId="42" fillId="0" borderId="107" xfId="0" applyFont="1" applyFill="1" applyBorder="1" applyAlignment="1">
      <alignment wrapText="1"/>
    </xf>
    <xf numFmtId="166" fontId="34" fillId="0" borderId="87" xfId="0" applyNumberFormat="1" applyFont="1" applyFill="1" applyBorder="1" applyAlignment="1">
      <alignment horizontal="right" wrapText="1"/>
    </xf>
    <xf numFmtId="166" fontId="34" fillId="0" borderId="87" xfId="0" applyNumberFormat="1" applyFont="1" applyBorder="1" applyAlignment="1">
      <alignment horizontal="right"/>
    </xf>
    <xf numFmtId="3" fontId="31" fillId="33" borderId="100" xfId="0" applyNumberFormat="1" applyFont="1" applyFill="1" applyBorder="1" applyAlignment="1">
      <alignment horizontal="right"/>
    </xf>
    <xf numFmtId="4" fontId="31" fillId="0" borderId="100" xfId="0" applyNumberFormat="1" applyFont="1" applyFill="1" applyBorder="1" applyAlignment="1">
      <alignment horizontal="right" wrapText="1"/>
    </xf>
    <xf numFmtId="0" fontId="33" fillId="24" borderId="100" xfId="0" applyFont="1" applyFill="1" applyBorder="1"/>
    <xf numFmtId="0" fontId="62" fillId="31" borderId="17" xfId="0" applyFont="1" applyFill="1" applyBorder="1" applyAlignment="1">
      <alignment horizontal="center" vertical="center" wrapText="1"/>
    </xf>
    <xf numFmtId="166" fontId="60" fillId="0" borderId="100" xfId="0" applyNumberFormat="1" applyFont="1" applyFill="1" applyBorder="1"/>
    <xf numFmtId="0" fontId="60" fillId="0" borderId="100" xfId="0" applyFont="1" applyFill="1" applyBorder="1"/>
    <xf numFmtId="167" fontId="60" fillId="0" borderId="100" xfId="0" applyNumberFormat="1" applyFont="1" applyFill="1" applyBorder="1"/>
    <xf numFmtId="3" fontId="60" fillId="0" borderId="100" xfId="0" applyNumberFormat="1" applyFont="1" applyFill="1" applyBorder="1"/>
    <xf numFmtId="180" fontId="33" fillId="0" borderId="100" xfId="0" applyNumberFormat="1" applyFont="1" applyBorder="1" applyAlignment="1">
      <alignment horizontal="right" wrapText="1"/>
    </xf>
    <xf numFmtId="169" fontId="33" fillId="0" borderId="100" xfId="2344" applyNumberFormat="1" applyFont="1" applyFill="1" applyBorder="1" applyAlignment="1">
      <alignment horizontal="right" wrapText="1"/>
    </xf>
    <xf numFmtId="166" fontId="33" fillId="33" borderId="101" xfId="0" applyNumberFormat="1" applyFont="1" applyFill="1" applyBorder="1" applyAlignment="1">
      <alignment horizontal="right" wrapText="1"/>
    </xf>
    <xf numFmtId="49" fontId="31" fillId="33" borderId="101" xfId="0" applyNumberFormat="1" applyFont="1" applyFill="1" applyBorder="1" applyAlignment="1">
      <alignment horizontal="right"/>
    </xf>
    <xf numFmtId="0" fontId="31" fillId="33" borderId="101" xfId="0" applyFont="1" applyFill="1" applyBorder="1"/>
    <xf numFmtId="0" fontId="42" fillId="33" borderId="101" xfId="0" applyFont="1" applyFill="1" applyBorder="1" applyAlignment="1">
      <alignment horizontal="left" vertical="top" wrapText="1"/>
    </xf>
    <xf numFmtId="0" fontId="35" fillId="33" borderId="101" xfId="0" applyFont="1" applyFill="1" applyBorder="1" applyAlignment="1">
      <alignment vertical="top" wrapText="1"/>
    </xf>
    <xf numFmtId="0" fontId="35" fillId="33" borderId="100" xfId="0" applyFont="1" applyFill="1" applyBorder="1" applyAlignment="1">
      <alignment horizontal="center" vertical="top" wrapText="1"/>
    </xf>
    <xf numFmtId="49" fontId="36" fillId="30" borderId="100" xfId="0" applyNumberFormat="1" applyFont="1" applyFill="1" applyBorder="1" applyAlignment="1">
      <alignment horizontal="center" vertical="center" wrapText="1"/>
    </xf>
    <xf numFmtId="0" fontId="69" fillId="30" borderId="100" xfId="0" applyFont="1" applyFill="1" applyBorder="1" applyAlignment="1">
      <alignment horizontal="center" vertical="center" wrapText="1"/>
    </xf>
    <xf numFmtId="0" fontId="69" fillId="30" borderId="17" xfId="0" applyFont="1" applyFill="1" applyBorder="1" applyAlignment="1">
      <alignment horizontal="center" vertical="center" wrapText="1"/>
    </xf>
    <xf numFmtId="0" fontId="69" fillId="30" borderId="10" xfId="0" applyFont="1" applyFill="1" applyBorder="1" applyAlignment="1">
      <alignment horizontal="center" vertical="center" wrapText="1"/>
    </xf>
    <xf numFmtId="0" fontId="69" fillId="30" borderId="62" xfId="0" applyFont="1" applyFill="1" applyBorder="1" applyAlignment="1">
      <alignment horizontal="center" vertical="center" wrapText="1"/>
    </xf>
    <xf numFmtId="0" fontId="69" fillId="30" borderId="87" xfId="0" applyFont="1" applyFill="1" applyBorder="1" applyAlignment="1">
      <alignment horizontal="center" vertical="center" wrapText="1"/>
    </xf>
    <xf numFmtId="0" fontId="72" fillId="27" borderId="100" xfId="0" applyFont="1" applyFill="1" applyBorder="1" applyAlignment="1">
      <alignment horizontal="center" vertical="center" wrapText="1"/>
    </xf>
    <xf numFmtId="0" fontId="70" fillId="0" borderId="100" xfId="0" applyFont="1" applyBorder="1"/>
    <xf numFmtId="0" fontId="72" fillId="26" borderId="100" xfId="0" applyFont="1" applyFill="1" applyBorder="1" applyAlignment="1">
      <alignment horizontal="center" vertical="center" wrapText="1"/>
    </xf>
    <xf numFmtId="0" fontId="31" fillId="0" borderId="100" xfId="0" applyFont="1" applyFill="1" applyBorder="1" applyAlignment="1">
      <alignment horizontal="center"/>
    </xf>
    <xf numFmtId="166" fontId="34" fillId="0" borderId="100" xfId="0" applyNumberFormat="1" applyFont="1" applyFill="1" applyBorder="1" applyAlignment="1">
      <alignment horizontal="right" wrapText="1"/>
    </xf>
    <xf numFmtId="3" fontId="33" fillId="33" borderId="100" xfId="0" applyNumberFormat="1" applyFont="1" applyFill="1" applyBorder="1" applyAlignment="1">
      <alignment horizontal="right" wrapText="1"/>
    </xf>
    <xf numFmtId="169" fontId="70" fillId="33" borderId="100" xfId="2690" applyNumberFormat="1" applyFont="1" applyFill="1" applyBorder="1" applyAlignment="1">
      <alignment horizontal="right" wrapText="1"/>
    </xf>
    <xf numFmtId="167" fontId="70" fillId="33" borderId="100" xfId="0" applyNumberFormat="1" applyFont="1" applyFill="1" applyBorder="1"/>
    <xf numFmtId="167" fontId="70" fillId="33" borderId="100" xfId="0" applyNumberFormat="1" applyFont="1" applyFill="1" applyBorder="1" applyAlignment="1">
      <alignment horizontal="right"/>
    </xf>
    <xf numFmtId="0" fontId="70" fillId="33" borderId="100" xfId="0" applyFont="1" applyFill="1" applyBorder="1"/>
    <xf numFmtId="172" fontId="71" fillId="33" borderId="100" xfId="0" applyNumberFormat="1" applyFont="1" applyFill="1" applyBorder="1" applyAlignment="1">
      <alignment horizontal="right" wrapText="1"/>
    </xf>
    <xf numFmtId="173" fontId="71" fillId="33" borderId="100" xfId="0" applyNumberFormat="1" applyFont="1" applyFill="1" applyBorder="1" applyAlignment="1">
      <alignment horizontal="right" wrapText="1"/>
    </xf>
    <xf numFmtId="166" fontId="70" fillId="33" borderId="100" xfId="0" applyNumberFormat="1" applyFont="1" applyFill="1" applyBorder="1"/>
    <xf numFmtId="49" fontId="70" fillId="33" borderId="100" xfId="0" applyNumberFormat="1" applyFont="1" applyFill="1" applyBorder="1" applyAlignment="1">
      <alignment horizontal="right"/>
    </xf>
    <xf numFmtId="166" fontId="71" fillId="33" borderId="100" xfId="0" applyNumberFormat="1" applyFont="1" applyFill="1" applyBorder="1" applyAlignment="1">
      <alignment horizontal="right" wrapText="1"/>
    </xf>
    <xf numFmtId="0" fontId="70" fillId="33" borderId="100" xfId="0" applyFont="1" applyFill="1" applyBorder="1" applyAlignment="1">
      <alignment horizontal="right"/>
    </xf>
    <xf numFmtId="176" fontId="70" fillId="33" borderId="100" xfId="0" applyNumberFormat="1" applyFont="1" applyFill="1" applyBorder="1"/>
    <xf numFmtId="0" fontId="71" fillId="33" borderId="100" xfId="0" applyFont="1" applyFill="1" applyBorder="1" applyAlignment="1">
      <alignment horizontal="right" wrapText="1"/>
    </xf>
    <xf numFmtId="3" fontId="70" fillId="33" borderId="100" xfId="0" applyNumberFormat="1" applyFont="1" applyFill="1" applyBorder="1" applyAlignment="1">
      <alignment horizontal="right"/>
    </xf>
    <xf numFmtId="172" fontId="70" fillId="33" borderId="100" xfId="0" applyNumberFormat="1" applyFont="1" applyFill="1" applyBorder="1" applyAlignment="1">
      <alignment horizontal="right" wrapText="1"/>
    </xf>
    <xf numFmtId="0" fontId="70" fillId="33" borderId="100" xfId="0" applyFont="1" applyFill="1" applyBorder="1" applyAlignment="1">
      <alignment horizontal="right" wrapText="1"/>
    </xf>
    <xf numFmtId="0" fontId="71" fillId="33" borderId="100" xfId="0" applyFont="1" applyFill="1" applyBorder="1"/>
    <xf numFmtId="168" fontId="71" fillId="33" borderId="100" xfId="2696" applyNumberFormat="1" applyFont="1" applyFill="1" applyBorder="1" applyAlignment="1">
      <alignment horizontal="right" wrapText="1"/>
    </xf>
    <xf numFmtId="49" fontId="70" fillId="33" borderId="100" xfId="2696" applyNumberFormat="1" applyFont="1" applyFill="1" applyBorder="1" applyAlignment="1">
      <alignment horizontal="right"/>
    </xf>
    <xf numFmtId="166" fontId="70" fillId="33" borderId="100" xfId="2696" applyNumberFormat="1" applyFont="1" applyFill="1" applyBorder="1" applyAlignment="1">
      <alignment horizontal="right" wrapText="1"/>
    </xf>
    <xf numFmtId="173" fontId="70" fillId="33" borderId="100" xfId="2696" applyNumberFormat="1" applyFont="1" applyFill="1" applyBorder="1" applyAlignment="1">
      <alignment horizontal="right"/>
    </xf>
    <xf numFmtId="166" fontId="70" fillId="33" borderId="100" xfId="0" applyNumberFormat="1" applyFont="1" applyFill="1" applyBorder="1" applyAlignment="1">
      <alignment horizontal="right"/>
    </xf>
    <xf numFmtId="166" fontId="31" fillId="0" borderId="98" xfId="0" applyNumberFormat="1" applyFont="1" applyBorder="1"/>
    <xf numFmtId="0" fontId="71" fillId="33" borderId="100" xfId="0" applyFont="1" applyFill="1" applyBorder="1" applyAlignment="1">
      <alignment horizontal="right"/>
    </xf>
    <xf numFmtId="168" fontId="33" fillId="0" borderId="100" xfId="2696" applyNumberFormat="1" applyFont="1" applyFill="1" applyBorder="1" applyAlignment="1">
      <alignment horizontal="right" wrapText="1"/>
    </xf>
    <xf numFmtId="166" fontId="31" fillId="24" borderId="100" xfId="0" applyNumberFormat="1" applyFont="1" applyFill="1" applyBorder="1"/>
    <xf numFmtId="49" fontId="31" fillId="24" borderId="100" xfId="0" applyNumberFormat="1" applyFont="1" applyFill="1" applyBorder="1" applyAlignment="1">
      <alignment horizontal="right"/>
    </xf>
    <xf numFmtId="166" fontId="31" fillId="0" borderId="100" xfId="0" applyNumberFormat="1" applyFont="1" applyBorder="1" applyAlignment="1">
      <alignment wrapText="1"/>
    </xf>
    <xf numFmtId="0" fontId="45" fillId="0" borderId="100" xfId="0" applyFont="1" applyFill="1" applyBorder="1" applyAlignment="1">
      <alignment wrapText="1"/>
    </xf>
    <xf numFmtId="0" fontId="53" fillId="27" borderId="101" xfId="0" applyFont="1" applyFill="1" applyBorder="1" applyAlignment="1">
      <alignment horizontal="center" vertical="center" wrapText="1"/>
    </xf>
    <xf numFmtId="185" fontId="33" fillId="0" borderId="100" xfId="0" applyNumberFormat="1" applyFont="1" applyBorder="1" applyAlignment="1">
      <alignment horizontal="right" wrapText="1"/>
    </xf>
    <xf numFmtId="0" fontId="53" fillId="26" borderId="17" xfId="0" applyFont="1" applyFill="1" applyBorder="1" applyAlignment="1">
      <alignment horizontal="center" vertical="center" wrapText="1"/>
    </xf>
    <xf numFmtId="172" fontId="33" fillId="0" borderId="100" xfId="0" applyNumberFormat="1" applyFont="1" applyFill="1" applyBorder="1" applyAlignment="1">
      <alignment horizontal="right" wrapText="1"/>
    </xf>
    <xf numFmtId="49" fontId="53" fillId="26" borderId="100" xfId="0" applyNumberFormat="1" applyFont="1" applyFill="1" applyBorder="1" applyAlignment="1">
      <alignment horizontal="center" vertical="center" wrapText="1"/>
    </xf>
    <xf numFmtId="171" fontId="33" fillId="0" borderId="100" xfId="0" applyNumberFormat="1" applyFont="1" applyFill="1" applyBorder="1" applyAlignment="1">
      <alignment horizontal="right" wrapText="1"/>
    </xf>
    <xf numFmtId="167" fontId="34" fillId="0" borderId="100" xfId="0" applyNumberFormat="1" applyFont="1" applyFill="1" applyBorder="1" applyAlignment="1">
      <alignment horizontal="right"/>
    </xf>
    <xf numFmtId="1" fontId="53" fillId="26" borderId="100" xfId="0" applyNumberFormat="1" applyFont="1" applyFill="1" applyBorder="1" applyAlignment="1">
      <alignment horizontal="center" vertical="center" wrapText="1"/>
    </xf>
    <xf numFmtId="14" fontId="53" fillId="26" borderId="100" xfId="0" applyNumberFormat="1" applyFont="1" applyFill="1" applyBorder="1" applyAlignment="1">
      <alignment horizontal="center" vertical="center" wrapText="1"/>
    </xf>
    <xf numFmtId="172" fontId="33" fillId="0" borderId="98" xfId="0" applyNumberFormat="1" applyFont="1" applyFill="1" applyBorder="1" applyAlignment="1">
      <alignment horizontal="right" wrapText="1"/>
    </xf>
    <xf numFmtId="166" fontId="31" fillId="0" borderId="100" xfId="0" applyNumberFormat="1" applyFont="1" applyBorder="1" applyAlignment="1">
      <alignment horizontal="right" vertical="center" wrapText="1"/>
    </xf>
    <xf numFmtId="4" fontId="31" fillId="0" borderId="101" xfId="0" applyNumberFormat="1" applyFont="1" applyFill="1" applyBorder="1" applyAlignment="1">
      <alignment horizontal="right" wrapText="1"/>
    </xf>
    <xf numFmtId="3" fontId="73" fillId="0" borderId="100" xfId="0" applyNumberFormat="1" applyFont="1" applyBorder="1" applyAlignment="1">
      <alignment horizontal="right" wrapText="1"/>
    </xf>
    <xf numFmtId="0" fontId="35" fillId="30" borderId="100" xfId="0" applyFont="1" applyFill="1" applyBorder="1" applyAlignment="1">
      <alignment horizontal="center" vertical="center" wrapText="1"/>
    </xf>
    <xf numFmtId="3" fontId="31" fillId="0" borderId="10" xfId="0" applyNumberFormat="1" applyFont="1" applyFill="1" applyBorder="1"/>
    <xf numFmtId="166" fontId="31" fillId="24" borderId="100" xfId="0" applyNumberFormat="1" applyFont="1" applyFill="1" applyBorder="1" applyAlignment="1">
      <alignment horizontal="right"/>
    </xf>
    <xf numFmtId="166" fontId="31" fillId="0" borderId="10" xfId="0" applyNumberFormat="1" applyFont="1" applyBorder="1" applyAlignment="1">
      <alignment horizontal="right" vertical="center" wrapText="1"/>
    </xf>
    <xf numFmtId="4" fontId="31" fillId="33" borderId="10" xfId="0" applyNumberFormat="1" applyFont="1" applyFill="1" applyBorder="1" applyAlignment="1">
      <alignment horizontal="right" wrapText="1"/>
    </xf>
    <xf numFmtId="183" fontId="31" fillId="0" borderId="10" xfId="0" applyNumberFormat="1" applyFont="1" applyBorder="1" applyAlignment="1">
      <alignment horizontal="right" wrapText="1"/>
    </xf>
    <xf numFmtId="183" fontId="31" fillId="0" borderId="10" xfId="0" applyNumberFormat="1" applyFont="1" applyFill="1" applyBorder="1"/>
    <xf numFmtId="183" fontId="31" fillId="0" borderId="0" xfId="0" applyNumberFormat="1" applyFont="1" applyFill="1"/>
    <xf numFmtId="166" fontId="31" fillId="33" borderId="10" xfId="0" applyNumberFormat="1" applyFont="1" applyFill="1" applyBorder="1" applyAlignment="1">
      <alignment horizontal="right" wrapText="1"/>
    </xf>
    <xf numFmtId="166" fontId="70" fillId="33" borderId="10" xfId="0" applyNumberFormat="1" applyFont="1" applyFill="1" applyBorder="1"/>
    <xf numFmtId="166" fontId="31" fillId="0" borderId="10" xfId="0" applyNumberFormat="1" applyFont="1" applyFill="1" applyBorder="1" applyAlignment="1">
      <alignment vertical="center" wrapText="1"/>
    </xf>
    <xf numFmtId="49" fontId="36" fillId="32" borderId="12" xfId="0" applyNumberFormat="1" applyFont="1" applyFill="1" applyBorder="1" applyAlignment="1">
      <alignment horizontal="center" vertical="center" wrapText="1"/>
    </xf>
    <xf numFmtId="173" fontId="74" fillId="0" borderId="100" xfId="2696" applyNumberFormat="1" applyFont="1" applyFill="1" applyBorder="1" applyAlignment="1">
      <alignment horizontal="right"/>
    </xf>
    <xf numFmtId="0" fontId="72" fillId="27" borderId="10" xfId="0" applyFont="1" applyFill="1" applyBorder="1" applyAlignment="1">
      <alignment horizontal="center" vertical="center" wrapText="1"/>
    </xf>
    <xf numFmtId="168" fontId="70" fillId="24" borderId="10" xfId="2696" applyNumberFormat="1" applyFont="1" applyFill="1" applyBorder="1" applyAlignment="1">
      <alignment horizontal="right" wrapText="1"/>
    </xf>
    <xf numFmtId="166" fontId="70" fillId="0" borderId="10" xfId="0" applyNumberFormat="1" applyFont="1" applyFill="1" applyBorder="1" applyAlignment="1">
      <alignment horizontal="right"/>
    </xf>
    <xf numFmtId="49" fontId="70" fillId="0" borderId="10" xfId="0" applyNumberFormat="1" applyFont="1" applyFill="1" applyBorder="1" applyAlignment="1">
      <alignment horizontal="right"/>
    </xf>
    <xf numFmtId="0" fontId="72" fillId="27" borderId="12" xfId="0" applyFont="1" applyFill="1" applyBorder="1" applyAlignment="1">
      <alignment horizontal="center" vertical="center" wrapText="1"/>
    </xf>
    <xf numFmtId="0" fontId="70" fillId="0" borderId="10" xfId="0" applyFont="1" applyBorder="1"/>
    <xf numFmtId="176" fontId="70" fillId="0" borderId="10" xfId="0" applyNumberFormat="1" applyFont="1" applyBorder="1"/>
    <xf numFmtId="167" fontId="70" fillId="0" borderId="10" xfId="0" applyNumberFormat="1" applyFont="1" applyBorder="1"/>
    <xf numFmtId="173" fontId="71" fillId="0" borderId="10" xfId="0" applyNumberFormat="1" applyFont="1" applyBorder="1" applyAlignment="1">
      <alignment horizontal="right" wrapText="1"/>
    </xf>
    <xf numFmtId="3" fontId="70" fillId="0" borderId="10" xfId="0" applyNumberFormat="1" applyFont="1" applyBorder="1" applyAlignment="1">
      <alignment horizontal="right"/>
    </xf>
    <xf numFmtId="0" fontId="70" fillId="0" borderId="10" xfId="0" applyFont="1" applyBorder="1" applyAlignment="1">
      <alignment horizontal="right"/>
    </xf>
    <xf numFmtId="172" fontId="70" fillId="0" borderId="10" xfId="0" applyNumberFormat="1" applyFont="1" applyBorder="1" applyAlignment="1">
      <alignment horizontal="right" wrapText="1"/>
    </xf>
    <xf numFmtId="0" fontId="71" fillId="24" borderId="10" xfId="0" applyFont="1" applyFill="1" applyBorder="1"/>
    <xf numFmtId="0" fontId="70" fillId="0" borderId="0" xfId="0" applyFont="1"/>
    <xf numFmtId="0" fontId="72" fillId="26" borderId="18" xfId="0" applyFont="1" applyFill="1" applyBorder="1" applyAlignment="1">
      <alignment horizontal="center" vertical="center" wrapText="1"/>
    </xf>
    <xf numFmtId="3" fontId="70" fillId="0" borderId="10" xfId="0" applyNumberFormat="1" applyFont="1" applyBorder="1"/>
    <xf numFmtId="166" fontId="70" fillId="0" borderId="10" xfId="0" applyNumberFormat="1" applyFont="1" applyBorder="1"/>
    <xf numFmtId="3" fontId="70" fillId="0" borderId="10" xfId="0" applyNumberFormat="1" applyFont="1" applyBorder="1" applyAlignment="1">
      <alignment horizontal="right" wrapText="1"/>
    </xf>
    <xf numFmtId="166" fontId="71" fillId="0" borderId="10" xfId="0" applyNumberFormat="1" applyFont="1" applyFill="1" applyBorder="1" applyAlignment="1">
      <alignment horizontal="right" wrapText="1"/>
    </xf>
    <xf numFmtId="166" fontId="70" fillId="0" borderId="10" xfId="0" applyNumberFormat="1" applyFont="1" applyFill="1" applyBorder="1"/>
    <xf numFmtId="0" fontId="70" fillId="0" borderId="10" xfId="0" applyFont="1" applyFill="1" applyBorder="1"/>
    <xf numFmtId="167" fontId="70" fillId="0" borderId="10" xfId="0" applyNumberFormat="1" applyFont="1" applyFill="1" applyBorder="1"/>
    <xf numFmtId="173" fontId="71" fillId="0" borderId="10" xfId="0" applyNumberFormat="1" applyFont="1" applyFill="1" applyBorder="1" applyAlignment="1">
      <alignment horizontal="right" wrapText="1"/>
    </xf>
    <xf numFmtId="49" fontId="36" fillId="30" borderId="10" xfId="0" applyNumberFormat="1" applyFont="1" applyFill="1" applyBorder="1" applyAlignment="1">
      <alignment horizontal="center" vertical="center" wrapText="1"/>
    </xf>
    <xf numFmtId="3" fontId="31" fillId="0" borderId="12" xfId="0" applyNumberFormat="1" applyFont="1" applyFill="1" applyBorder="1" applyAlignment="1">
      <alignment horizontal="right"/>
    </xf>
    <xf numFmtId="0" fontId="60" fillId="33" borderId="10" xfId="0" applyFont="1" applyFill="1" applyBorder="1"/>
    <xf numFmtId="0" fontId="0" fillId="33" borderId="0" xfId="0" applyFill="1" applyBorder="1"/>
    <xf numFmtId="0" fontId="70" fillId="33" borderId="10" xfId="0" applyFont="1" applyFill="1" applyBorder="1"/>
    <xf numFmtId="3" fontId="75" fillId="33" borderId="10" xfId="0" applyNumberFormat="1" applyFont="1" applyFill="1" applyBorder="1" applyAlignment="1">
      <alignment horizontal="right" wrapText="1"/>
    </xf>
    <xf numFmtId="172" fontId="33" fillId="33" borderId="10" xfId="0" applyNumberFormat="1" applyFont="1" applyFill="1" applyBorder="1" applyAlignment="1">
      <alignment horizontal="right" wrapText="1"/>
    </xf>
    <xf numFmtId="173" fontId="33" fillId="33" borderId="10" xfId="0" applyNumberFormat="1" applyFont="1" applyFill="1" applyBorder="1" applyAlignment="1">
      <alignment horizontal="right" wrapText="1"/>
    </xf>
    <xf numFmtId="166" fontId="71" fillId="33" borderId="10" xfId="0" applyNumberFormat="1" applyFont="1" applyFill="1" applyBorder="1" applyAlignment="1">
      <alignment horizontal="right" wrapText="1"/>
    </xf>
    <xf numFmtId="166" fontId="70" fillId="33" borderId="10" xfId="2696" applyNumberFormat="1" applyFont="1" applyFill="1" applyBorder="1" applyAlignment="1">
      <alignment horizontal="right" wrapText="1"/>
    </xf>
    <xf numFmtId="168" fontId="71" fillId="33" borderId="10" xfId="2696" applyNumberFormat="1" applyFont="1" applyFill="1" applyBorder="1" applyAlignment="1">
      <alignment horizontal="right" wrapText="1"/>
    </xf>
    <xf numFmtId="168" fontId="70" fillId="33" borderId="10" xfId="2696" applyNumberFormat="1" applyFont="1" applyFill="1" applyBorder="1" applyAlignment="1">
      <alignment horizontal="right" wrapText="1"/>
    </xf>
    <xf numFmtId="0" fontId="76" fillId="0" borderId="13" xfId="0" applyFont="1" applyBorder="1"/>
    <xf numFmtId="3" fontId="70" fillId="0" borderId="10" xfId="0" applyNumberFormat="1" applyFont="1" applyFill="1" applyBorder="1"/>
    <xf numFmtId="0" fontId="43" fillId="0" borderId="12" xfId="0" applyFont="1" applyFill="1" applyBorder="1" applyAlignment="1">
      <alignment vertical="top" wrapText="1"/>
    </xf>
    <xf numFmtId="0" fontId="42" fillId="0" borderId="108" xfId="0" applyFont="1" applyFill="1" applyBorder="1" applyAlignment="1">
      <alignment vertical="top" wrapText="1"/>
    </xf>
    <xf numFmtId="0" fontId="42" fillId="0" borderId="13" xfId="0" applyFont="1" applyFill="1" applyBorder="1" applyAlignment="1">
      <alignment vertical="top" wrapText="1"/>
    </xf>
    <xf numFmtId="168" fontId="31" fillId="24" borderId="10" xfId="2696" applyNumberFormat="1" applyFont="1" applyFill="1" applyBorder="1" applyAlignment="1">
      <alignment horizontal="right" wrapText="1"/>
    </xf>
    <xf numFmtId="166" fontId="31" fillId="0" borderId="10" xfId="0" applyNumberFormat="1" applyFont="1" applyFill="1" applyBorder="1" applyAlignment="1">
      <alignment horizontal="right"/>
    </xf>
    <xf numFmtId="168" fontId="33" fillId="0" borderId="10" xfId="2696" applyNumberFormat="1" applyFont="1" applyFill="1" applyBorder="1" applyAlignment="1">
      <alignment horizontal="right" wrapText="1"/>
    </xf>
    <xf numFmtId="167" fontId="34" fillId="0" borderId="10" xfId="0" applyNumberFormat="1" applyFont="1" applyFill="1" applyBorder="1"/>
    <xf numFmtId="183" fontId="79" fillId="0" borderId="10" xfId="0" applyNumberFormat="1" applyFont="1" applyBorder="1" applyAlignment="1">
      <alignment horizontal="right" wrapText="1"/>
    </xf>
    <xf numFmtId="183" fontId="79" fillId="0" borderId="10" xfId="0" applyNumberFormat="1" applyFont="1" applyFill="1" applyBorder="1"/>
    <xf numFmtId="0" fontId="79" fillId="0" borderId="10" xfId="0" applyFont="1" applyFill="1" applyBorder="1"/>
    <xf numFmtId="3" fontId="79" fillId="0" borderId="10" xfId="0" applyNumberFormat="1" applyFont="1" applyBorder="1" applyAlignment="1">
      <alignment horizontal="right" wrapText="1"/>
    </xf>
    <xf numFmtId="166" fontId="31" fillId="0" borderId="12" xfId="0" applyNumberFormat="1" applyFont="1" applyBorder="1" applyAlignment="1">
      <alignment horizontal="right" wrapText="1"/>
    </xf>
    <xf numFmtId="3" fontId="31" fillId="0" borderId="12" xfId="0" applyNumberFormat="1" applyFont="1" applyBorder="1" applyAlignment="1">
      <alignment wrapText="1"/>
    </xf>
    <xf numFmtId="167" fontId="31" fillId="0" borderId="12" xfId="0" applyNumberFormat="1" applyFont="1" applyFill="1" applyBorder="1"/>
    <xf numFmtId="4" fontId="31" fillId="33" borderId="12" xfId="0" applyNumberFormat="1" applyFont="1" applyFill="1" applyBorder="1" applyAlignment="1">
      <alignment horizontal="right" wrapText="1"/>
    </xf>
    <xf numFmtId="183" fontId="31" fillId="0" borderId="12" xfId="0" applyNumberFormat="1" applyFont="1" applyBorder="1" applyAlignment="1">
      <alignment horizontal="right" wrapText="1"/>
    </xf>
    <xf numFmtId="183" fontId="31" fillId="0" borderId="12" xfId="0" applyNumberFormat="1" applyFont="1" applyFill="1" applyBorder="1"/>
    <xf numFmtId="3" fontId="78" fillId="0" borderId="10" xfId="0" applyNumberFormat="1" applyFont="1" applyBorder="1" applyAlignment="1">
      <alignment horizontal="right" vertical="center" wrapText="1"/>
    </xf>
    <xf numFmtId="0" fontId="53" fillId="27" borderId="12" xfId="0" applyFont="1" applyFill="1" applyBorder="1" applyAlignment="1">
      <alignment horizontal="center" vertical="center" wrapText="1"/>
    </xf>
    <xf numFmtId="176" fontId="31" fillId="0" borderId="10" xfId="0" applyNumberFormat="1" applyFont="1" applyBorder="1"/>
    <xf numFmtId="172" fontId="31" fillId="0" borderId="10" xfId="0" applyNumberFormat="1" applyFont="1" applyBorder="1" applyAlignment="1">
      <alignment horizontal="right" wrapText="1"/>
    </xf>
    <xf numFmtId="167" fontId="31" fillId="0" borderId="12" xfId="0" applyNumberFormat="1" applyFont="1" applyBorder="1"/>
    <xf numFmtId="173" fontId="31" fillId="0" borderId="10" xfId="0" applyNumberFormat="1" applyFont="1" applyBorder="1" applyAlignment="1">
      <alignment horizontal="right" wrapText="1"/>
    </xf>
    <xf numFmtId="0" fontId="30" fillId="0" borderId="110" xfId="0" applyFont="1" applyBorder="1"/>
    <xf numFmtId="3" fontId="31" fillId="0" borderId="12" xfId="0" applyNumberFormat="1" applyFont="1" applyBorder="1" applyAlignment="1">
      <alignment horizontal="right"/>
    </xf>
    <xf numFmtId="3" fontId="31" fillId="0" borderId="105" xfId="0" applyNumberFormat="1" applyFont="1" applyBorder="1" applyAlignment="1">
      <alignment horizontal="right"/>
    </xf>
    <xf numFmtId="0" fontId="31" fillId="24" borderId="12" xfId="0" applyFont="1" applyFill="1" applyBorder="1"/>
    <xf numFmtId="166" fontId="30" fillId="0" borderId="17" xfId="0" applyNumberFormat="1" applyFont="1" applyBorder="1"/>
    <xf numFmtId="166" fontId="75" fillId="33" borderId="100" xfId="0" applyNumberFormat="1" applyFont="1" applyFill="1" applyBorder="1" applyAlignment="1">
      <alignment horizontal="right" wrapText="1"/>
    </xf>
    <xf numFmtId="0" fontId="60" fillId="33" borderId="100" xfId="0" applyFont="1" applyFill="1" applyBorder="1"/>
    <xf numFmtId="3" fontId="60" fillId="33" borderId="100" xfId="0" applyNumberFormat="1" applyFont="1" applyFill="1" applyBorder="1" applyAlignment="1">
      <alignment wrapText="1"/>
    </xf>
    <xf numFmtId="0" fontId="53" fillId="27" borderId="75" xfId="0" applyFont="1" applyFill="1" applyBorder="1" applyAlignment="1">
      <alignment horizontal="left" vertical="center" wrapText="1"/>
    </xf>
    <xf numFmtId="0" fontId="56" fillId="0" borderId="75" xfId="0" applyFont="1" applyFill="1" applyBorder="1"/>
    <xf numFmtId="172" fontId="33" fillId="0" borderId="75" xfId="0" applyNumberFormat="1" applyFont="1" applyFill="1" applyBorder="1" applyAlignment="1">
      <alignment horizontal="right" wrapText="1"/>
    </xf>
    <xf numFmtId="169" fontId="31" fillId="0" borderId="75" xfId="2344" applyNumberFormat="1" applyFont="1" applyFill="1" applyBorder="1" applyAlignment="1">
      <alignment horizontal="right" wrapText="1"/>
    </xf>
    <xf numFmtId="3" fontId="31" fillId="0" borderId="75" xfId="0" applyNumberFormat="1" applyFont="1" applyFill="1" applyBorder="1" applyAlignment="1">
      <alignment horizontal="right" vertical="top" wrapText="1"/>
    </xf>
    <xf numFmtId="0" fontId="31" fillId="0" borderId="75" xfId="0" applyNumberFormat="1" applyFont="1" applyFill="1" applyBorder="1" applyAlignment="1">
      <alignment horizontal="right" vertical="top" wrapText="1"/>
    </xf>
    <xf numFmtId="173" fontId="33" fillId="0" borderId="75" xfId="0" applyNumberFormat="1" applyFont="1" applyFill="1" applyBorder="1" applyAlignment="1">
      <alignment horizontal="right" wrapText="1"/>
    </xf>
    <xf numFmtId="0" fontId="31" fillId="0" borderId="75" xfId="0" applyNumberFormat="1" applyFont="1" applyFill="1" applyBorder="1" applyAlignment="1">
      <alignment horizontal="right"/>
    </xf>
    <xf numFmtId="169" fontId="31" fillId="0" borderId="75" xfId="2344" applyNumberFormat="1" applyFont="1" applyFill="1" applyBorder="1" applyAlignment="1">
      <alignment horizontal="right" vertical="top" wrapText="1"/>
    </xf>
    <xf numFmtId="3" fontId="31" fillId="0" borderId="75" xfId="0" applyNumberFormat="1" applyFont="1" applyFill="1" applyBorder="1" applyAlignment="1">
      <alignment wrapText="1"/>
    </xf>
    <xf numFmtId="0" fontId="31" fillId="0" borderId="75" xfId="0" applyNumberFormat="1" applyFont="1" applyFill="1" applyBorder="1" applyAlignment="1">
      <alignment horizontal="right" wrapText="1"/>
    </xf>
    <xf numFmtId="0" fontId="36" fillId="0" borderId="75" xfId="0" applyFont="1" applyFill="1" applyBorder="1" applyAlignment="1">
      <alignment vertical="center" wrapText="1"/>
    </xf>
    <xf numFmtId="0" fontId="36" fillId="0" borderId="75" xfId="0" applyFont="1" applyFill="1" applyBorder="1" applyAlignment="1">
      <alignment horizontal="center" wrapText="1"/>
    </xf>
    <xf numFmtId="0" fontId="56" fillId="0" borderId="0" xfId="0" applyFont="1" applyFill="1"/>
    <xf numFmtId="0" fontId="36" fillId="0" borderId="75" xfId="0" applyFont="1" applyFill="1" applyBorder="1" applyAlignment="1">
      <alignment horizontal="left" vertical="top" wrapText="1"/>
    </xf>
    <xf numFmtId="49" fontId="31" fillId="0" borderId="75" xfId="0" applyNumberFormat="1" applyFont="1" applyFill="1" applyBorder="1" applyAlignment="1">
      <alignment horizontal="right" vertical="top" wrapText="1"/>
    </xf>
    <xf numFmtId="0" fontId="31" fillId="0" borderId="75" xfId="0" applyFont="1" applyFill="1" applyBorder="1" applyAlignment="1">
      <alignment horizontal="left" vertical="top" wrapText="1" indent="1"/>
    </xf>
    <xf numFmtId="3" fontId="31" fillId="0" borderId="101" xfId="0" applyNumberFormat="1" applyFont="1" applyFill="1" applyBorder="1"/>
    <xf numFmtId="172" fontId="33" fillId="0" borderId="0" xfId="0" applyNumberFormat="1" applyFont="1" applyFill="1" applyAlignment="1">
      <alignment horizontal="right" wrapText="1"/>
    </xf>
    <xf numFmtId="0" fontId="36" fillId="0" borderId="75" xfId="0" applyFont="1" applyFill="1" applyBorder="1" applyAlignment="1">
      <alignment horizontal="justify" vertical="top" wrapText="1"/>
    </xf>
    <xf numFmtId="0" fontId="35" fillId="0" borderId="75" xfId="0" applyFont="1" applyFill="1" applyBorder="1" applyAlignment="1">
      <alignment horizontal="center" vertical="center" wrapText="1"/>
    </xf>
    <xf numFmtId="171" fontId="31" fillId="0" borderId="75" xfId="0" applyNumberFormat="1" applyFont="1" applyFill="1" applyBorder="1"/>
    <xf numFmtId="166" fontId="31" fillId="0" borderId="75" xfId="0" applyNumberFormat="1" applyFont="1" applyFill="1" applyBorder="1" applyAlignment="1">
      <alignment horizontal="right" wrapText="1"/>
    </xf>
    <xf numFmtId="167" fontId="31" fillId="0" borderId="0" xfId="0" applyNumberFormat="1" applyFont="1" applyFill="1" applyAlignment="1">
      <alignment horizontal="right"/>
    </xf>
    <xf numFmtId="167" fontId="31" fillId="0" borderId="75" xfId="0" applyNumberFormat="1" applyFont="1" applyFill="1" applyBorder="1" applyAlignment="1">
      <alignment horizontal="right" wrapText="1"/>
    </xf>
    <xf numFmtId="173" fontId="33" fillId="0" borderId="0" xfId="0" applyNumberFormat="1" applyFont="1" applyFill="1" applyAlignment="1">
      <alignment horizontal="right" wrapText="1"/>
    </xf>
    <xf numFmtId="0" fontId="36" fillId="0" borderId="75" xfId="0" applyFont="1" applyFill="1" applyBorder="1" applyAlignment="1">
      <alignment vertical="top" wrapText="1"/>
    </xf>
    <xf numFmtId="0" fontId="31" fillId="0" borderId="75" xfId="0" applyFont="1" applyFill="1" applyBorder="1" applyAlignment="1">
      <alignment horizontal="right"/>
    </xf>
    <xf numFmtId="0" fontId="31" fillId="0" borderId="75" xfId="0" applyFont="1" applyFill="1" applyBorder="1" applyAlignment="1">
      <alignment horizontal="justify" vertical="top" wrapText="1"/>
    </xf>
    <xf numFmtId="49" fontId="31" fillId="0" borderId="0" xfId="0" applyNumberFormat="1" applyFont="1" applyFill="1" applyAlignment="1">
      <alignment horizontal="right" vertical="top" wrapText="1"/>
    </xf>
    <xf numFmtId="3" fontId="31" fillId="0" borderId="17" xfId="0" applyNumberFormat="1" applyFont="1" applyFill="1" applyBorder="1" applyAlignment="1">
      <alignment wrapText="1"/>
    </xf>
    <xf numFmtId="3" fontId="31" fillId="0" borderId="0" xfId="0" applyNumberFormat="1" applyFont="1" applyFill="1" applyAlignment="1">
      <alignment wrapText="1"/>
    </xf>
    <xf numFmtId="49" fontId="31" fillId="0" borderId="0" xfId="0" applyNumberFormat="1" applyFont="1" applyFill="1" applyAlignment="1">
      <alignment horizontal="right"/>
    </xf>
    <xf numFmtId="166" fontId="31" fillId="0" borderId="75" xfId="0" applyNumberFormat="1" applyFont="1" applyFill="1" applyBorder="1" applyAlignment="1">
      <alignment wrapText="1"/>
    </xf>
    <xf numFmtId="166" fontId="31" fillId="0" borderId="75" xfId="0" applyNumberFormat="1" applyFont="1" applyFill="1" applyBorder="1" applyAlignment="1">
      <alignment horizontal="right" vertical="top" wrapText="1"/>
    </xf>
    <xf numFmtId="49" fontId="31" fillId="0" borderId="75" xfId="0" applyNumberFormat="1" applyFont="1" applyFill="1" applyBorder="1" applyAlignment="1">
      <alignment horizontal="left" wrapText="1" indent="2"/>
    </xf>
    <xf numFmtId="49" fontId="31" fillId="0" borderId="75" xfId="0" applyNumberFormat="1" applyFont="1" applyFill="1" applyBorder="1" applyAlignment="1">
      <alignment horizontal="right" wrapText="1"/>
    </xf>
    <xf numFmtId="49" fontId="31" fillId="0" borderId="75" xfId="0" applyNumberFormat="1" applyFont="1" applyFill="1" applyBorder="1" applyAlignment="1">
      <alignment horizontal="left" indent="2"/>
    </xf>
    <xf numFmtId="49" fontId="31" fillId="0" borderId="75" xfId="0" applyNumberFormat="1" applyFont="1" applyFill="1" applyBorder="1" applyAlignment="1">
      <alignment horizontal="right"/>
    </xf>
    <xf numFmtId="3" fontId="31" fillId="0" borderId="75" xfId="0" applyNumberFormat="1" applyFont="1" applyFill="1" applyBorder="1" applyAlignment="1">
      <alignment horizontal="right"/>
    </xf>
    <xf numFmtId="0" fontId="31" fillId="0" borderId="75" xfId="0" applyFont="1" applyFill="1" applyBorder="1" applyAlignment="1">
      <alignment horizontal="left" vertical="top" wrapText="1" indent="2"/>
    </xf>
    <xf numFmtId="1" fontId="31" fillId="0" borderId="75" xfId="0" applyNumberFormat="1" applyFont="1" applyFill="1" applyBorder="1"/>
    <xf numFmtId="49" fontId="31" fillId="0" borderId="101" xfId="0" applyNumberFormat="1" applyFont="1" applyFill="1" applyBorder="1" applyAlignment="1">
      <alignment horizontal="right" wrapText="1"/>
    </xf>
    <xf numFmtId="49" fontId="31" fillId="0" borderId="101" xfId="0" applyNumberFormat="1" applyFont="1" applyFill="1" applyBorder="1" applyAlignment="1">
      <alignment horizontal="right" vertical="top" wrapText="1"/>
    </xf>
    <xf numFmtId="0" fontId="36" fillId="0" borderId="75" xfId="0" applyFont="1" applyFill="1" applyBorder="1" applyAlignment="1">
      <alignment wrapText="1"/>
    </xf>
    <xf numFmtId="173" fontId="33" fillId="0" borderId="17" xfId="0" applyNumberFormat="1" applyFont="1" applyFill="1" applyBorder="1" applyAlignment="1">
      <alignment horizontal="right" wrapText="1"/>
    </xf>
    <xf numFmtId="0" fontId="42" fillId="0" borderId="75" xfId="0" applyFont="1" applyFill="1" applyBorder="1" applyAlignment="1">
      <alignment horizontal="left" vertical="top" wrapText="1"/>
    </xf>
    <xf numFmtId="166" fontId="31" fillId="0" borderId="15" xfId="0" applyNumberFormat="1" applyFont="1" applyFill="1" applyBorder="1" applyAlignment="1">
      <alignment horizontal="right" wrapText="1"/>
    </xf>
    <xf numFmtId="0" fontId="42" fillId="0" borderId="101" xfId="0" applyFont="1" applyFill="1" applyBorder="1" applyAlignment="1">
      <alignment horizontal="left" vertical="top" wrapText="1"/>
    </xf>
    <xf numFmtId="0" fontId="42" fillId="0" borderId="110" xfId="0" applyFont="1" applyFill="1" applyBorder="1" applyAlignment="1">
      <alignment horizontal="left" vertical="top" wrapText="1"/>
    </xf>
    <xf numFmtId="0" fontId="42" fillId="0" borderId="95" xfId="0" applyFont="1" applyFill="1" applyBorder="1" applyAlignment="1">
      <alignment horizontal="left" vertical="top" wrapText="1"/>
    </xf>
    <xf numFmtId="0" fontId="31" fillId="0" borderId="15" xfId="0" applyFont="1" applyFill="1" applyBorder="1" applyAlignment="1">
      <alignment vertical="top"/>
    </xf>
    <xf numFmtId="0" fontId="31" fillId="0" borderId="0" xfId="0" applyFont="1" applyFill="1" applyAlignment="1">
      <alignment vertical="top"/>
    </xf>
    <xf numFmtId="0" fontId="42" fillId="0" borderId="0" xfId="0" applyFont="1" applyFill="1" applyAlignment="1">
      <alignment vertical="top"/>
    </xf>
    <xf numFmtId="0" fontId="56" fillId="27" borderId="75" xfId="0" applyFont="1" applyFill="1" applyBorder="1" applyAlignment="1">
      <alignment horizontal="center" vertical="center"/>
    </xf>
    <xf numFmtId="0" fontId="56" fillId="27" borderId="75" xfId="0" applyFont="1" applyFill="1" applyBorder="1" applyAlignment="1">
      <alignment horizontal="center" vertical="center" wrapText="1"/>
    </xf>
    <xf numFmtId="49" fontId="53" fillId="27" borderId="75" xfId="0" applyNumberFormat="1" applyFont="1" applyFill="1" applyBorder="1" applyAlignment="1">
      <alignment horizontal="center" vertical="center" wrapText="1"/>
    </xf>
    <xf numFmtId="166" fontId="33" fillId="0" borderId="101" xfId="0" applyNumberFormat="1" applyFont="1" applyFill="1" applyBorder="1" applyAlignment="1">
      <alignment horizontal="right" wrapText="1"/>
    </xf>
    <xf numFmtId="166" fontId="31" fillId="0" borderId="75" xfId="0" applyNumberFormat="1" applyFont="1" applyFill="1" applyBorder="1" applyAlignment="1">
      <alignment horizontal="right"/>
    </xf>
    <xf numFmtId="166" fontId="31" fillId="0" borderId="109" xfId="44087" applyNumberFormat="1" applyFont="1" applyFill="1" applyBorder="1" applyAlignment="1">
      <alignment horizontal="right"/>
    </xf>
    <xf numFmtId="167" fontId="31" fillId="0" borderId="75" xfId="0" applyNumberFormat="1" applyFont="1" applyFill="1" applyBorder="1" applyAlignment="1">
      <alignment horizontal="right"/>
    </xf>
    <xf numFmtId="0" fontId="31" fillId="0" borderId="75" xfId="0" applyFont="1" applyFill="1" applyBorder="1" applyAlignment="1">
      <alignment horizontal="center"/>
    </xf>
    <xf numFmtId="166" fontId="31" fillId="0" borderId="75" xfId="44087" applyNumberFormat="1" applyFont="1" applyFill="1" applyBorder="1" applyAlignment="1">
      <alignment horizontal="right"/>
    </xf>
    <xf numFmtId="166" fontId="31" fillId="0" borderId="111" xfId="44087" applyNumberFormat="1" applyFont="1" applyFill="1" applyBorder="1" applyAlignment="1">
      <alignment horizontal="right"/>
    </xf>
    <xf numFmtId="166" fontId="31" fillId="0" borderId="10" xfId="44087" applyNumberFormat="1" applyFont="1" applyFill="1" applyBorder="1" applyAlignment="1">
      <alignment horizontal="right"/>
    </xf>
    <xf numFmtId="166" fontId="31" fillId="0" borderId="101" xfId="0" applyNumberFormat="1" applyFont="1" applyFill="1" applyBorder="1" applyAlignment="1">
      <alignment horizontal="right"/>
    </xf>
    <xf numFmtId="167" fontId="31" fillId="0" borderId="101" xfId="0" applyNumberFormat="1" applyFont="1" applyFill="1" applyBorder="1" applyAlignment="1">
      <alignment horizontal="right"/>
    </xf>
    <xf numFmtId="0" fontId="36" fillId="0" borderId="75" xfId="0" applyFont="1" applyFill="1" applyBorder="1" applyAlignment="1">
      <alignment horizontal="center" vertical="top" wrapText="1"/>
    </xf>
    <xf numFmtId="171" fontId="30" fillId="0" borderId="75" xfId="0" applyNumberFormat="1" applyFont="1" applyFill="1" applyBorder="1"/>
    <xf numFmtId="171" fontId="33" fillId="0" borderId="75" xfId="0" applyNumberFormat="1" applyFont="1" applyFill="1" applyBorder="1" applyAlignment="1">
      <alignment horizontal="right" wrapText="1"/>
    </xf>
    <xf numFmtId="171" fontId="30" fillId="0" borderId="75" xfId="0" applyNumberFormat="1" applyFont="1" applyFill="1" applyBorder="1" applyAlignment="1">
      <alignment horizontal="right"/>
    </xf>
    <xf numFmtId="0" fontId="30" fillId="0" borderId="75" xfId="0" applyFont="1" applyFill="1" applyBorder="1" applyAlignment="1">
      <alignment horizontal="right"/>
    </xf>
    <xf numFmtId="171" fontId="57" fillId="0" borderId="75" xfId="0" applyNumberFormat="1" applyFont="1" applyFill="1" applyBorder="1" applyAlignment="1">
      <alignment horizontal="right"/>
    </xf>
    <xf numFmtId="171" fontId="33" fillId="0" borderId="75" xfId="0" applyNumberFormat="1" applyFont="1" applyFill="1" applyBorder="1" applyAlignment="1">
      <alignment wrapText="1"/>
    </xf>
    <xf numFmtId="167" fontId="33" fillId="0" borderId="75" xfId="0" applyNumberFormat="1" applyFont="1" applyFill="1" applyBorder="1" applyAlignment="1">
      <alignment horizontal="right" wrapText="1"/>
    </xf>
    <xf numFmtId="0" fontId="51" fillId="0" borderId="75" xfId="0" applyFont="1" applyFill="1" applyBorder="1" applyAlignment="1">
      <alignment horizontal="left" vertical="top" wrapText="1"/>
    </xf>
    <xf numFmtId="0" fontId="31" fillId="0" borderId="0" xfId="0" applyFont="1" applyFill="1" applyAlignment="1">
      <alignment vertical="center"/>
    </xf>
    <xf numFmtId="0" fontId="51" fillId="0" borderId="101" xfId="0" applyFont="1" applyFill="1" applyBorder="1" applyAlignment="1">
      <alignment horizontal="left" vertical="top" wrapText="1"/>
    </xf>
    <xf numFmtId="0" fontId="51" fillId="0" borderId="110" xfId="0" applyFont="1" applyFill="1" applyBorder="1" applyAlignment="1">
      <alignment horizontal="left" vertical="top" wrapText="1"/>
    </xf>
    <xf numFmtId="0" fontId="33" fillId="0" borderId="0" xfId="0" applyFont="1" applyFill="1"/>
    <xf numFmtId="0" fontId="43" fillId="0" borderId="0" xfId="0" applyFont="1" applyFill="1" applyAlignment="1">
      <alignment vertical="top" wrapText="1"/>
    </xf>
    <xf numFmtId="0" fontId="33" fillId="0" borderId="75" xfId="0" applyFont="1" applyFill="1" applyBorder="1"/>
    <xf numFmtId="0" fontId="43" fillId="0" borderId="0" xfId="0" applyFont="1" applyFill="1" applyAlignment="1">
      <alignment horizontal="left" vertical="top" wrapText="1"/>
    </xf>
    <xf numFmtId="0" fontId="33" fillId="0" borderId="0" xfId="0" applyFont="1" applyFill="1" applyAlignment="1">
      <alignment vertical="top" wrapText="1"/>
    </xf>
    <xf numFmtId="0" fontId="31" fillId="0" borderId="0" xfId="0" applyFont="1" applyFill="1" applyAlignment="1">
      <alignment vertical="top" wrapText="1"/>
    </xf>
    <xf numFmtId="167" fontId="31" fillId="0" borderId="75" xfId="0" applyNumberFormat="1" applyFont="1" applyBorder="1"/>
    <xf numFmtId="49" fontId="31" fillId="0" borderId="75" xfId="0" applyNumberFormat="1" applyFont="1" applyBorder="1" applyAlignment="1">
      <alignment horizontal="right"/>
    </xf>
    <xf numFmtId="0" fontId="31" fillId="0" borderId="75" xfId="0" applyFont="1" applyBorder="1" applyAlignment="1">
      <alignment horizontal="right"/>
    </xf>
    <xf numFmtId="167" fontId="31" fillId="0" borderId="75" xfId="0" applyNumberFormat="1" applyFont="1" applyBorder="1" applyAlignment="1">
      <alignment horizontal="right"/>
    </xf>
    <xf numFmtId="167" fontId="33" fillId="0" borderId="75" xfId="0" applyNumberFormat="1" applyFont="1" applyBorder="1" applyAlignment="1">
      <alignment horizontal="right" wrapText="1"/>
    </xf>
    <xf numFmtId="0" fontId="31" fillId="24" borderId="75" xfId="0" applyFont="1" applyFill="1" applyBorder="1"/>
    <xf numFmtId="166" fontId="31" fillId="0" borderId="75" xfId="0" applyNumberFormat="1" applyFont="1" applyBorder="1" applyAlignment="1">
      <alignment horizontal="right" wrapText="1"/>
    </xf>
    <xf numFmtId="166" fontId="31" fillId="0" borderId="75" xfId="0" applyNumberFormat="1" applyFont="1" applyBorder="1" applyAlignment="1">
      <alignment wrapText="1"/>
    </xf>
    <xf numFmtId="167" fontId="34" fillId="0" borderId="75" xfId="0" applyNumberFormat="1" applyFont="1" applyFill="1" applyBorder="1"/>
    <xf numFmtId="4" fontId="31" fillId="33" borderId="75" xfId="0" applyNumberFormat="1" applyFont="1" applyFill="1" applyBorder="1" applyAlignment="1">
      <alignment horizontal="right" wrapText="1"/>
    </xf>
    <xf numFmtId="183" fontId="31" fillId="0" borderId="75" xfId="0" applyNumberFormat="1" applyFont="1" applyBorder="1" applyAlignment="1">
      <alignment horizontal="right" wrapText="1"/>
    </xf>
    <xf numFmtId="183" fontId="31" fillId="0" borderId="75" xfId="0" applyNumberFormat="1" applyFont="1" applyFill="1" applyBorder="1"/>
    <xf numFmtId="3" fontId="31" fillId="0" borderId="75" xfId="0" applyNumberFormat="1" applyFont="1" applyBorder="1" applyAlignment="1">
      <alignment horizontal="right" wrapText="1"/>
    </xf>
    <xf numFmtId="3" fontId="0" fillId="0" borderId="75" xfId="0" applyNumberFormat="1" applyFont="1" applyBorder="1"/>
    <xf numFmtId="0" fontId="31" fillId="0" borderId="75" xfId="0" applyFont="1" applyBorder="1"/>
    <xf numFmtId="49" fontId="36" fillId="32" borderId="75" xfId="0" applyNumberFormat="1" applyFont="1" applyFill="1" applyBorder="1" applyAlignment="1">
      <alignment horizontal="center" vertical="center" wrapText="1"/>
    </xf>
    <xf numFmtId="167" fontId="31" fillId="0" borderId="75" xfId="0" applyNumberFormat="1" applyFont="1" applyBorder="1"/>
    <xf numFmtId="172" fontId="33" fillId="33" borderId="100" xfId="0" applyNumberFormat="1" applyFont="1" applyFill="1" applyBorder="1" applyAlignment="1">
      <alignment horizontal="right" wrapText="1"/>
    </xf>
    <xf numFmtId="166" fontId="31" fillId="33" borderId="75" xfId="0" applyNumberFormat="1" applyFont="1" applyFill="1" applyBorder="1"/>
    <xf numFmtId="173" fontId="33" fillId="33" borderId="75" xfId="0" applyNumberFormat="1" applyFont="1" applyFill="1" applyBorder="1" applyAlignment="1">
      <alignment horizontal="right" wrapText="1"/>
    </xf>
    <xf numFmtId="168" fontId="31" fillId="0" borderId="75" xfId="2696" applyNumberFormat="1" applyFont="1" applyFill="1" applyBorder="1" applyAlignment="1">
      <alignment horizontal="right" wrapText="1"/>
    </xf>
    <xf numFmtId="176" fontId="31" fillId="0" borderId="75" xfId="0" applyNumberFormat="1" applyFont="1" applyBorder="1"/>
    <xf numFmtId="0" fontId="33" fillId="24" borderId="75" xfId="0" applyFont="1" applyFill="1" applyBorder="1"/>
    <xf numFmtId="0" fontId="53" fillId="26" borderId="101" xfId="0" applyFont="1" applyFill="1" applyBorder="1" applyAlignment="1">
      <alignment horizontal="center" vertical="center" wrapText="1"/>
    </xf>
    <xf numFmtId="0" fontId="31" fillId="0" borderId="100" xfId="0" applyNumberFormat="1" applyFont="1" applyFill="1" applyBorder="1" applyAlignment="1">
      <alignment horizontal="right" vertical="top" wrapText="1"/>
    </xf>
    <xf numFmtId="0" fontId="31" fillId="0" borderId="100" xfId="0" applyNumberFormat="1" applyFont="1" applyFill="1" applyBorder="1" applyAlignment="1">
      <alignment horizontal="right"/>
    </xf>
    <xf numFmtId="0" fontId="31" fillId="0" borderId="100" xfId="0" applyNumberFormat="1" applyFont="1" applyFill="1" applyBorder="1" applyAlignment="1">
      <alignment horizontal="right" wrapText="1"/>
    </xf>
    <xf numFmtId="49" fontId="53" fillId="27" borderId="100" xfId="0" applyNumberFormat="1" applyFont="1" applyFill="1" applyBorder="1" applyAlignment="1">
      <alignment horizontal="center" vertical="center" wrapText="1"/>
    </xf>
    <xf numFmtId="49" fontId="31" fillId="0" borderId="100" xfId="0" applyNumberFormat="1" applyFont="1" applyBorder="1" applyAlignment="1">
      <alignment horizontal="right"/>
    </xf>
    <xf numFmtId="166" fontId="33" fillId="0" borderId="100" xfId="0" applyNumberFormat="1" applyFont="1" applyFill="1" applyBorder="1" applyAlignment="1">
      <alignment horizontal="right" wrapText="1"/>
    </xf>
    <xf numFmtId="167" fontId="31" fillId="0" borderId="100" xfId="0" applyNumberFormat="1" applyFont="1" applyBorder="1" applyAlignment="1">
      <alignment horizontal="right"/>
    </xf>
    <xf numFmtId="167" fontId="33" fillId="0" borderId="100" xfId="0" applyNumberFormat="1" applyFont="1" applyBorder="1" applyAlignment="1">
      <alignment horizontal="right" wrapText="1"/>
    </xf>
    <xf numFmtId="0" fontId="31" fillId="24" borderId="100" xfId="0" applyFont="1" applyFill="1" applyBorder="1"/>
    <xf numFmtId="0" fontId="43" fillId="0" borderId="100" xfId="0" applyFont="1" applyFill="1" applyBorder="1" applyAlignment="1">
      <alignment vertical="top" wrapText="1"/>
    </xf>
    <xf numFmtId="0" fontId="31" fillId="0" borderId="100" xfId="0" applyFont="1" applyFill="1" applyBorder="1" applyAlignment="1">
      <alignment vertical="top" wrapText="1"/>
    </xf>
    <xf numFmtId="3" fontId="70" fillId="33" borderId="75" xfId="0" applyNumberFormat="1" applyFont="1" applyFill="1" applyBorder="1"/>
    <xf numFmtId="169" fontId="31" fillId="33" borderId="75" xfId="2690" applyNumberFormat="1" applyFont="1" applyFill="1" applyBorder="1" applyAlignment="1">
      <alignment horizontal="right" wrapText="1"/>
    </xf>
    <xf numFmtId="166" fontId="71" fillId="33" borderId="75" xfId="0" applyNumberFormat="1" applyFont="1" applyFill="1" applyBorder="1" applyAlignment="1">
      <alignment horizontal="right" wrapText="1"/>
    </xf>
    <xf numFmtId="167" fontId="31" fillId="33" borderId="75" xfId="0" applyNumberFormat="1" applyFont="1" applyFill="1" applyBorder="1"/>
    <xf numFmtId="0" fontId="61" fillId="0" borderId="0" xfId="3222" applyFont="1" applyFill="1" applyAlignment="1">
      <alignment horizontal="left" vertical="center" wrapText="1"/>
    </xf>
    <xf numFmtId="0" fontId="42" fillId="0" borderId="0" xfId="0" applyFont="1" applyFill="1" applyBorder="1" applyAlignment="1">
      <alignment vertical="top"/>
    </xf>
    <xf numFmtId="0" fontId="31" fillId="0" borderId="0" xfId="0" applyFont="1" applyFill="1" applyBorder="1" applyAlignment="1">
      <alignment vertical="top"/>
    </xf>
    <xf numFmtId="0" fontId="44" fillId="0" borderId="0" xfId="0" applyFont="1" applyFill="1" applyBorder="1" applyAlignment="1">
      <alignment horizontal="left" vertical="top" wrapText="1"/>
    </xf>
    <xf numFmtId="0" fontId="42" fillId="0" borderId="0" xfId="0" applyFont="1" applyFill="1" applyBorder="1" applyAlignment="1">
      <alignment horizontal="left" wrapText="1"/>
    </xf>
    <xf numFmtId="0" fontId="42" fillId="0" borderId="0" xfId="0" applyFont="1" applyFill="1" applyBorder="1" applyAlignment="1">
      <alignment horizontal="left" vertical="top" wrapText="1"/>
    </xf>
    <xf numFmtId="0" fontId="51" fillId="0" borderId="0" xfId="0" applyFont="1" applyFill="1" applyBorder="1" applyAlignment="1">
      <alignment horizontal="left" vertical="top" wrapText="1"/>
    </xf>
    <xf numFmtId="0" fontId="33" fillId="0" borderId="0" xfId="0" applyFont="1" applyFill="1" applyBorder="1" applyAlignment="1">
      <alignment horizontal="left" vertical="top" wrapText="1"/>
    </xf>
    <xf numFmtId="0" fontId="43" fillId="0" borderId="0" xfId="0" applyFont="1" applyFill="1" applyBorder="1" applyAlignment="1">
      <alignment horizontal="left" vertical="top" wrapText="1"/>
    </xf>
    <xf numFmtId="0" fontId="51" fillId="0" borderId="0" xfId="0" applyFont="1" applyFill="1" applyBorder="1" applyAlignment="1">
      <alignment horizontal="left" vertical="justify" wrapText="1"/>
    </xf>
    <xf numFmtId="0" fontId="42" fillId="0" borderId="107" xfId="0" applyFont="1" applyFill="1" applyBorder="1" applyAlignment="1">
      <alignment horizontal="left" wrapText="1"/>
    </xf>
    <xf numFmtId="0" fontId="42" fillId="33" borderId="14" xfId="0" applyFont="1" applyFill="1" applyBorder="1" applyAlignment="1">
      <alignment horizontal="left" wrapText="1"/>
    </xf>
    <xf numFmtId="0" fontId="42" fillId="0" borderId="0" xfId="0" applyFont="1" applyAlignment="1">
      <alignment horizontal="left" wrapText="1"/>
    </xf>
    <xf numFmtId="0" fontId="38" fillId="33" borderId="0" xfId="3223" applyFont="1" applyFill="1" applyBorder="1" applyAlignment="1"/>
    <xf numFmtId="0" fontId="31" fillId="33" borderId="0" xfId="0" applyFont="1" applyFill="1" applyBorder="1"/>
    <xf numFmtId="166" fontId="33" fillId="33" borderId="0" xfId="0" applyNumberFormat="1" applyFont="1" applyFill="1" applyBorder="1" applyAlignment="1">
      <alignment horizontal="right" wrapText="1"/>
    </xf>
    <xf numFmtId="168" fontId="31" fillId="33" borderId="0" xfId="2344" applyNumberFormat="1" applyFont="1" applyFill="1" applyBorder="1" applyAlignment="1">
      <alignment horizontal="right" wrapText="1"/>
    </xf>
    <xf numFmtId="168" fontId="33" fillId="33" borderId="0" xfId="2344" applyNumberFormat="1" applyFont="1" applyFill="1" applyBorder="1" applyAlignment="1">
      <alignment horizontal="right" wrapText="1"/>
    </xf>
    <xf numFmtId="166" fontId="31" fillId="33" borderId="0" xfId="0" applyNumberFormat="1" applyFont="1" applyFill="1" applyBorder="1"/>
    <xf numFmtId="0" fontId="31" fillId="33" borderId="0" xfId="0" applyFont="1" applyFill="1" applyBorder="1" applyAlignment="1">
      <alignment horizontal="right" wrapText="1"/>
    </xf>
    <xf numFmtId="167" fontId="31" fillId="33" borderId="0" xfId="0" applyNumberFormat="1" applyFont="1" applyFill="1" applyBorder="1"/>
  </cellXfs>
  <cellStyles count="44088">
    <cellStyle name="20% - Акцент1 10" xfId="1"/>
    <cellStyle name="20% - Акцент1 10 10" xfId="3222"/>
    <cellStyle name="20% - Акцент1 10 11" xfId="3223"/>
    <cellStyle name="20% - Акцент1 10 12" xfId="3224"/>
    <cellStyle name="20% - Акцент1 10 13" xfId="3225"/>
    <cellStyle name="20% - Акцент1 10 14" xfId="3226"/>
    <cellStyle name="20% - Акцент1 10 2" xfId="2"/>
    <cellStyle name="20% - Акцент1 10 3" xfId="3"/>
    <cellStyle name="20% - Акцент1 10 4" xfId="3227"/>
    <cellStyle name="20% - Акцент1 10 5" xfId="3228"/>
    <cellStyle name="20% - Акцент1 10 6" xfId="3229"/>
    <cellStyle name="20% - Акцент1 10 7" xfId="3230"/>
    <cellStyle name="20% - Акцент1 10 8" xfId="3231"/>
    <cellStyle name="20% - Акцент1 10 9" xfId="3232"/>
    <cellStyle name="20% - Акцент1 11" xfId="4"/>
    <cellStyle name="20% - Акцент1 11 10" xfId="3233"/>
    <cellStyle name="20% - Акцент1 11 11" xfId="3234"/>
    <cellStyle name="20% - Акцент1 11 12" xfId="3235"/>
    <cellStyle name="20% - Акцент1 11 13" xfId="3236"/>
    <cellStyle name="20% - Акцент1 11 14" xfId="3237"/>
    <cellStyle name="20% - Акцент1 11 2" xfId="5"/>
    <cellStyle name="20% - Акцент1 11 3" xfId="6"/>
    <cellStyle name="20% - Акцент1 11 4" xfId="3238"/>
    <cellStyle name="20% - Акцент1 11 5" xfId="3239"/>
    <cellStyle name="20% - Акцент1 11 6" xfId="3240"/>
    <cellStyle name="20% - Акцент1 11 7" xfId="3241"/>
    <cellStyle name="20% - Акцент1 11 8" xfId="3242"/>
    <cellStyle name="20% - Акцент1 11 9" xfId="3243"/>
    <cellStyle name="20% - Акцент1 12" xfId="7"/>
    <cellStyle name="20% - Акцент1 12 10" xfId="3244"/>
    <cellStyle name="20% - Акцент1 12 11" xfId="3245"/>
    <cellStyle name="20% - Акцент1 12 12" xfId="3246"/>
    <cellStyle name="20% - Акцент1 12 13" xfId="3247"/>
    <cellStyle name="20% - Акцент1 12 14" xfId="3248"/>
    <cellStyle name="20% - Акцент1 12 2" xfId="8"/>
    <cellStyle name="20% - Акцент1 12 3" xfId="9"/>
    <cellStyle name="20% - Акцент1 12 4" xfId="3249"/>
    <cellStyle name="20% - Акцент1 12 5" xfId="3250"/>
    <cellStyle name="20% - Акцент1 12 6" xfId="3251"/>
    <cellStyle name="20% - Акцент1 12 7" xfId="3252"/>
    <cellStyle name="20% - Акцент1 12 8" xfId="3253"/>
    <cellStyle name="20% - Акцент1 12 9" xfId="3254"/>
    <cellStyle name="20% - Акцент1 13" xfId="10"/>
    <cellStyle name="20% - Акцент1 13 10" xfId="3255"/>
    <cellStyle name="20% - Акцент1 13 11" xfId="3256"/>
    <cellStyle name="20% - Акцент1 13 12" xfId="3257"/>
    <cellStyle name="20% - Акцент1 13 13" xfId="3258"/>
    <cellStyle name="20% - Акцент1 13 14" xfId="3259"/>
    <cellStyle name="20% - Акцент1 13 2" xfId="11"/>
    <cellStyle name="20% - Акцент1 13 3" xfId="12"/>
    <cellStyle name="20% - Акцент1 13 4" xfId="3260"/>
    <cellStyle name="20% - Акцент1 13 5" xfId="3261"/>
    <cellStyle name="20% - Акцент1 13 6" xfId="3262"/>
    <cellStyle name="20% - Акцент1 13 7" xfId="3263"/>
    <cellStyle name="20% - Акцент1 13 8" xfId="3264"/>
    <cellStyle name="20% - Акцент1 13 9" xfId="3265"/>
    <cellStyle name="20% - Акцент1 14" xfId="13"/>
    <cellStyle name="20% - Акцент1 14 10" xfId="3266"/>
    <cellStyle name="20% - Акцент1 14 11" xfId="3267"/>
    <cellStyle name="20% - Акцент1 14 12" xfId="3268"/>
    <cellStyle name="20% - Акцент1 14 13" xfId="3269"/>
    <cellStyle name="20% - Акцент1 14 14" xfId="3270"/>
    <cellStyle name="20% - Акцент1 14 2" xfId="14"/>
    <cellStyle name="20% - Акцент1 14 3" xfId="15"/>
    <cellStyle name="20% - Акцент1 14 4" xfId="3271"/>
    <cellStyle name="20% - Акцент1 14 5" xfId="3272"/>
    <cellStyle name="20% - Акцент1 14 6" xfId="3273"/>
    <cellStyle name="20% - Акцент1 14 7" xfId="3274"/>
    <cellStyle name="20% - Акцент1 14 8" xfId="3275"/>
    <cellStyle name="20% - Акцент1 14 9" xfId="3276"/>
    <cellStyle name="20% - Акцент1 15" xfId="16"/>
    <cellStyle name="20% - Акцент1 15 10" xfId="3277"/>
    <cellStyle name="20% - Акцент1 15 11" xfId="3278"/>
    <cellStyle name="20% - Акцент1 15 12" xfId="3279"/>
    <cellStyle name="20% - Акцент1 15 13" xfId="3280"/>
    <cellStyle name="20% - Акцент1 15 14" xfId="3281"/>
    <cellStyle name="20% - Акцент1 15 2" xfId="17"/>
    <cellStyle name="20% - Акцент1 15 3" xfId="18"/>
    <cellStyle name="20% - Акцент1 15 4" xfId="3282"/>
    <cellStyle name="20% - Акцент1 15 5" xfId="3283"/>
    <cellStyle name="20% - Акцент1 15 6" xfId="3284"/>
    <cellStyle name="20% - Акцент1 15 7" xfId="3285"/>
    <cellStyle name="20% - Акцент1 15 8" xfId="3286"/>
    <cellStyle name="20% - Акцент1 15 9" xfId="3287"/>
    <cellStyle name="20% - Акцент1 16" xfId="19"/>
    <cellStyle name="20% - Акцент1 16 10" xfId="3288"/>
    <cellStyle name="20% - Акцент1 16 11" xfId="3289"/>
    <cellStyle name="20% - Акцент1 16 12" xfId="3290"/>
    <cellStyle name="20% - Акцент1 16 13" xfId="3291"/>
    <cellStyle name="20% - Акцент1 16 14" xfId="3292"/>
    <cellStyle name="20% - Акцент1 16 2" xfId="20"/>
    <cellStyle name="20% - Акцент1 16 3" xfId="21"/>
    <cellStyle name="20% - Акцент1 16 4" xfId="3293"/>
    <cellStyle name="20% - Акцент1 16 5" xfId="3294"/>
    <cellStyle name="20% - Акцент1 16 6" xfId="3295"/>
    <cellStyle name="20% - Акцент1 16 7" xfId="3296"/>
    <cellStyle name="20% - Акцент1 16 8" xfId="3297"/>
    <cellStyle name="20% - Акцент1 16 9" xfId="3298"/>
    <cellStyle name="20% - Акцент1 17" xfId="22"/>
    <cellStyle name="20% - Акцент1 17 10" xfId="3299"/>
    <cellStyle name="20% - Акцент1 17 11" xfId="3300"/>
    <cellStyle name="20% - Акцент1 17 12" xfId="3301"/>
    <cellStyle name="20% - Акцент1 17 13" xfId="3302"/>
    <cellStyle name="20% - Акцент1 17 14" xfId="3303"/>
    <cellStyle name="20% - Акцент1 17 2" xfId="23"/>
    <cellStyle name="20% - Акцент1 17 3" xfId="24"/>
    <cellStyle name="20% - Акцент1 17 4" xfId="3304"/>
    <cellStyle name="20% - Акцент1 17 5" xfId="3305"/>
    <cellStyle name="20% - Акцент1 17 6" xfId="3306"/>
    <cellStyle name="20% - Акцент1 17 7" xfId="3307"/>
    <cellStyle name="20% - Акцент1 17 8" xfId="3308"/>
    <cellStyle name="20% - Акцент1 17 9" xfId="3309"/>
    <cellStyle name="20% - Акцент1 18" xfId="25"/>
    <cellStyle name="20% - Акцент1 18 2" xfId="26"/>
    <cellStyle name="20% - Акцент1 19" xfId="27"/>
    <cellStyle name="20% - Акцент1 19 2" xfId="28"/>
    <cellStyle name="20% - Акцент1 2" xfId="29"/>
    <cellStyle name="20% - Акцент1 2 10" xfId="3310"/>
    <cellStyle name="20% - Акцент1 2 11" xfId="3311"/>
    <cellStyle name="20% - Акцент1 2 12" xfId="3312"/>
    <cellStyle name="20% - Акцент1 2 13" xfId="3313"/>
    <cellStyle name="20% - Акцент1 2 14" xfId="3314"/>
    <cellStyle name="20% - Акцент1 2 2" xfId="30"/>
    <cellStyle name="20% - Акцент1 2 3" xfId="31"/>
    <cellStyle name="20% - Акцент1 2 4" xfId="3315"/>
    <cellStyle name="20% - Акцент1 2 5" xfId="3316"/>
    <cellStyle name="20% - Акцент1 2 6" xfId="3317"/>
    <cellStyle name="20% - Акцент1 2 7" xfId="3318"/>
    <cellStyle name="20% - Акцент1 2 8" xfId="3319"/>
    <cellStyle name="20% - Акцент1 2 9" xfId="3320"/>
    <cellStyle name="20% - Акцент1 3" xfId="32"/>
    <cellStyle name="20% - Акцент1 3 10" xfId="3321"/>
    <cellStyle name="20% - Акцент1 3 11" xfId="3322"/>
    <cellStyle name="20% - Акцент1 3 12" xfId="3323"/>
    <cellStyle name="20% - Акцент1 3 13" xfId="3324"/>
    <cellStyle name="20% - Акцент1 3 14" xfId="3325"/>
    <cellStyle name="20% - Акцент1 3 2" xfId="33"/>
    <cellStyle name="20% - Акцент1 3 3" xfId="34"/>
    <cellStyle name="20% - Акцент1 3 4" xfId="3326"/>
    <cellStyle name="20% - Акцент1 3 5" xfId="3327"/>
    <cellStyle name="20% - Акцент1 3 6" xfId="3328"/>
    <cellStyle name="20% - Акцент1 3 7" xfId="3329"/>
    <cellStyle name="20% - Акцент1 3 8" xfId="3330"/>
    <cellStyle name="20% - Акцент1 3 9" xfId="3331"/>
    <cellStyle name="20% - Акцент1 4" xfId="35"/>
    <cellStyle name="20% - Акцент1 4 10" xfId="3332"/>
    <cellStyle name="20% - Акцент1 4 11" xfId="3333"/>
    <cellStyle name="20% - Акцент1 4 12" xfId="3334"/>
    <cellStyle name="20% - Акцент1 4 13" xfId="3335"/>
    <cellStyle name="20% - Акцент1 4 14" xfId="3336"/>
    <cellStyle name="20% - Акцент1 4 2" xfId="36"/>
    <cellStyle name="20% - Акцент1 4 3" xfId="37"/>
    <cellStyle name="20% - Акцент1 4 4" xfId="3337"/>
    <cellStyle name="20% - Акцент1 4 5" xfId="3338"/>
    <cellStyle name="20% - Акцент1 4 6" xfId="3339"/>
    <cellStyle name="20% - Акцент1 4 7" xfId="3340"/>
    <cellStyle name="20% - Акцент1 4 8" xfId="3341"/>
    <cellStyle name="20% - Акцент1 4 9" xfId="3342"/>
    <cellStyle name="20% - Акцент1 5" xfId="38"/>
    <cellStyle name="20% - Акцент1 5 10" xfId="3343"/>
    <cellStyle name="20% - Акцент1 5 11" xfId="3344"/>
    <cellStyle name="20% - Акцент1 5 12" xfId="3345"/>
    <cellStyle name="20% - Акцент1 5 13" xfId="3346"/>
    <cellStyle name="20% - Акцент1 5 14" xfId="3347"/>
    <cellStyle name="20% - Акцент1 5 2" xfId="39"/>
    <cellStyle name="20% - Акцент1 5 3" xfId="40"/>
    <cellStyle name="20% - Акцент1 5 4" xfId="3348"/>
    <cellStyle name="20% - Акцент1 5 5" xfId="3349"/>
    <cellStyle name="20% - Акцент1 5 6" xfId="3350"/>
    <cellStyle name="20% - Акцент1 5 7" xfId="3351"/>
    <cellStyle name="20% - Акцент1 5 8" xfId="3352"/>
    <cellStyle name="20% - Акцент1 5 9" xfId="3353"/>
    <cellStyle name="20% - Акцент1 6" xfId="41"/>
    <cellStyle name="20% - Акцент1 6 10" xfId="3354"/>
    <cellStyle name="20% - Акцент1 6 11" xfId="3355"/>
    <cellStyle name="20% - Акцент1 6 12" xfId="3356"/>
    <cellStyle name="20% - Акцент1 6 13" xfId="3357"/>
    <cellStyle name="20% - Акцент1 6 14" xfId="3358"/>
    <cellStyle name="20% - Акцент1 6 2" xfId="42"/>
    <cellStyle name="20% - Акцент1 6 3" xfId="43"/>
    <cellStyle name="20% - Акцент1 6 4" xfId="3359"/>
    <cellStyle name="20% - Акцент1 6 5" xfId="3360"/>
    <cellStyle name="20% - Акцент1 6 6" xfId="3361"/>
    <cellStyle name="20% - Акцент1 6 7" xfId="3362"/>
    <cellStyle name="20% - Акцент1 6 8" xfId="3363"/>
    <cellStyle name="20% - Акцент1 6 9" xfId="3364"/>
    <cellStyle name="20% - Акцент1 7" xfId="44"/>
    <cellStyle name="20% - Акцент1 7 10" xfId="3365"/>
    <cellStyle name="20% - Акцент1 7 11" xfId="3366"/>
    <cellStyle name="20% - Акцент1 7 12" xfId="3367"/>
    <cellStyle name="20% - Акцент1 7 13" xfId="3368"/>
    <cellStyle name="20% - Акцент1 7 14" xfId="3369"/>
    <cellStyle name="20% - Акцент1 7 2" xfId="45"/>
    <cellStyle name="20% - Акцент1 7 3" xfId="46"/>
    <cellStyle name="20% - Акцент1 7 4" xfId="3370"/>
    <cellStyle name="20% - Акцент1 7 5" xfId="3371"/>
    <cellStyle name="20% - Акцент1 7 6" xfId="3372"/>
    <cellStyle name="20% - Акцент1 7 7" xfId="3373"/>
    <cellStyle name="20% - Акцент1 7 8" xfId="3374"/>
    <cellStyle name="20% - Акцент1 7 9" xfId="3375"/>
    <cellStyle name="20% - Акцент1 8" xfId="47"/>
    <cellStyle name="20% - Акцент1 8 10" xfId="3376"/>
    <cellStyle name="20% - Акцент1 8 11" xfId="3377"/>
    <cellStyle name="20% - Акцент1 8 12" xfId="3378"/>
    <cellStyle name="20% - Акцент1 8 13" xfId="3379"/>
    <cellStyle name="20% - Акцент1 8 14" xfId="3380"/>
    <cellStyle name="20% - Акцент1 8 2" xfId="48"/>
    <cellStyle name="20% - Акцент1 8 3" xfId="49"/>
    <cellStyle name="20% - Акцент1 8 4" xfId="3381"/>
    <cellStyle name="20% - Акцент1 8 5" xfId="3382"/>
    <cellStyle name="20% - Акцент1 8 6" xfId="3383"/>
    <cellStyle name="20% - Акцент1 8 7" xfId="3384"/>
    <cellStyle name="20% - Акцент1 8 8" xfId="3385"/>
    <cellStyle name="20% - Акцент1 8 9" xfId="3386"/>
    <cellStyle name="20% - Акцент1 9" xfId="50"/>
    <cellStyle name="20% - Акцент1 9 10" xfId="3387"/>
    <cellStyle name="20% - Акцент1 9 11" xfId="3388"/>
    <cellStyle name="20% - Акцент1 9 12" xfId="3389"/>
    <cellStyle name="20% - Акцент1 9 13" xfId="3390"/>
    <cellStyle name="20% - Акцент1 9 14" xfId="3391"/>
    <cellStyle name="20% - Акцент1 9 2" xfId="51"/>
    <cellStyle name="20% - Акцент1 9 3" xfId="52"/>
    <cellStyle name="20% - Акцент1 9 4" xfId="3392"/>
    <cellStyle name="20% - Акцент1 9 5" xfId="3393"/>
    <cellStyle name="20% - Акцент1 9 6" xfId="3394"/>
    <cellStyle name="20% - Акцент1 9 7" xfId="3395"/>
    <cellStyle name="20% - Акцент1 9 8" xfId="3396"/>
    <cellStyle name="20% - Акцент1 9 9" xfId="3397"/>
    <cellStyle name="20% - Акцент2 10" xfId="53"/>
    <cellStyle name="20% - Акцент2 10 10" xfId="3398"/>
    <cellStyle name="20% - Акцент2 10 11" xfId="3399"/>
    <cellStyle name="20% - Акцент2 10 12" xfId="3400"/>
    <cellStyle name="20% - Акцент2 10 13" xfId="3401"/>
    <cellStyle name="20% - Акцент2 10 14" xfId="3402"/>
    <cellStyle name="20% - Акцент2 10 2" xfId="54"/>
    <cellStyle name="20% - Акцент2 10 3" xfId="55"/>
    <cellStyle name="20% - Акцент2 10 4" xfId="3403"/>
    <cellStyle name="20% - Акцент2 10 5" xfId="3404"/>
    <cellStyle name="20% - Акцент2 10 6" xfId="3405"/>
    <cellStyle name="20% - Акцент2 10 7" xfId="3406"/>
    <cellStyle name="20% - Акцент2 10 8" xfId="3407"/>
    <cellStyle name="20% - Акцент2 10 9" xfId="3408"/>
    <cellStyle name="20% - Акцент2 11" xfId="56"/>
    <cellStyle name="20% - Акцент2 11 10" xfId="3409"/>
    <cellStyle name="20% - Акцент2 11 11" xfId="3410"/>
    <cellStyle name="20% - Акцент2 11 12" xfId="3411"/>
    <cellStyle name="20% - Акцент2 11 13" xfId="3412"/>
    <cellStyle name="20% - Акцент2 11 14" xfId="3413"/>
    <cellStyle name="20% - Акцент2 11 2" xfId="57"/>
    <cellStyle name="20% - Акцент2 11 3" xfId="58"/>
    <cellStyle name="20% - Акцент2 11 4" xfId="3414"/>
    <cellStyle name="20% - Акцент2 11 5" xfId="3415"/>
    <cellStyle name="20% - Акцент2 11 6" xfId="3416"/>
    <cellStyle name="20% - Акцент2 11 7" xfId="3417"/>
    <cellStyle name="20% - Акцент2 11 8" xfId="3418"/>
    <cellStyle name="20% - Акцент2 11 9" xfId="3419"/>
    <cellStyle name="20% - Акцент2 12" xfId="59"/>
    <cellStyle name="20% - Акцент2 12 10" xfId="3420"/>
    <cellStyle name="20% - Акцент2 12 11" xfId="3421"/>
    <cellStyle name="20% - Акцент2 12 12" xfId="3422"/>
    <cellStyle name="20% - Акцент2 12 13" xfId="3423"/>
    <cellStyle name="20% - Акцент2 12 14" xfId="3424"/>
    <cellStyle name="20% - Акцент2 12 2" xfId="60"/>
    <cellStyle name="20% - Акцент2 12 3" xfId="61"/>
    <cellStyle name="20% - Акцент2 12 4" xfId="3425"/>
    <cellStyle name="20% - Акцент2 12 5" xfId="3426"/>
    <cellStyle name="20% - Акцент2 12 6" xfId="3427"/>
    <cellStyle name="20% - Акцент2 12 7" xfId="3428"/>
    <cellStyle name="20% - Акцент2 12 8" xfId="3429"/>
    <cellStyle name="20% - Акцент2 12 9" xfId="3430"/>
    <cellStyle name="20% - Акцент2 13" xfId="62"/>
    <cellStyle name="20% - Акцент2 13 10" xfId="3431"/>
    <cellStyle name="20% - Акцент2 13 11" xfId="3432"/>
    <cellStyle name="20% - Акцент2 13 12" xfId="3433"/>
    <cellStyle name="20% - Акцент2 13 13" xfId="3434"/>
    <cellStyle name="20% - Акцент2 13 14" xfId="3435"/>
    <cellStyle name="20% - Акцент2 13 2" xfId="63"/>
    <cellStyle name="20% - Акцент2 13 3" xfId="64"/>
    <cellStyle name="20% - Акцент2 13 4" xfId="3436"/>
    <cellStyle name="20% - Акцент2 13 5" xfId="3437"/>
    <cellStyle name="20% - Акцент2 13 6" xfId="3438"/>
    <cellStyle name="20% - Акцент2 13 7" xfId="3439"/>
    <cellStyle name="20% - Акцент2 13 8" xfId="3440"/>
    <cellStyle name="20% - Акцент2 13 9" xfId="3441"/>
    <cellStyle name="20% - Акцент2 14" xfId="65"/>
    <cellStyle name="20% - Акцент2 14 10" xfId="3442"/>
    <cellStyle name="20% - Акцент2 14 11" xfId="3443"/>
    <cellStyle name="20% - Акцент2 14 12" xfId="3444"/>
    <cellStyle name="20% - Акцент2 14 13" xfId="3445"/>
    <cellStyle name="20% - Акцент2 14 14" xfId="3446"/>
    <cellStyle name="20% - Акцент2 14 2" xfId="66"/>
    <cellStyle name="20% - Акцент2 14 3" xfId="67"/>
    <cellStyle name="20% - Акцент2 14 4" xfId="3447"/>
    <cellStyle name="20% - Акцент2 14 5" xfId="3448"/>
    <cellStyle name="20% - Акцент2 14 6" xfId="3449"/>
    <cellStyle name="20% - Акцент2 14 7" xfId="3450"/>
    <cellStyle name="20% - Акцент2 14 8" xfId="3451"/>
    <cellStyle name="20% - Акцент2 14 9" xfId="3452"/>
    <cellStyle name="20% - Акцент2 15" xfId="68"/>
    <cellStyle name="20% - Акцент2 15 10" xfId="3453"/>
    <cellStyle name="20% - Акцент2 15 11" xfId="3454"/>
    <cellStyle name="20% - Акцент2 15 12" xfId="3455"/>
    <cellStyle name="20% - Акцент2 15 13" xfId="3456"/>
    <cellStyle name="20% - Акцент2 15 14" xfId="3457"/>
    <cellStyle name="20% - Акцент2 15 2" xfId="69"/>
    <cellStyle name="20% - Акцент2 15 3" xfId="70"/>
    <cellStyle name="20% - Акцент2 15 4" xfId="3458"/>
    <cellStyle name="20% - Акцент2 15 5" xfId="3459"/>
    <cellStyle name="20% - Акцент2 15 6" xfId="3460"/>
    <cellStyle name="20% - Акцент2 15 7" xfId="3461"/>
    <cellStyle name="20% - Акцент2 15 8" xfId="3462"/>
    <cellStyle name="20% - Акцент2 15 9" xfId="3463"/>
    <cellStyle name="20% - Акцент2 16" xfId="71"/>
    <cellStyle name="20% - Акцент2 16 10" xfId="3464"/>
    <cellStyle name="20% - Акцент2 16 11" xfId="3465"/>
    <cellStyle name="20% - Акцент2 16 12" xfId="3466"/>
    <cellStyle name="20% - Акцент2 16 13" xfId="3467"/>
    <cellStyle name="20% - Акцент2 16 14" xfId="3468"/>
    <cellStyle name="20% - Акцент2 16 2" xfId="72"/>
    <cellStyle name="20% - Акцент2 16 3" xfId="73"/>
    <cellStyle name="20% - Акцент2 16 4" xfId="3469"/>
    <cellStyle name="20% - Акцент2 16 5" xfId="3470"/>
    <cellStyle name="20% - Акцент2 16 6" xfId="3471"/>
    <cellStyle name="20% - Акцент2 16 7" xfId="3472"/>
    <cellStyle name="20% - Акцент2 16 8" xfId="3473"/>
    <cellStyle name="20% - Акцент2 16 9" xfId="3474"/>
    <cellStyle name="20% - Акцент2 17" xfId="74"/>
    <cellStyle name="20% - Акцент2 17 10" xfId="3475"/>
    <cellStyle name="20% - Акцент2 17 11" xfId="3476"/>
    <cellStyle name="20% - Акцент2 17 12" xfId="3477"/>
    <cellStyle name="20% - Акцент2 17 13" xfId="3478"/>
    <cellStyle name="20% - Акцент2 17 14" xfId="3479"/>
    <cellStyle name="20% - Акцент2 17 2" xfId="75"/>
    <cellStyle name="20% - Акцент2 17 3" xfId="76"/>
    <cellStyle name="20% - Акцент2 17 4" xfId="3480"/>
    <cellStyle name="20% - Акцент2 17 5" xfId="3481"/>
    <cellStyle name="20% - Акцент2 17 6" xfId="3482"/>
    <cellStyle name="20% - Акцент2 17 7" xfId="3483"/>
    <cellStyle name="20% - Акцент2 17 8" xfId="3484"/>
    <cellStyle name="20% - Акцент2 17 9" xfId="3485"/>
    <cellStyle name="20% - Акцент2 18" xfId="77"/>
    <cellStyle name="20% - Акцент2 18 2" xfId="78"/>
    <cellStyle name="20% - Акцент2 19" xfId="79"/>
    <cellStyle name="20% - Акцент2 19 2" xfId="80"/>
    <cellStyle name="20% - Акцент2 2" xfId="81"/>
    <cellStyle name="20% - Акцент2 2 10" xfId="3486"/>
    <cellStyle name="20% - Акцент2 2 11" xfId="3487"/>
    <cellStyle name="20% - Акцент2 2 12" xfId="3488"/>
    <cellStyle name="20% - Акцент2 2 13" xfId="3489"/>
    <cellStyle name="20% - Акцент2 2 14" xfId="3490"/>
    <cellStyle name="20% - Акцент2 2 2" xfId="82"/>
    <cellStyle name="20% - Акцент2 2 3" xfId="83"/>
    <cellStyle name="20% - Акцент2 2 4" xfId="3491"/>
    <cellStyle name="20% - Акцент2 2 5" xfId="3492"/>
    <cellStyle name="20% - Акцент2 2 6" xfId="3493"/>
    <cellStyle name="20% - Акцент2 2 7" xfId="3494"/>
    <cellStyle name="20% - Акцент2 2 8" xfId="3495"/>
    <cellStyle name="20% - Акцент2 2 9" xfId="3496"/>
    <cellStyle name="20% - Акцент2 3" xfId="84"/>
    <cellStyle name="20% - Акцент2 3 10" xfId="3497"/>
    <cellStyle name="20% - Акцент2 3 11" xfId="3498"/>
    <cellStyle name="20% - Акцент2 3 12" xfId="3499"/>
    <cellStyle name="20% - Акцент2 3 13" xfId="3500"/>
    <cellStyle name="20% - Акцент2 3 14" xfId="3501"/>
    <cellStyle name="20% - Акцент2 3 2" xfId="85"/>
    <cellStyle name="20% - Акцент2 3 3" xfId="86"/>
    <cellStyle name="20% - Акцент2 3 4" xfId="3502"/>
    <cellStyle name="20% - Акцент2 3 5" xfId="3503"/>
    <cellStyle name="20% - Акцент2 3 6" xfId="3504"/>
    <cellStyle name="20% - Акцент2 3 7" xfId="3505"/>
    <cellStyle name="20% - Акцент2 3 8" xfId="3506"/>
    <cellStyle name="20% - Акцент2 3 9" xfId="3507"/>
    <cellStyle name="20% - Акцент2 4" xfId="87"/>
    <cellStyle name="20% - Акцент2 4 10" xfId="3508"/>
    <cellStyle name="20% - Акцент2 4 11" xfId="3509"/>
    <cellStyle name="20% - Акцент2 4 12" xfId="3510"/>
    <cellStyle name="20% - Акцент2 4 13" xfId="3511"/>
    <cellStyle name="20% - Акцент2 4 14" xfId="3512"/>
    <cellStyle name="20% - Акцент2 4 2" xfId="88"/>
    <cellStyle name="20% - Акцент2 4 3" xfId="89"/>
    <cellStyle name="20% - Акцент2 4 4" xfId="3513"/>
    <cellStyle name="20% - Акцент2 4 5" xfId="3514"/>
    <cellStyle name="20% - Акцент2 4 6" xfId="3515"/>
    <cellStyle name="20% - Акцент2 4 7" xfId="3516"/>
    <cellStyle name="20% - Акцент2 4 8" xfId="3517"/>
    <cellStyle name="20% - Акцент2 4 9" xfId="3518"/>
    <cellStyle name="20% - Акцент2 5" xfId="90"/>
    <cellStyle name="20% - Акцент2 5 10" xfId="3519"/>
    <cellStyle name="20% - Акцент2 5 11" xfId="3520"/>
    <cellStyle name="20% - Акцент2 5 12" xfId="3521"/>
    <cellStyle name="20% - Акцент2 5 13" xfId="3522"/>
    <cellStyle name="20% - Акцент2 5 14" xfId="3523"/>
    <cellStyle name="20% - Акцент2 5 2" xfId="91"/>
    <cellStyle name="20% - Акцент2 5 3" xfId="92"/>
    <cellStyle name="20% - Акцент2 5 4" xfId="3524"/>
    <cellStyle name="20% - Акцент2 5 5" xfId="3525"/>
    <cellStyle name="20% - Акцент2 5 6" xfId="3526"/>
    <cellStyle name="20% - Акцент2 5 7" xfId="3527"/>
    <cellStyle name="20% - Акцент2 5 8" xfId="3528"/>
    <cellStyle name="20% - Акцент2 5 9" xfId="3529"/>
    <cellStyle name="20% - Акцент2 6" xfId="93"/>
    <cellStyle name="20% - Акцент2 6 10" xfId="3530"/>
    <cellStyle name="20% - Акцент2 6 11" xfId="3531"/>
    <cellStyle name="20% - Акцент2 6 12" xfId="3532"/>
    <cellStyle name="20% - Акцент2 6 13" xfId="3533"/>
    <cellStyle name="20% - Акцент2 6 14" xfId="3534"/>
    <cellStyle name="20% - Акцент2 6 2" xfId="94"/>
    <cellStyle name="20% - Акцент2 6 3" xfId="95"/>
    <cellStyle name="20% - Акцент2 6 4" xfId="3535"/>
    <cellStyle name="20% - Акцент2 6 5" xfId="3536"/>
    <cellStyle name="20% - Акцент2 6 6" xfId="3537"/>
    <cellStyle name="20% - Акцент2 6 7" xfId="3538"/>
    <cellStyle name="20% - Акцент2 6 8" xfId="3539"/>
    <cellStyle name="20% - Акцент2 6 9" xfId="3540"/>
    <cellStyle name="20% - Акцент2 7" xfId="96"/>
    <cellStyle name="20% - Акцент2 7 10" xfId="3541"/>
    <cellStyle name="20% - Акцент2 7 11" xfId="3542"/>
    <cellStyle name="20% - Акцент2 7 12" xfId="3543"/>
    <cellStyle name="20% - Акцент2 7 13" xfId="3544"/>
    <cellStyle name="20% - Акцент2 7 14" xfId="3545"/>
    <cellStyle name="20% - Акцент2 7 2" xfId="97"/>
    <cellStyle name="20% - Акцент2 7 3" xfId="98"/>
    <cellStyle name="20% - Акцент2 7 4" xfId="3546"/>
    <cellStyle name="20% - Акцент2 7 5" xfId="3547"/>
    <cellStyle name="20% - Акцент2 7 6" xfId="3548"/>
    <cellStyle name="20% - Акцент2 7 7" xfId="3549"/>
    <cellStyle name="20% - Акцент2 7 8" xfId="3550"/>
    <cellStyle name="20% - Акцент2 7 9" xfId="3551"/>
    <cellStyle name="20% - Акцент2 8" xfId="99"/>
    <cellStyle name="20% - Акцент2 8 10" xfId="3552"/>
    <cellStyle name="20% - Акцент2 8 11" xfId="3553"/>
    <cellStyle name="20% - Акцент2 8 12" xfId="3554"/>
    <cellStyle name="20% - Акцент2 8 13" xfId="3555"/>
    <cellStyle name="20% - Акцент2 8 14" xfId="3556"/>
    <cellStyle name="20% - Акцент2 8 2" xfId="100"/>
    <cellStyle name="20% - Акцент2 8 3" xfId="101"/>
    <cellStyle name="20% - Акцент2 8 4" xfId="3557"/>
    <cellStyle name="20% - Акцент2 8 5" xfId="3558"/>
    <cellStyle name="20% - Акцент2 8 6" xfId="3559"/>
    <cellStyle name="20% - Акцент2 8 7" xfId="3560"/>
    <cellStyle name="20% - Акцент2 8 8" xfId="3561"/>
    <cellStyle name="20% - Акцент2 8 9" xfId="3562"/>
    <cellStyle name="20% - Акцент2 9" xfId="102"/>
    <cellStyle name="20% - Акцент2 9 10" xfId="3563"/>
    <cellStyle name="20% - Акцент2 9 11" xfId="3564"/>
    <cellStyle name="20% - Акцент2 9 12" xfId="3565"/>
    <cellStyle name="20% - Акцент2 9 13" xfId="3566"/>
    <cellStyle name="20% - Акцент2 9 14" xfId="3567"/>
    <cellStyle name="20% - Акцент2 9 2" xfId="103"/>
    <cellStyle name="20% - Акцент2 9 3" xfId="104"/>
    <cellStyle name="20% - Акцент2 9 4" xfId="3568"/>
    <cellStyle name="20% - Акцент2 9 5" xfId="3569"/>
    <cellStyle name="20% - Акцент2 9 6" xfId="3570"/>
    <cellStyle name="20% - Акцент2 9 7" xfId="3571"/>
    <cellStyle name="20% - Акцент2 9 8" xfId="3572"/>
    <cellStyle name="20% - Акцент2 9 9" xfId="3573"/>
    <cellStyle name="20% - Акцент3 10" xfId="105"/>
    <cellStyle name="20% - Акцент3 10 10" xfId="3574"/>
    <cellStyle name="20% - Акцент3 10 11" xfId="3575"/>
    <cellStyle name="20% - Акцент3 10 12" xfId="3576"/>
    <cellStyle name="20% - Акцент3 10 13" xfId="3577"/>
    <cellStyle name="20% - Акцент3 10 14" xfId="3578"/>
    <cellStyle name="20% - Акцент3 10 2" xfId="106"/>
    <cellStyle name="20% - Акцент3 10 3" xfId="107"/>
    <cellStyle name="20% - Акцент3 10 4" xfId="3579"/>
    <cellStyle name="20% - Акцент3 10 5" xfId="3580"/>
    <cellStyle name="20% - Акцент3 10 6" xfId="3581"/>
    <cellStyle name="20% - Акцент3 10 7" xfId="3582"/>
    <cellStyle name="20% - Акцент3 10 8" xfId="3583"/>
    <cellStyle name="20% - Акцент3 10 9" xfId="3584"/>
    <cellStyle name="20% - Акцент3 11" xfId="108"/>
    <cellStyle name="20% - Акцент3 11 10" xfId="3585"/>
    <cellStyle name="20% - Акцент3 11 11" xfId="3586"/>
    <cellStyle name="20% - Акцент3 11 12" xfId="3587"/>
    <cellStyle name="20% - Акцент3 11 13" xfId="3588"/>
    <cellStyle name="20% - Акцент3 11 14" xfId="3589"/>
    <cellStyle name="20% - Акцент3 11 2" xfId="109"/>
    <cellStyle name="20% - Акцент3 11 3" xfId="110"/>
    <cellStyle name="20% - Акцент3 11 4" xfId="3590"/>
    <cellStyle name="20% - Акцент3 11 5" xfId="3591"/>
    <cellStyle name="20% - Акцент3 11 6" xfId="3592"/>
    <cellStyle name="20% - Акцент3 11 7" xfId="3593"/>
    <cellStyle name="20% - Акцент3 11 8" xfId="3594"/>
    <cellStyle name="20% - Акцент3 11 9" xfId="3595"/>
    <cellStyle name="20% - Акцент3 12" xfId="111"/>
    <cellStyle name="20% - Акцент3 12 10" xfId="3596"/>
    <cellStyle name="20% - Акцент3 12 11" xfId="3597"/>
    <cellStyle name="20% - Акцент3 12 12" xfId="3598"/>
    <cellStyle name="20% - Акцент3 12 13" xfId="3599"/>
    <cellStyle name="20% - Акцент3 12 14" xfId="3600"/>
    <cellStyle name="20% - Акцент3 12 2" xfId="112"/>
    <cellStyle name="20% - Акцент3 12 3" xfId="113"/>
    <cellStyle name="20% - Акцент3 12 4" xfId="3601"/>
    <cellStyle name="20% - Акцент3 12 5" xfId="3602"/>
    <cellStyle name="20% - Акцент3 12 6" xfId="3603"/>
    <cellStyle name="20% - Акцент3 12 7" xfId="3604"/>
    <cellStyle name="20% - Акцент3 12 8" xfId="3605"/>
    <cellStyle name="20% - Акцент3 12 9" xfId="3606"/>
    <cellStyle name="20% - Акцент3 13" xfId="114"/>
    <cellStyle name="20% - Акцент3 13 10" xfId="3607"/>
    <cellStyle name="20% - Акцент3 13 11" xfId="3608"/>
    <cellStyle name="20% - Акцент3 13 12" xfId="3609"/>
    <cellStyle name="20% - Акцент3 13 13" xfId="3610"/>
    <cellStyle name="20% - Акцент3 13 14" xfId="3611"/>
    <cellStyle name="20% - Акцент3 13 2" xfId="115"/>
    <cellStyle name="20% - Акцент3 13 3" xfId="116"/>
    <cellStyle name="20% - Акцент3 13 4" xfId="3612"/>
    <cellStyle name="20% - Акцент3 13 5" xfId="3613"/>
    <cellStyle name="20% - Акцент3 13 6" xfId="3614"/>
    <cellStyle name="20% - Акцент3 13 7" xfId="3615"/>
    <cellStyle name="20% - Акцент3 13 8" xfId="3616"/>
    <cellStyle name="20% - Акцент3 13 9" xfId="3617"/>
    <cellStyle name="20% - Акцент3 14" xfId="117"/>
    <cellStyle name="20% - Акцент3 14 10" xfId="3618"/>
    <cellStyle name="20% - Акцент3 14 11" xfId="3619"/>
    <cellStyle name="20% - Акцент3 14 12" xfId="3620"/>
    <cellStyle name="20% - Акцент3 14 13" xfId="3621"/>
    <cellStyle name="20% - Акцент3 14 14" xfId="3622"/>
    <cellStyle name="20% - Акцент3 14 2" xfId="118"/>
    <cellStyle name="20% - Акцент3 14 3" xfId="119"/>
    <cellStyle name="20% - Акцент3 14 4" xfId="3623"/>
    <cellStyle name="20% - Акцент3 14 5" xfId="3624"/>
    <cellStyle name="20% - Акцент3 14 6" xfId="3625"/>
    <cellStyle name="20% - Акцент3 14 7" xfId="3626"/>
    <cellStyle name="20% - Акцент3 14 8" xfId="3627"/>
    <cellStyle name="20% - Акцент3 14 9" xfId="3628"/>
    <cellStyle name="20% - Акцент3 15" xfId="120"/>
    <cellStyle name="20% - Акцент3 15 10" xfId="3629"/>
    <cellStyle name="20% - Акцент3 15 11" xfId="3630"/>
    <cellStyle name="20% - Акцент3 15 12" xfId="3631"/>
    <cellStyle name="20% - Акцент3 15 13" xfId="3632"/>
    <cellStyle name="20% - Акцент3 15 14" xfId="3633"/>
    <cellStyle name="20% - Акцент3 15 2" xfId="121"/>
    <cellStyle name="20% - Акцент3 15 3" xfId="122"/>
    <cellStyle name="20% - Акцент3 15 4" xfId="3634"/>
    <cellStyle name="20% - Акцент3 15 5" xfId="3635"/>
    <cellStyle name="20% - Акцент3 15 6" xfId="3636"/>
    <cellStyle name="20% - Акцент3 15 7" xfId="3637"/>
    <cellStyle name="20% - Акцент3 15 8" xfId="3638"/>
    <cellStyle name="20% - Акцент3 15 9" xfId="3639"/>
    <cellStyle name="20% - Акцент3 16" xfId="123"/>
    <cellStyle name="20% - Акцент3 16 10" xfId="3640"/>
    <cellStyle name="20% - Акцент3 16 11" xfId="3641"/>
    <cellStyle name="20% - Акцент3 16 12" xfId="3642"/>
    <cellStyle name="20% - Акцент3 16 13" xfId="3643"/>
    <cellStyle name="20% - Акцент3 16 14" xfId="3644"/>
    <cellStyle name="20% - Акцент3 16 2" xfId="124"/>
    <cellStyle name="20% - Акцент3 16 3" xfId="125"/>
    <cellStyle name="20% - Акцент3 16 4" xfId="3645"/>
    <cellStyle name="20% - Акцент3 16 5" xfId="3646"/>
    <cellStyle name="20% - Акцент3 16 6" xfId="3647"/>
    <cellStyle name="20% - Акцент3 16 7" xfId="3648"/>
    <cellStyle name="20% - Акцент3 16 8" xfId="3649"/>
    <cellStyle name="20% - Акцент3 16 9" xfId="3650"/>
    <cellStyle name="20% - Акцент3 17" xfId="126"/>
    <cellStyle name="20% - Акцент3 17 10" xfId="3651"/>
    <cellStyle name="20% - Акцент3 17 11" xfId="3652"/>
    <cellStyle name="20% - Акцент3 17 12" xfId="3653"/>
    <cellStyle name="20% - Акцент3 17 13" xfId="3654"/>
    <cellStyle name="20% - Акцент3 17 14" xfId="3655"/>
    <cellStyle name="20% - Акцент3 17 2" xfId="127"/>
    <cellStyle name="20% - Акцент3 17 3" xfId="128"/>
    <cellStyle name="20% - Акцент3 17 4" xfId="3656"/>
    <cellStyle name="20% - Акцент3 17 5" xfId="3657"/>
    <cellStyle name="20% - Акцент3 17 6" xfId="3658"/>
    <cellStyle name="20% - Акцент3 17 7" xfId="3659"/>
    <cellStyle name="20% - Акцент3 17 8" xfId="3660"/>
    <cellStyle name="20% - Акцент3 17 9" xfId="3661"/>
    <cellStyle name="20% - Акцент3 18" xfId="129"/>
    <cellStyle name="20% - Акцент3 18 2" xfId="130"/>
    <cellStyle name="20% - Акцент3 19" xfId="131"/>
    <cellStyle name="20% - Акцент3 19 2" xfId="132"/>
    <cellStyle name="20% - Акцент3 2" xfId="133"/>
    <cellStyle name="20% - Акцент3 2 10" xfId="3662"/>
    <cellStyle name="20% - Акцент3 2 11" xfId="3663"/>
    <cellStyle name="20% - Акцент3 2 12" xfId="3664"/>
    <cellStyle name="20% - Акцент3 2 13" xfId="3665"/>
    <cellStyle name="20% - Акцент3 2 14" xfId="3666"/>
    <cellStyle name="20% - Акцент3 2 2" xfId="134"/>
    <cellStyle name="20% - Акцент3 2 3" xfId="135"/>
    <cellStyle name="20% - Акцент3 2 4" xfId="3667"/>
    <cellStyle name="20% - Акцент3 2 5" xfId="3668"/>
    <cellStyle name="20% - Акцент3 2 6" xfId="3669"/>
    <cellStyle name="20% - Акцент3 2 7" xfId="3670"/>
    <cellStyle name="20% - Акцент3 2 8" xfId="3671"/>
    <cellStyle name="20% - Акцент3 2 9" xfId="3672"/>
    <cellStyle name="20% - Акцент3 3" xfId="136"/>
    <cellStyle name="20% - Акцент3 3 10" xfId="3673"/>
    <cellStyle name="20% - Акцент3 3 11" xfId="3674"/>
    <cellStyle name="20% - Акцент3 3 12" xfId="3675"/>
    <cellStyle name="20% - Акцент3 3 13" xfId="3676"/>
    <cellStyle name="20% - Акцент3 3 14" xfId="3677"/>
    <cellStyle name="20% - Акцент3 3 2" xfId="137"/>
    <cellStyle name="20% - Акцент3 3 3" xfId="138"/>
    <cellStyle name="20% - Акцент3 3 4" xfId="3678"/>
    <cellStyle name="20% - Акцент3 3 5" xfId="3679"/>
    <cellStyle name="20% - Акцент3 3 6" xfId="3680"/>
    <cellStyle name="20% - Акцент3 3 7" xfId="3681"/>
    <cellStyle name="20% - Акцент3 3 8" xfId="3682"/>
    <cellStyle name="20% - Акцент3 3 9" xfId="3683"/>
    <cellStyle name="20% - Акцент3 4" xfId="139"/>
    <cellStyle name="20% - Акцент3 4 10" xfId="3684"/>
    <cellStyle name="20% - Акцент3 4 11" xfId="3685"/>
    <cellStyle name="20% - Акцент3 4 12" xfId="3686"/>
    <cellStyle name="20% - Акцент3 4 13" xfId="3687"/>
    <cellStyle name="20% - Акцент3 4 14" xfId="3688"/>
    <cellStyle name="20% - Акцент3 4 2" xfId="140"/>
    <cellStyle name="20% - Акцент3 4 3" xfId="141"/>
    <cellStyle name="20% - Акцент3 4 4" xfId="3689"/>
    <cellStyle name="20% - Акцент3 4 5" xfId="3690"/>
    <cellStyle name="20% - Акцент3 4 6" xfId="3691"/>
    <cellStyle name="20% - Акцент3 4 7" xfId="3692"/>
    <cellStyle name="20% - Акцент3 4 8" xfId="3693"/>
    <cellStyle name="20% - Акцент3 4 9" xfId="3694"/>
    <cellStyle name="20% - Акцент3 5" xfId="142"/>
    <cellStyle name="20% - Акцент3 5 10" xfId="3695"/>
    <cellStyle name="20% - Акцент3 5 11" xfId="3696"/>
    <cellStyle name="20% - Акцент3 5 12" xfId="3697"/>
    <cellStyle name="20% - Акцент3 5 13" xfId="3698"/>
    <cellStyle name="20% - Акцент3 5 14" xfId="3699"/>
    <cellStyle name="20% - Акцент3 5 2" xfId="143"/>
    <cellStyle name="20% - Акцент3 5 3" xfId="144"/>
    <cellStyle name="20% - Акцент3 5 4" xfId="3700"/>
    <cellStyle name="20% - Акцент3 5 5" xfId="3701"/>
    <cellStyle name="20% - Акцент3 5 6" xfId="3702"/>
    <cellStyle name="20% - Акцент3 5 7" xfId="3703"/>
    <cellStyle name="20% - Акцент3 5 8" xfId="3704"/>
    <cellStyle name="20% - Акцент3 5 9" xfId="3705"/>
    <cellStyle name="20% - Акцент3 6" xfId="145"/>
    <cellStyle name="20% - Акцент3 6 10" xfId="3706"/>
    <cellStyle name="20% - Акцент3 6 11" xfId="3707"/>
    <cellStyle name="20% - Акцент3 6 12" xfId="3708"/>
    <cellStyle name="20% - Акцент3 6 13" xfId="3709"/>
    <cellStyle name="20% - Акцент3 6 14" xfId="3710"/>
    <cellStyle name="20% - Акцент3 6 2" xfId="146"/>
    <cellStyle name="20% - Акцент3 6 3" xfId="147"/>
    <cellStyle name="20% - Акцент3 6 4" xfId="3711"/>
    <cellStyle name="20% - Акцент3 6 5" xfId="3712"/>
    <cellStyle name="20% - Акцент3 6 6" xfId="3713"/>
    <cellStyle name="20% - Акцент3 6 7" xfId="3714"/>
    <cellStyle name="20% - Акцент3 6 8" xfId="3715"/>
    <cellStyle name="20% - Акцент3 6 9" xfId="3716"/>
    <cellStyle name="20% - Акцент3 7" xfId="148"/>
    <cellStyle name="20% - Акцент3 7 10" xfId="3717"/>
    <cellStyle name="20% - Акцент3 7 11" xfId="3718"/>
    <cellStyle name="20% - Акцент3 7 12" xfId="3719"/>
    <cellStyle name="20% - Акцент3 7 13" xfId="3720"/>
    <cellStyle name="20% - Акцент3 7 14" xfId="3721"/>
    <cellStyle name="20% - Акцент3 7 2" xfId="149"/>
    <cellStyle name="20% - Акцент3 7 3" xfId="150"/>
    <cellStyle name="20% - Акцент3 7 4" xfId="3722"/>
    <cellStyle name="20% - Акцент3 7 5" xfId="3723"/>
    <cellStyle name="20% - Акцент3 7 6" xfId="3724"/>
    <cellStyle name="20% - Акцент3 7 7" xfId="3725"/>
    <cellStyle name="20% - Акцент3 7 8" xfId="3726"/>
    <cellStyle name="20% - Акцент3 7 9" xfId="3727"/>
    <cellStyle name="20% - Акцент3 8" xfId="151"/>
    <cellStyle name="20% - Акцент3 8 10" xfId="3728"/>
    <cellStyle name="20% - Акцент3 8 11" xfId="3729"/>
    <cellStyle name="20% - Акцент3 8 12" xfId="3730"/>
    <cellStyle name="20% - Акцент3 8 13" xfId="3731"/>
    <cellStyle name="20% - Акцент3 8 14" xfId="3732"/>
    <cellStyle name="20% - Акцент3 8 2" xfId="152"/>
    <cellStyle name="20% - Акцент3 8 3" xfId="153"/>
    <cellStyle name="20% - Акцент3 8 4" xfId="3733"/>
    <cellStyle name="20% - Акцент3 8 5" xfId="3734"/>
    <cellStyle name="20% - Акцент3 8 6" xfId="3735"/>
    <cellStyle name="20% - Акцент3 8 7" xfId="3736"/>
    <cellStyle name="20% - Акцент3 8 8" xfId="3737"/>
    <cellStyle name="20% - Акцент3 8 9" xfId="3738"/>
    <cellStyle name="20% - Акцент3 9" xfId="154"/>
    <cellStyle name="20% - Акцент3 9 10" xfId="3739"/>
    <cellStyle name="20% - Акцент3 9 11" xfId="3740"/>
    <cellStyle name="20% - Акцент3 9 12" xfId="3741"/>
    <cellStyle name="20% - Акцент3 9 13" xfId="3742"/>
    <cellStyle name="20% - Акцент3 9 14" xfId="3743"/>
    <cellStyle name="20% - Акцент3 9 2" xfId="155"/>
    <cellStyle name="20% - Акцент3 9 3" xfId="156"/>
    <cellStyle name="20% - Акцент3 9 4" xfId="3744"/>
    <cellStyle name="20% - Акцент3 9 5" xfId="3745"/>
    <cellStyle name="20% - Акцент3 9 6" xfId="3746"/>
    <cellStyle name="20% - Акцент3 9 7" xfId="3747"/>
    <cellStyle name="20% - Акцент3 9 8" xfId="3748"/>
    <cellStyle name="20% - Акцент3 9 9" xfId="3749"/>
    <cellStyle name="20% - Акцент4 10" xfId="157"/>
    <cellStyle name="20% - Акцент4 10 10" xfId="3750"/>
    <cellStyle name="20% - Акцент4 10 11" xfId="3751"/>
    <cellStyle name="20% - Акцент4 10 12" xfId="3752"/>
    <cellStyle name="20% - Акцент4 10 13" xfId="3753"/>
    <cellStyle name="20% - Акцент4 10 14" xfId="3754"/>
    <cellStyle name="20% - Акцент4 10 2" xfId="158"/>
    <cellStyle name="20% - Акцент4 10 3" xfId="159"/>
    <cellStyle name="20% - Акцент4 10 4" xfId="3755"/>
    <cellStyle name="20% - Акцент4 10 5" xfId="3756"/>
    <cellStyle name="20% - Акцент4 10 6" xfId="3757"/>
    <cellStyle name="20% - Акцент4 10 7" xfId="3758"/>
    <cellStyle name="20% - Акцент4 10 8" xfId="3759"/>
    <cellStyle name="20% - Акцент4 10 9" xfId="3760"/>
    <cellStyle name="20% - Акцент4 11" xfId="160"/>
    <cellStyle name="20% - Акцент4 11 10" xfId="3761"/>
    <cellStyle name="20% - Акцент4 11 11" xfId="3762"/>
    <cellStyle name="20% - Акцент4 11 12" xfId="3763"/>
    <cellStyle name="20% - Акцент4 11 13" xfId="3764"/>
    <cellStyle name="20% - Акцент4 11 14" xfId="3765"/>
    <cellStyle name="20% - Акцент4 11 2" xfId="161"/>
    <cellStyle name="20% - Акцент4 11 3" xfId="162"/>
    <cellStyle name="20% - Акцент4 11 4" xfId="3766"/>
    <cellStyle name="20% - Акцент4 11 5" xfId="3767"/>
    <cellStyle name="20% - Акцент4 11 6" xfId="3768"/>
    <cellStyle name="20% - Акцент4 11 7" xfId="3769"/>
    <cellStyle name="20% - Акцент4 11 8" xfId="3770"/>
    <cellStyle name="20% - Акцент4 11 9" xfId="3771"/>
    <cellStyle name="20% - Акцент4 12" xfId="163"/>
    <cellStyle name="20% - Акцент4 12 10" xfId="3772"/>
    <cellStyle name="20% - Акцент4 12 11" xfId="3773"/>
    <cellStyle name="20% - Акцент4 12 12" xfId="3774"/>
    <cellStyle name="20% - Акцент4 12 13" xfId="3775"/>
    <cellStyle name="20% - Акцент4 12 14" xfId="3776"/>
    <cellStyle name="20% - Акцент4 12 2" xfId="164"/>
    <cellStyle name="20% - Акцент4 12 3" xfId="165"/>
    <cellStyle name="20% - Акцент4 12 4" xfId="3777"/>
    <cellStyle name="20% - Акцент4 12 5" xfId="3778"/>
    <cellStyle name="20% - Акцент4 12 6" xfId="3779"/>
    <cellStyle name="20% - Акцент4 12 7" xfId="3780"/>
    <cellStyle name="20% - Акцент4 12 8" xfId="3781"/>
    <cellStyle name="20% - Акцент4 12 9" xfId="3782"/>
    <cellStyle name="20% - Акцент4 13" xfId="166"/>
    <cellStyle name="20% - Акцент4 13 10" xfId="3783"/>
    <cellStyle name="20% - Акцент4 13 11" xfId="3784"/>
    <cellStyle name="20% - Акцент4 13 12" xfId="3785"/>
    <cellStyle name="20% - Акцент4 13 13" xfId="3786"/>
    <cellStyle name="20% - Акцент4 13 14" xfId="3787"/>
    <cellStyle name="20% - Акцент4 13 2" xfId="167"/>
    <cellStyle name="20% - Акцент4 13 3" xfId="168"/>
    <cellStyle name="20% - Акцент4 13 4" xfId="3788"/>
    <cellStyle name="20% - Акцент4 13 5" xfId="3789"/>
    <cellStyle name="20% - Акцент4 13 6" xfId="3790"/>
    <cellStyle name="20% - Акцент4 13 7" xfId="3791"/>
    <cellStyle name="20% - Акцент4 13 8" xfId="3792"/>
    <cellStyle name="20% - Акцент4 13 9" xfId="3793"/>
    <cellStyle name="20% - Акцент4 14" xfId="169"/>
    <cellStyle name="20% - Акцент4 14 10" xfId="3794"/>
    <cellStyle name="20% - Акцент4 14 11" xfId="3795"/>
    <cellStyle name="20% - Акцент4 14 12" xfId="3796"/>
    <cellStyle name="20% - Акцент4 14 13" xfId="3797"/>
    <cellStyle name="20% - Акцент4 14 14" xfId="3798"/>
    <cellStyle name="20% - Акцент4 14 2" xfId="170"/>
    <cellStyle name="20% - Акцент4 14 3" xfId="171"/>
    <cellStyle name="20% - Акцент4 14 4" xfId="3799"/>
    <cellStyle name="20% - Акцент4 14 5" xfId="3800"/>
    <cellStyle name="20% - Акцент4 14 6" xfId="3801"/>
    <cellStyle name="20% - Акцент4 14 7" xfId="3802"/>
    <cellStyle name="20% - Акцент4 14 8" xfId="3803"/>
    <cellStyle name="20% - Акцент4 14 9" xfId="3804"/>
    <cellStyle name="20% - Акцент4 15" xfId="172"/>
    <cellStyle name="20% - Акцент4 15 10" xfId="3805"/>
    <cellStyle name="20% - Акцент4 15 11" xfId="3806"/>
    <cellStyle name="20% - Акцент4 15 12" xfId="3807"/>
    <cellStyle name="20% - Акцент4 15 13" xfId="3808"/>
    <cellStyle name="20% - Акцент4 15 14" xfId="3809"/>
    <cellStyle name="20% - Акцент4 15 2" xfId="173"/>
    <cellStyle name="20% - Акцент4 15 3" xfId="174"/>
    <cellStyle name="20% - Акцент4 15 4" xfId="3810"/>
    <cellStyle name="20% - Акцент4 15 5" xfId="3811"/>
    <cellStyle name="20% - Акцент4 15 6" xfId="3812"/>
    <cellStyle name="20% - Акцент4 15 7" xfId="3813"/>
    <cellStyle name="20% - Акцент4 15 8" xfId="3814"/>
    <cellStyle name="20% - Акцент4 15 9" xfId="3815"/>
    <cellStyle name="20% - Акцент4 16" xfId="175"/>
    <cellStyle name="20% - Акцент4 16 10" xfId="3816"/>
    <cellStyle name="20% - Акцент4 16 11" xfId="3817"/>
    <cellStyle name="20% - Акцент4 16 12" xfId="3818"/>
    <cellStyle name="20% - Акцент4 16 13" xfId="3819"/>
    <cellStyle name="20% - Акцент4 16 14" xfId="3820"/>
    <cellStyle name="20% - Акцент4 16 2" xfId="176"/>
    <cellStyle name="20% - Акцент4 16 3" xfId="177"/>
    <cellStyle name="20% - Акцент4 16 4" xfId="3821"/>
    <cellStyle name="20% - Акцент4 16 5" xfId="3822"/>
    <cellStyle name="20% - Акцент4 16 6" xfId="3823"/>
    <cellStyle name="20% - Акцент4 16 7" xfId="3824"/>
    <cellStyle name="20% - Акцент4 16 8" xfId="3825"/>
    <cellStyle name="20% - Акцент4 16 9" xfId="3826"/>
    <cellStyle name="20% - Акцент4 17" xfId="178"/>
    <cellStyle name="20% - Акцент4 17 10" xfId="3827"/>
    <cellStyle name="20% - Акцент4 17 11" xfId="3828"/>
    <cellStyle name="20% - Акцент4 17 12" xfId="3829"/>
    <cellStyle name="20% - Акцент4 17 13" xfId="3830"/>
    <cellStyle name="20% - Акцент4 17 14" xfId="3831"/>
    <cellStyle name="20% - Акцент4 17 2" xfId="179"/>
    <cellStyle name="20% - Акцент4 17 3" xfId="180"/>
    <cellStyle name="20% - Акцент4 17 4" xfId="3832"/>
    <cellStyle name="20% - Акцент4 17 5" xfId="3833"/>
    <cellStyle name="20% - Акцент4 17 6" xfId="3834"/>
    <cellStyle name="20% - Акцент4 17 7" xfId="3835"/>
    <cellStyle name="20% - Акцент4 17 8" xfId="3836"/>
    <cellStyle name="20% - Акцент4 17 9" xfId="3837"/>
    <cellStyle name="20% - Акцент4 18" xfId="181"/>
    <cellStyle name="20% - Акцент4 18 2" xfId="182"/>
    <cellStyle name="20% - Акцент4 19" xfId="183"/>
    <cellStyle name="20% - Акцент4 19 2" xfId="184"/>
    <cellStyle name="20% - Акцент4 2" xfId="185"/>
    <cellStyle name="20% - Акцент4 2 10" xfId="3838"/>
    <cellStyle name="20% - Акцент4 2 11" xfId="3839"/>
    <cellStyle name="20% - Акцент4 2 12" xfId="3840"/>
    <cellStyle name="20% - Акцент4 2 13" xfId="3841"/>
    <cellStyle name="20% - Акцент4 2 14" xfId="3842"/>
    <cellStyle name="20% - Акцент4 2 2" xfId="186"/>
    <cellStyle name="20% - Акцент4 2 3" xfId="187"/>
    <cellStyle name="20% - Акцент4 2 4" xfId="3843"/>
    <cellStyle name="20% - Акцент4 2 5" xfId="3844"/>
    <cellStyle name="20% - Акцент4 2 6" xfId="3845"/>
    <cellStyle name="20% - Акцент4 2 7" xfId="3846"/>
    <cellStyle name="20% - Акцент4 2 8" xfId="3847"/>
    <cellStyle name="20% - Акцент4 2 9" xfId="3848"/>
    <cellStyle name="20% - Акцент4 3" xfId="188"/>
    <cellStyle name="20% - Акцент4 3 10" xfId="3849"/>
    <cellStyle name="20% - Акцент4 3 11" xfId="3850"/>
    <cellStyle name="20% - Акцент4 3 12" xfId="3851"/>
    <cellStyle name="20% - Акцент4 3 13" xfId="3852"/>
    <cellStyle name="20% - Акцент4 3 14" xfId="3853"/>
    <cellStyle name="20% - Акцент4 3 2" xfId="189"/>
    <cellStyle name="20% - Акцент4 3 3" xfId="190"/>
    <cellStyle name="20% - Акцент4 3 4" xfId="3854"/>
    <cellStyle name="20% - Акцент4 3 5" xfId="3855"/>
    <cellStyle name="20% - Акцент4 3 6" xfId="3856"/>
    <cellStyle name="20% - Акцент4 3 7" xfId="3857"/>
    <cellStyle name="20% - Акцент4 3 8" xfId="3858"/>
    <cellStyle name="20% - Акцент4 3 9" xfId="3859"/>
    <cellStyle name="20% - Акцент4 4" xfId="191"/>
    <cellStyle name="20% - Акцент4 4 10" xfId="3860"/>
    <cellStyle name="20% - Акцент4 4 11" xfId="3861"/>
    <cellStyle name="20% - Акцент4 4 12" xfId="3862"/>
    <cellStyle name="20% - Акцент4 4 13" xfId="3863"/>
    <cellStyle name="20% - Акцент4 4 14" xfId="3864"/>
    <cellStyle name="20% - Акцент4 4 2" xfId="192"/>
    <cellStyle name="20% - Акцент4 4 3" xfId="193"/>
    <cellStyle name="20% - Акцент4 4 4" xfId="3865"/>
    <cellStyle name="20% - Акцент4 4 5" xfId="3866"/>
    <cellStyle name="20% - Акцент4 4 6" xfId="3867"/>
    <cellStyle name="20% - Акцент4 4 7" xfId="3868"/>
    <cellStyle name="20% - Акцент4 4 8" xfId="3869"/>
    <cellStyle name="20% - Акцент4 4 9" xfId="3870"/>
    <cellStyle name="20% - Акцент4 5" xfId="194"/>
    <cellStyle name="20% - Акцент4 5 10" xfId="3871"/>
    <cellStyle name="20% - Акцент4 5 11" xfId="3872"/>
    <cellStyle name="20% - Акцент4 5 12" xfId="3873"/>
    <cellStyle name="20% - Акцент4 5 13" xfId="3874"/>
    <cellStyle name="20% - Акцент4 5 14" xfId="3875"/>
    <cellStyle name="20% - Акцент4 5 2" xfId="195"/>
    <cellStyle name="20% - Акцент4 5 3" xfId="196"/>
    <cellStyle name="20% - Акцент4 5 4" xfId="3876"/>
    <cellStyle name="20% - Акцент4 5 5" xfId="3877"/>
    <cellStyle name="20% - Акцент4 5 6" xfId="3878"/>
    <cellStyle name="20% - Акцент4 5 7" xfId="3879"/>
    <cellStyle name="20% - Акцент4 5 8" xfId="3880"/>
    <cellStyle name="20% - Акцент4 5 9" xfId="3881"/>
    <cellStyle name="20% - Акцент4 6" xfId="197"/>
    <cellStyle name="20% - Акцент4 6 10" xfId="3882"/>
    <cellStyle name="20% - Акцент4 6 11" xfId="3883"/>
    <cellStyle name="20% - Акцент4 6 12" xfId="3884"/>
    <cellStyle name="20% - Акцент4 6 13" xfId="3885"/>
    <cellStyle name="20% - Акцент4 6 14" xfId="3886"/>
    <cellStyle name="20% - Акцент4 6 2" xfId="198"/>
    <cellStyle name="20% - Акцент4 6 3" xfId="199"/>
    <cellStyle name="20% - Акцент4 6 4" xfId="3887"/>
    <cellStyle name="20% - Акцент4 6 5" xfId="3888"/>
    <cellStyle name="20% - Акцент4 6 6" xfId="3889"/>
    <cellStyle name="20% - Акцент4 6 7" xfId="3890"/>
    <cellStyle name="20% - Акцент4 6 8" xfId="3891"/>
    <cellStyle name="20% - Акцент4 6 9" xfId="3892"/>
    <cellStyle name="20% - Акцент4 7" xfId="200"/>
    <cellStyle name="20% - Акцент4 7 10" xfId="3893"/>
    <cellStyle name="20% - Акцент4 7 11" xfId="3894"/>
    <cellStyle name="20% - Акцент4 7 12" xfId="3895"/>
    <cellStyle name="20% - Акцент4 7 13" xfId="3896"/>
    <cellStyle name="20% - Акцент4 7 14" xfId="3897"/>
    <cellStyle name="20% - Акцент4 7 2" xfId="201"/>
    <cellStyle name="20% - Акцент4 7 3" xfId="202"/>
    <cellStyle name="20% - Акцент4 7 4" xfId="3898"/>
    <cellStyle name="20% - Акцент4 7 5" xfId="3899"/>
    <cellStyle name="20% - Акцент4 7 6" xfId="3900"/>
    <cellStyle name="20% - Акцент4 7 7" xfId="3901"/>
    <cellStyle name="20% - Акцент4 7 8" xfId="3902"/>
    <cellStyle name="20% - Акцент4 7 9" xfId="3903"/>
    <cellStyle name="20% - Акцент4 8" xfId="203"/>
    <cellStyle name="20% - Акцент4 8 10" xfId="3904"/>
    <cellStyle name="20% - Акцент4 8 11" xfId="3905"/>
    <cellStyle name="20% - Акцент4 8 12" xfId="3906"/>
    <cellStyle name="20% - Акцент4 8 13" xfId="3907"/>
    <cellStyle name="20% - Акцент4 8 14" xfId="3908"/>
    <cellStyle name="20% - Акцент4 8 2" xfId="204"/>
    <cellStyle name="20% - Акцент4 8 3" xfId="205"/>
    <cellStyle name="20% - Акцент4 8 4" xfId="3909"/>
    <cellStyle name="20% - Акцент4 8 5" xfId="3910"/>
    <cellStyle name="20% - Акцент4 8 6" xfId="3911"/>
    <cellStyle name="20% - Акцент4 8 7" xfId="3912"/>
    <cellStyle name="20% - Акцент4 8 8" xfId="3913"/>
    <cellStyle name="20% - Акцент4 8 9" xfId="3914"/>
    <cellStyle name="20% - Акцент4 9" xfId="206"/>
    <cellStyle name="20% - Акцент4 9 10" xfId="3915"/>
    <cellStyle name="20% - Акцент4 9 11" xfId="3916"/>
    <cellStyle name="20% - Акцент4 9 12" xfId="3917"/>
    <cellStyle name="20% - Акцент4 9 13" xfId="3918"/>
    <cellStyle name="20% - Акцент4 9 14" xfId="3919"/>
    <cellStyle name="20% - Акцент4 9 2" xfId="207"/>
    <cellStyle name="20% - Акцент4 9 3" xfId="208"/>
    <cellStyle name="20% - Акцент4 9 4" xfId="3920"/>
    <cellStyle name="20% - Акцент4 9 5" xfId="3921"/>
    <cellStyle name="20% - Акцент4 9 6" xfId="3922"/>
    <cellStyle name="20% - Акцент4 9 7" xfId="3923"/>
    <cellStyle name="20% - Акцент4 9 8" xfId="3924"/>
    <cellStyle name="20% - Акцент4 9 9" xfId="3925"/>
    <cellStyle name="20% - Акцент5 10" xfId="209"/>
    <cellStyle name="20% - Акцент5 10 10" xfId="3926"/>
    <cellStyle name="20% - Акцент5 10 11" xfId="3927"/>
    <cellStyle name="20% - Акцент5 10 12" xfId="3928"/>
    <cellStyle name="20% - Акцент5 10 13" xfId="3929"/>
    <cellStyle name="20% - Акцент5 10 14" xfId="3930"/>
    <cellStyle name="20% - Акцент5 10 2" xfId="210"/>
    <cellStyle name="20% - Акцент5 10 3" xfId="211"/>
    <cellStyle name="20% - Акцент5 10 4" xfId="3931"/>
    <cellStyle name="20% - Акцент5 10 5" xfId="3932"/>
    <cellStyle name="20% - Акцент5 10 6" xfId="3933"/>
    <cellStyle name="20% - Акцент5 10 7" xfId="3934"/>
    <cellStyle name="20% - Акцент5 10 8" xfId="3935"/>
    <cellStyle name="20% - Акцент5 10 9" xfId="3936"/>
    <cellStyle name="20% - Акцент5 11" xfId="212"/>
    <cellStyle name="20% - Акцент5 11 10" xfId="3937"/>
    <cellStyle name="20% - Акцент5 11 11" xfId="3938"/>
    <cellStyle name="20% - Акцент5 11 12" xfId="3939"/>
    <cellStyle name="20% - Акцент5 11 13" xfId="3940"/>
    <cellStyle name="20% - Акцент5 11 14" xfId="3941"/>
    <cellStyle name="20% - Акцент5 11 2" xfId="213"/>
    <cellStyle name="20% - Акцент5 11 3" xfId="214"/>
    <cellStyle name="20% - Акцент5 11 4" xfId="3942"/>
    <cellStyle name="20% - Акцент5 11 5" xfId="3943"/>
    <cellStyle name="20% - Акцент5 11 6" xfId="3944"/>
    <cellStyle name="20% - Акцент5 11 7" xfId="3945"/>
    <cellStyle name="20% - Акцент5 11 8" xfId="3946"/>
    <cellStyle name="20% - Акцент5 11 9" xfId="3947"/>
    <cellStyle name="20% - Акцент5 12" xfId="215"/>
    <cellStyle name="20% - Акцент5 12 10" xfId="3948"/>
    <cellStyle name="20% - Акцент5 12 11" xfId="3949"/>
    <cellStyle name="20% - Акцент5 12 12" xfId="3950"/>
    <cellStyle name="20% - Акцент5 12 13" xfId="3951"/>
    <cellStyle name="20% - Акцент5 12 14" xfId="3952"/>
    <cellStyle name="20% - Акцент5 12 2" xfId="216"/>
    <cellStyle name="20% - Акцент5 12 3" xfId="217"/>
    <cellStyle name="20% - Акцент5 12 4" xfId="3953"/>
    <cellStyle name="20% - Акцент5 12 5" xfId="3954"/>
    <cellStyle name="20% - Акцент5 12 6" xfId="3955"/>
    <cellStyle name="20% - Акцент5 12 7" xfId="3956"/>
    <cellStyle name="20% - Акцент5 12 8" xfId="3957"/>
    <cellStyle name="20% - Акцент5 12 9" xfId="3958"/>
    <cellStyle name="20% - Акцент5 13" xfId="218"/>
    <cellStyle name="20% - Акцент5 13 10" xfId="3959"/>
    <cellStyle name="20% - Акцент5 13 11" xfId="3960"/>
    <cellStyle name="20% - Акцент5 13 12" xfId="3961"/>
    <cellStyle name="20% - Акцент5 13 13" xfId="3962"/>
    <cellStyle name="20% - Акцент5 13 14" xfId="3963"/>
    <cellStyle name="20% - Акцент5 13 2" xfId="219"/>
    <cellStyle name="20% - Акцент5 13 3" xfId="220"/>
    <cellStyle name="20% - Акцент5 13 4" xfId="3964"/>
    <cellStyle name="20% - Акцент5 13 5" xfId="3965"/>
    <cellStyle name="20% - Акцент5 13 6" xfId="3966"/>
    <cellStyle name="20% - Акцент5 13 7" xfId="3967"/>
    <cellStyle name="20% - Акцент5 13 8" xfId="3968"/>
    <cellStyle name="20% - Акцент5 13 9" xfId="3969"/>
    <cellStyle name="20% - Акцент5 14" xfId="221"/>
    <cellStyle name="20% - Акцент5 14 10" xfId="3970"/>
    <cellStyle name="20% - Акцент5 14 11" xfId="3971"/>
    <cellStyle name="20% - Акцент5 14 12" xfId="3972"/>
    <cellStyle name="20% - Акцент5 14 13" xfId="3973"/>
    <cellStyle name="20% - Акцент5 14 14" xfId="3974"/>
    <cellStyle name="20% - Акцент5 14 2" xfId="222"/>
    <cellStyle name="20% - Акцент5 14 3" xfId="223"/>
    <cellStyle name="20% - Акцент5 14 4" xfId="3975"/>
    <cellStyle name="20% - Акцент5 14 5" xfId="3976"/>
    <cellStyle name="20% - Акцент5 14 6" xfId="3977"/>
    <cellStyle name="20% - Акцент5 14 7" xfId="3978"/>
    <cellStyle name="20% - Акцент5 14 8" xfId="3979"/>
    <cellStyle name="20% - Акцент5 14 9" xfId="3980"/>
    <cellStyle name="20% - Акцент5 15" xfId="224"/>
    <cellStyle name="20% - Акцент5 15 10" xfId="3981"/>
    <cellStyle name="20% - Акцент5 15 11" xfId="3982"/>
    <cellStyle name="20% - Акцент5 15 12" xfId="3983"/>
    <cellStyle name="20% - Акцент5 15 13" xfId="3984"/>
    <cellStyle name="20% - Акцент5 15 14" xfId="3985"/>
    <cellStyle name="20% - Акцент5 15 2" xfId="225"/>
    <cellStyle name="20% - Акцент5 15 3" xfId="226"/>
    <cellStyle name="20% - Акцент5 15 4" xfId="3986"/>
    <cellStyle name="20% - Акцент5 15 5" xfId="3987"/>
    <cellStyle name="20% - Акцент5 15 6" xfId="3988"/>
    <cellStyle name="20% - Акцент5 15 7" xfId="3989"/>
    <cellStyle name="20% - Акцент5 15 8" xfId="3990"/>
    <cellStyle name="20% - Акцент5 15 9" xfId="3991"/>
    <cellStyle name="20% - Акцент5 16" xfId="227"/>
    <cellStyle name="20% - Акцент5 16 10" xfId="3992"/>
    <cellStyle name="20% - Акцент5 16 11" xfId="3993"/>
    <cellStyle name="20% - Акцент5 16 12" xfId="3994"/>
    <cellStyle name="20% - Акцент5 16 13" xfId="3995"/>
    <cellStyle name="20% - Акцент5 16 14" xfId="3996"/>
    <cellStyle name="20% - Акцент5 16 2" xfId="228"/>
    <cellStyle name="20% - Акцент5 16 3" xfId="229"/>
    <cellStyle name="20% - Акцент5 16 4" xfId="3997"/>
    <cellStyle name="20% - Акцент5 16 5" xfId="3998"/>
    <cellStyle name="20% - Акцент5 16 6" xfId="3999"/>
    <cellStyle name="20% - Акцент5 16 7" xfId="4000"/>
    <cellStyle name="20% - Акцент5 16 8" xfId="4001"/>
    <cellStyle name="20% - Акцент5 16 9" xfId="4002"/>
    <cellStyle name="20% - Акцент5 17" xfId="230"/>
    <cellStyle name="20% - Акцент5 17 10" xfId="4003"/>
    <cellStyle name="20% - Акцент5 17 11" xfId="4004"/>
    <cellStyle name="20% - Акцент5 17 12" xfId="4005"/>
    <cellStyle name="20% - Акцент5 17 13" xfId="4006"/>
    <cellStyle name="20% - Акцент5 17 14" xfId="4007"/>
    <cellStyle name="20% - Акцент5 17 2" xfId="231"/>
    <cellStyle name="20% - Акцент5 17 3" xfId="232"/>
    <cellStyle name="20% - Акцент5 17 4" xfId="4008"/>
    <cellStyle name="20% - Акцент5 17 5" xfId="4009"/>
    <cellStyle name="20% - Акцент5 17 6" xfId="4010"/>
    <cellStyle name="20% - Акцент5 17 7" xfId="4011"/>
    <cellStyle name="20% - Акцент5 17 8" xfId="4012"/>
    <cellStyle name="20% - Акцент5 17 9" xfId="4013"/>
    <cellStyle name="20% - Акцент5 18" xfId="233"/>
    <cellStyle name="20% - Акцент5 18 2" xfId="234"/>
    <cellStyle name="20% - Акцент5 19" xfId="235"/>
    <cellStyle name="20% - Акцент5 19 2" xfId="236"/>
    <cellStyle name="20% - Акцент5 2" xfId="237"/>
    <cellStyle name="20% - Акцент5 2 10" xfId="4014"/>
    <cellStyle name="20% - Акцент5 2 11" xfId="4015"/>
    <cellStyle name="20% - Акцент5 2 12" xfId="4016"/>
    <cellStyle name="20% - Акцент5 2 13" xfId="4017"/>
    <cellStyle name="20% - Акцент5 2 14" xfId="4018"/>
    <cellStyle name="20% - Акцент5 2 2" xfId="238"/>
    <cellStyle name="20% - Акцент5 2 3" xfId="239"/>
    <cellStyle name="20% - Акцент5 2 4" xfId="4019"/>
    <cellStyle name="20% - Акцент5 2 5" xfId="4020"/>
    <cellStyle name="20% - Акцент5 2 6" xfId="4021"/>
    <cellStyle name="20% - Акцент5 2 7" xfId="4022"/>
    <cellStyle name="20% - Акцент5 2 8" xfId="4023"/>
    <cellStyle name="20% - Акцент5 2 9" xfId="4024"/>
    <cellStyle name="20% - Акцент5 3" xfId="240"/>
    <cellStyle name="20% - Акцент5 3 10" xfId="4025"/>
    <cellStyle name="20% - Акцент5 3 11" xfId="4026"/>
    <cellStyle name="20% - Акцент5 3 12" xfId="4027"/>
    <cellStyle name="20% - Акцент5 3 13" xfId="4028"/>
    <cellStyle name="20% - Акцент5 3 14" xfId="4029"/>
    <cellStyle name="20% - Акцент5 3 2" xfId="241"/>
    <cellStyle name="20% - Акцент5 3 3" xfId="242"/>
    <cellStyle name="20% - Акцент5 3 4" xfId="4030"/>
    <cellStyle name="20% - Акцент5 3 5" xfId="4031"/>
    <cellStyle name="20% - Акцент5 3 6" xfId="4032"/>
    <cellStyle name="20% - Акцент5 3 7" xfId="4033"/>
    <cellStyle name="20% - Акцент5 3 8" xfId="4034"/>
    <cellStyle name="20% - Акцент5 3 9" xfId="4035"/>
    <cellStyle name="20% - Акцент5 4" xfId="243"/>
    <cellStyle name="20% - Акцент5 4 10" xfId="4036"/>
    <cellStyle name="20% - Акцент5 4 11" xfId="4037"/>
    <cellStyle name="20% - Акцент5 4 12" xfId="4038"/>
    <cellStyle name="20% - Акцент5 4 13" xfId="4039"/>
    <cellStyle name="20% - Акцент5 4 14" xfId="4040"/>
    <cellStyle name="20% - Акцент5 4 2" xfId="244"/>
    <cellStyle name="20% - Акцент5 4 3" xfId="245"/>
    <cellStyle name="20% - Акцент5 4 4" xfId="4041"/>
    <cellStyle name="20% - Акцент5 4 5" xfId="4042"/>
    <cellStyle name="20% - Акцент5 4 6" xfId="4043"/>
    <cellStyle name="20% - Акцент5 4 7" xfId="4044"/>
    <cellStyle name="20% - Акцент5 4 8" xfId="4045"/>
    <cellStyle name="20% - Акцент5 4 9" xfId="4046"/>
    <cellStyle name="20% - Акцент5 5" xfId="246"/>
    <cellStyle name="20% - Акцент5 5 10" xfId="4047"/>
    <cellStyle name="20% - Акцент5 5 11" xfId="4048"/>
    <cellStyle name="20% - Акцент5 5 12" xfId="4049"/>
    <cellStyle name="20% - Акцент5 5 13" xfId="4050"/>
    <cellStyle name="20% - Акцент5 5 14" xfId="4051"/>
    <cellStyle name="20% - Акцент5 5 2" xfId="247"/>
    <cellStyle name="20% - Акцент5 5 3" xfId="248"/>
    <cellStyle name="20% - Акцент5 5 4" xfId="4052"/>
    <cellStyle name="20% - Акцент5 5 5" xfId="4053"/>
    <cellStyle name="20% - Акцент5 5 6" xfId="4054"/>
    <cellStyle name="20% - Акцент5 5 7" xfId="4055"/>
    <cellStyle name="20% - Акцент5 5 8" xfId="4056"/>
    <cellStyle name="20% - Акцент5 5 9" xfId="4057"/>
    <cellStyle name="20% - Акцент5 6" xfId="249"/>
    <cellStyle name="20% - Акцент5 6 10" xfId="4058"/>
    <cellStyle name="20% - Акцент5 6 11" xfId="4059"/>
    <cellStyle name="20% - Акцент5 6 12" xfId="4060"/>
    <cellStyle name="20% - Акцент5 6 13" xfId="4061"/>
    <cellStyle name="20% - Акцент5 6 14" xfId="4062"/>
    <cellStyle name="20% - Акцент5 6 2" xfId="250"/>
    <cellStyle name="20% - Акцент5 6 3" xfId="251"/>
    <cellStyle name="20% - Акцент5 6 4" xfId="4063"/>
    <cellStyle name="20% - Акцент5 6 5" xfId="4064"/>
    <cellStyle name="20% - Акцент5 6 6" xfId="4065"/>
    <cellStyle name="20% - Акцент5 6 7" xfId="4066"/>
    <cellStyle name="20% - Акцент5 6 8" xfId="4067"/>
    <cellStyle name="20% - Акцент5 6 9" xfId="4068"/>
    <cellStyle name="20% - Акцент5 7" xfId="252"/>
    <cellStyle name="20% - Акцент5 7 10" xfId="4069"/>
    <cellStyle name="20% - Акцент5 7 11" xfId="4070"/>
    <cellStyle name="20% - Акцент5 7 12" xfId="4071"/>
    <cellStyle name="20% - Акцент5 7 13" xfId="4072"/>
    <cellStyle name="20% - Акцент5 7 14" xfId="4073"/>
    <cellStyle name="20% - Акцент5 7 2" xfId="253"/>
    <cellStyle name="20% - Акцент5 7 3" xfId="254"/>
    <cellStyle name="20% - Акцент5 7 4" xfId="4074"/>
    <cellStyle name="20% - Акцент5 7 5" xfId="4075"/>
    <cellStyle name="20% - Акцент5 7 6" xfId="4076"/>
    <cellStyle name="20% - Акцент5 7 7" xfId="4077"/>
    <cellStyle name="20% - Акцент5 7 8" xfId="4078"/>
    <cellStyle name="20% - Акцент5 7 9" xfId="4079"/>
    <cellStyle name="20% - Акцент5 8" xfId="255"/>
    <cellStyle name="20% - Акцент5 8 10" xfId="4080"/>
    <cellStyle name="20% - Акцент5 8 11" xfId="4081"/>
    <cellStyle name="20% - Акцент5 8 12" xfId="4082"/>
    <cellStyle name="20% - Акцент5 8 13" xfId="4083"/>
    <cellStyle name="20% - Акцент5 8 14" xfId="4084"/>
    <cellStyle name="20% - Акцент5 8 2" xfId="256"/>
    <cellStyle name="20% - Акцент5 8 3" xfId="257"/>
    <cellStyle name="20% - Акцент5 8 4" xfId="4085"/>
    <cellStyle name="20% - Акцент5 8 5" xfId="4086"/>
    <cellStyle name="20% - Акцент5 8 6" xfId="4087"/>
    <cellStyle name="20% - Акцент5 8 7" xfId="4088"/>
    <cellStyle name="20% - Акцент5 8 8" xfId="4089"/>
    <cellStyle name="20% - Акцент5 8 9" xfId="4090"/>
    <cellStyle name="20% - Акцент5 9" xfId="258"/>
    <cellStyle name="20% - Акцент5 9 10" xfId="4091"/>
    <cellStyle name="20% - Акцент5 9 11" xfId="4092"/>
    <cellStyle name="20% - Акцент5 9 12" xfId="4093"/>
    <cellStyle name="20% - Акцент5 9 13" xfId="4094"/>
    <cellStyle name="20% - Акцент5 9 14" xfId="4095"/>
    <cellStyle name="20% - Акцент5 9 2" xfId="259"/>
    <cellStyle name="20% - Акцент5 9 3" xfId="260"/>
    <cellStyle name="20% - Акцент5 9 4" xfId="4096"/>
    <cellStyle name="20% - Акцент5 9 5" xfId="4097"/>
    <cellStyle name="20% - Акцент5 9 6" xfId="4098"/>
    <cellStyle name="20% - Акцент5 9 7" xfId="4099"/>
    <cellStyle name="20% - Акцент5 9 8" xfId="4100"/>
    <cellStyle name="20% - Акцент5 9 9" xfId="4101"/>
    <cellStyle name="20% - Акцент6 10" xfId="261"/>
    <cellStyle name="20% - Акцент6 10 10" xfId="4102"/>
    <cellStyle name="20% - Акцент6 10 11" xfId="4103"/>
    <cellStyle name="20% - Акцент6 10 12" xfId="4104"/>
    <cellStyle name="20% - Акцент6 10 13" xfId="4105"/>
    <cellStyle name="20% - Акцент6 10 14" xfId="4106"/>
    <cellStyle name="20% - Акцент6 10 2" xfId="262"/>
    <cellStyle name="20% - Акцент6 10 3" xfId="263"/>
    <cellStyle name="20% - Акцент6 10 4" xfId="4107"/>
    <cellStyle name="20% - Акцент6 10 5" xfId="4108"/>
    <cellStyle name="20% - Акцент6 10 6" xfId="4109"/>
    <cellStyle name="20% - Акцент6 10 7" xfId="4110"/>
    <cellStyle name="20% - Акцент6 10 8" xfId="4111"/>
    <cellStyle name="20% - Акцент6 10 9" xfId="4112"/>
    <cellStyle name="20% - Акцент6 11" xfId="264"/>
    <cellStyle name="20% - Акцент6 11 10" xfId="4113"/>
    <cellStyle name="20% - Акцент6 11 11" xfId="4114"/>
    <cellStyle name="20% - Акцент6 11 12" xfId="4115"/>
    <cellStyle name="20% - Акцент6 11 13" xfId="4116"/>
    <cellStyle name="20% - Акцент6 11 14" xfId="4117"/>
    <cellStyle name="20% - Акцент6 11 2" xfId="265"/>
    <cellStyle name="20% - Акцент6 11 3" xfId="266"/>
    <cellStyle name="20% - Акцент6 11 4" xfId="4118"/>
    <cellStyle name="20% - Акцент6 11 5" xfId="4119"/>
    <cellStyle name="20% - Акцент6 11 6" xfId="4120"/>
    <cellStyle name="20% - Акцент6 11 7" xfId="4121"/>
    <cellStyle name="20% - Акцент6 11 8" xfId="4122"/>
    <cellStyle name="20% - Акцент6 11 9" xfId="4123"/>
    <cellStyle name="20% - Акцент6 12" xfId="267"/>
    <cellStyle name="20% - Акцент6 12 10" xfId="4124"/>
    <cellStyle name="20% - Акцент6 12 11" xfId="4125"/>
    <cellStyle name="20% - Акцент6 12 12" xfId="4126"/>
    <cellStyle name="20% - Акцент6 12 13" xfId="4127"/>
    <cellStyle name="20% - Акцент6 12 14" xfId="4128"/>
    <cellStyle name="20% - Акцент6 12 2" xfId="268"/>
    <cellStyle name="20% - Акцент6 12 3" xfId="269"/>
    <cellStyle name="20% - Акцент6 12 4" xfId="4129"/>
    <cellStyle name="20% - Акцент6 12 5" xfId="4130"/>
    <cellStyle name="20% - Акцент6 12 6" xfId="4131"/>
    <cellStyle name="20% - Акцент6 12 7" xfId="4132"/>
    <cellStyle name="20% - Акцент6 12 8" xfId="4133"/>
    <cellStyle name="20% - Акцент6 12 9" xfId="4134"/>
    <cellStyle name="20% - Акцент6 13" xfId="270"/>
    <cellStyle name="20% - Акцент6 13 10" xfId="4135"/>
    <cellStyle name="20% - Акцент6 13 11" xfId="4136"/>
    <cellStyle name="20% - Акцент6 13 12" xfId="4137"/>
    <cellStyle name="20% - Акцент6 13 13" xfId="4138"/>
    <cellStyle name="20% - Акцент6 13 14" xfId="4139"/>
    <cellStyle name="20% - Акцент6 13 2" xfId="271"/>
    <cellStyle name="20% - Акцент6 13 3" xfId="272"/>
    <cellStyle name="20% - Акцент6 13 4" xfId="4140"/>
    <cellStyle name="20% - Акцент6 13 5" xfId="4141"/>
    <cellStyle name="20% - Акцент6 13 6" xfId="4142"/>
    <cellStyle name="20% - Акцент6 13 7" xfId="4143"/>
    <cellStyle name="20% - Акцент6 13 8" xfId="4144"/>
    <cellStyle name="20% - Акцент6 13 9" xfId="4145"/>
    <cellStyle name="20% - Акцент6 14" xfId="273"/>
    <cellStyle name="20% - Акцент6 14 10" xfId="4146"/>
    <cellStyle name="20% - Акцент6 14 11" xfId="4147"/>
    <cellStyle name="20% - Акцент6 14 12" xfId="4148"/>
    <cellStyle name="20% - Акцент6 14 13" xfId="4149"/>
    <cellStyle name="20% - Акцент6 14 14" xfId="4150"/>
    <cellStyle name="20% - Акцент6 14 2" xfId="274"/>
    <cellStyle name="20% - Акцент6 14 3" xfId="275"/>
    <cellStyle name="20% - Акцент6 14 4" xfId="4151"/>
    <cellStyle name="20% - Акцент6 14 5" xfId="4152"/>
    <cellStyle name="20% - Акцент6 14 6" xfId="4153"/>
    <cellStyle name="20% - Акцент6 14 7" xfId="4154"/>
    <cellStyle name="20% - Акцент6 14 8" xfId="4155"/>
    <cellStyle name="20% - Акцент6 14 9" xfId="4156"/>
    <cellStyle name="20% - Акцент6 15" xfId="276"/>
    <cellStyle name="20% - Акцент6 15 10" xfId="4157"/>
    <cellStyle name="20% - Акцент6 15 11" xfId="4158"/>
    <cellStyle name="20% - Акцент6 15 12" xfId="4159"/>
    <cellStyle name="20% - Акцент6 15 13" xfId="4160"/>
    <cellStyle name="20% - Акцент6 15 14" xfId="4161"/>
    <cellStyle name="20% - Акцент6 15 2" xfId="277"/>
    <cellStyle name="20% - Акцент6 15 3" xfId="278"/>
    <cellStyle name="20% - Акцент6 15 4" xfId="4162"/>
    <cellStyle name="20% - Акцент6 15 5" xfId="4163"/>
    <cellStyle name="20% - Акцент6 15 6" xfId="4164"/>
    <cellStyle name="20% - Акцент6 15 7" xfId="4165"/>
    <cellStyle name="20% - Акцент6 15 8" xfId="4166"/>
    <cellStyle name="20% - Акцент6 15 9" xfId="4167"/>
    <cellStyle name="20% - Акцент6 16" xfId="279"/>
    <cellStyle name="20% - Акцент6 16 10" xfId="4168"/>
    <cellStyle name="20% - Акцент6 16 11" xfId="4169"/>
    <cellStyle name="20% - Акцент6 16 12" xfId="4170"/>
    <cellStyle name="20% - Акцент6 16 13" xfId="4171"/>
    <cellStyle name="20% - Акцент6 16 14" xfId="4172"/>
    <cellStyle name="20% - Акцент6 16 2" xfId="280"/>
    <cellStyle name="20% - Акцент6 16 3" xfId="281"/>
    <cellStyle name="20% - Акцент6 16 4" xfId="4173"/>
    <cellStyle name="20% - Акцент6 16 5" xfId="4174"/>
    <cellStyle name="20% - Акцент6 16 6" xfId="4175"/>
    <cellStyle name="20% - Акцент6 16 7" xfId="4176"/>
    <cellStyle name="20% - Акцент6 16 8" xfId="4177"/>
    <cellStyle name="20% - Акцент6 16 9" xfId="4178"/>
    <cellStyle name="20% - Акцент6 17" xfId="282"/>
    <cellStyle name="20% - Акцент6 17 10" xfId="4179"/>
    <cellStyle name="20% - Акцент6 17 11" xfId="4180"/>
    <cellStyle name="20% - Акцент6 17 12" xfId="4181"/>
    <cellStyle name="20% - Акцент6 17 13" xfId="4182"/>
    <cellStyle name="20% - Акцент6 17 14" xfId="4183"/>
    <cellStyle name="20% - Акцент6 17 2" xfId="283"/>
    <cellStyle name="20% - Акцент6 17 3" xfId="284"/>
    <cellStyle name="20% - Акцент6 17 4" xfId="4184"/>
    <cellStyle name="20% - Акцент6 17 5" xfId="4185"/>
    <cellStyle name="20% - Акцент6 17 6" xfId="4186"/>
    <cellStyle name="20% - Акцент6 17 7" xfId="4187"/>
    <cellStyle name="20% - Акцент6 17 8" xfId="4188"/>
    <cellStyle name="20% - Акцент6 17 9" xfId="4189"/>
    <cellStyle name="20% - Акцент6 18" xfId="285"/>
    <cellStyle name="20% - Акцент6 18 2" xfId="286"/>
    <cellStyle name="20% - Акцент6 19" xfId="287"/>
    <cellStyle name="20% - Акцент6 19 2" xfId="288"/>
    <cellStyle name="20% - Акцент6 2" xfId="289"/>
    <cellStyle name="20% - Акцент6 2 10" xfId="4190"/>
    <cellStyle name="20% - Акцент6 2 11" xfId="4191"/>
    <cellStyle name="20% - Акцент6 2 12" xfId="4192"/>
    <cellStyle name="20% - Акцент6 2 13" xfId="4193"/>
    <cellStyle name="20% - Акцент6 2 14" xfId="4194"/>
    <cellStyle name="20% - Акцент6 2 2" xfId="290"/>
    <cellStyle name="20% - Акцент6 2 3" xfId="291"/>
    <cellStyle name="20% - Акцент6 2 4" xfId="4195"/>
    <cellStyle name="20% - Акцент6 2 5" xfId="4196"/>
    <cellStyle name="20% - Акцент6 2 6" xfId="4197"/>
    <cellStyle name="20% - Акцент6 2 7" xfId="4198"/>
    <cellStyle name="20% - Акцент6 2 8" xfId="4199"/>
    <cellStyle name="20% - Акцент6 2 9" xfId="4200"/>
    <cellStyle name="20% - Акцент6 3" xfId="292"/>
    <cellStyle name="20% - Акцент6 3 10" xfId="4201"/>
    <cellStyle name="20% - Акцент6 3 11" xfId="4202"/>
    <cellStyle name="20% - Акцент6 3 12" xfId="4203"/>
    <cellStyle name="20% - Акцент6 3 13" xfId="4204"/>
    <cellStyle name="20% - Акцент6 3 14" xfId="4205"/>
    <cellStyle name="20% - Акцент6 3 2" xfId="293"/>
    <cellStyle name="20% - Акцент6 3 3" xfId="294"/>
    <cellStyle name="20% - Акцент6 3 4" xfId="4206"/>
    <cellStyle name="20% - Акцент6 3 5" xfId="4207"/>
    <cellStyle name="20% - Акцент6 3 6" xfId="4208"/>
    <cellStyle name="20% - Акцент6 3 7" xfId="4209"/>
    <cellStyle name="20% - Акцент6 3 8" xfId="4210"/>
    <cellStyle name="20% - Акцент6 3 9" xfId="4211"/>
    <cellStyle name="20% - Акцент6 4" xfId="295"/>
    <cellStyle name="20% - Акцент6 4 10" xfId="4212"/>
    <cellStyle name="20% - Акцент6 4 11" xfId="4213"/>
    <cellStyle name="20% - Акцент6 4 12" xfId="4214"/>
    <cellStyle name="20% - Акцент6 4 13" xfId="4215"/>
    <cellStyle name="20% - Акцент6 4 14" xfId="4216"/>
    <cellStyle name="20% - Акцент6 4 2" xfId="296"/>
    <cellStyle name="20% - Акцент6 4 3" xfId="297"/>
    <cellStyle name="20% - Акцент6 4 4" xfId="4217"/>
    <cellStyle name="20% - Акцент6 4 5" xfId="4218"/>
    <cellStyle name="20% - Акцент6 4 6" xfId="4219"/>
    <cellStyle name="20% - Акцент6 4 7" xfId="4220"/>
    <cellStyle name="20% - Акцент6 4 8" xfId="4221"/>
    <cellStyle name="20% - Акцент6 4 9" xfId="4222"/>
    <cellStyle name="20% - Акцент6 5" xfId="298"/>
    <cellStyle name="20% - Акцент6 5 10" xfId="4223"/>
    <cellStyle name="20% - Акцент6 5 11" xfId="4224"/>
    <cellStyle name="20% - Акцент6 5 12" xfId="4225"/>
    <cellStyle name="20% - Акцент6 5 13" xfId="4226"/>
    <cellStyle name="20% - Акцент6 5 14" xfId="4227"/>
    <cellStyle name="20% - Акцент6 5 2" xfId="299"/>
    <cellStyle name="20% - Акцент6 5 3" xfId="300"/>
    <cellStyle name="20% - Акцент6 5 4" xfId="4228"/>
    <cellStyle name="20% - Акцент6 5 5" xfId="4229"/>
    <cellStyle name="20% - Акцент6 5 6" xfId="4230"/>
    <cellStyle name="20% - Акцент6 5 7" xfId="4231"/>
    <cellStyle name="20% - Акцент6 5 8" xfId="4232"/>
    <cellStyle name="20% - Акцент6 5 9" xfId="4233"/>
    <cellStyle name="20% - Акцент6 6" xfId="301"/>
    <cellStyle name="20% - Акцент6 6 10" xfId="4234"/>
    <cellStyle name="20% - Акцент6 6 11" xfId="4235"/>
    <cellStyle name="20% - Акцент6 6 12" xfId="4236"/>
    <cellStyle name="20% - Акцент6 6 13" xfId="4237"/>
    <cellStyle name="20% - Акцент6 6 14" xfId="4238"/>
    <cellStyle name="20% - Акцент6 6 2" xfId="302"/>
    <cellStyle name="20% - Акцент6 6 3" xfId="303"/>
    <cellStyle name="20% - Акцент6 6 4" xfId="4239"/>
    <cellStyle name="20% - Акцент6 6 5" xfId="4240"/>
    <cellStyle name="20% - Акцент6 6 6" xfId="4241"/>
    <cellStyle name="20% - Акцент6 6 7" xfId="4242"/>
    <cellStyle name="20% - Акцент6 6 8" xfId="4243"/>
    <cellStyle name="20% - Акцент6 6 9" xfId="4244"/>
    <cellStyle name="20% - Акцент6 7" xfId="304"/>
    <cellStyle name="20% - Акцент6 7 10" xfId="4245"/>
    <cellStyle name="20% - Акцент6 7 11" xfId="4246"/>
    <cellStyle name="20% - Акцент6 7 12" xfId="4247"/>
    <cellStyle name="20% - Акцент6 7 13" xfId="4248"/>
    <cellStyle name="20% - Акцент6 7 14" xfId="4249"/>
    <cellStyle name="20% - Акцент6 7 2" xfId="305"/>
    <cellStyle name="20% - Акцент6 7 3" xfId="306"/>
    <cellStyle name="20% - Акцент6 7 4" xfId="4250"/>
    <cellStyle name="20% - Акцент6 7 5" xfId="4251"/>
    <cellStyle name="20% - Акцент6 7 6" xfId="4252"/>
    <cellStyle name="20% - Акцент6 7 7" xfId="4253"/>
    <cellStyle name="20% - Акцент6 7 8" xfId="4254"/>
    <cellStyle name="20% - Акцент6 7 9" xfId="4255"/>
    <cellStyle name="20% - Акцент6 8" xfId="307"/>
    <cellStyle name="20% - Акцент6 8 10" xfId="4256"/>
    <cellStyle name="20% - Акцент6 8 11" xfId="4257"/>
    <cellStyle name="20% - Акцент6 8 12" xfId="4258"/>
    <cellStyle name="20% - Акцент6 8 13" xfId="4259"/>
    <cellStyle name="20% - Акцент6 8 14" xfId="4260"/>
    <cellStyle name="20% - Акцент6 8 2" xfId="308"/>
    <cellStyle name="20% - Акцент6 8 3" xfId="309"/>
    <cellStyle name="20% - Акцент6 8 4" xfId="4261"/>
    <cellStyle name="20% - Акцент6 8 5" xfId="4262"/>
    <cellStyle name="20% - Акцент6 8 6" xfId="4263"/>
    <cellStyle name="20% - Акцент6 8 7" xfId="4264"/>
    <cellStyle name="20% - Акцент6 8 8" xfId="4265"/>
    <cellStyle name="20% - Акцент6 8 9" xfId="4266"/>
    <cellStyle name="20% - Акцент6 9" xfId="310"/>
    <cellStyle name="20% - Акцент6 9 10" xfId="4267"/>
    <cellStyle name="20% - Акцент6 9 11" xfId="4268"/>
    <cellStyle name="20% - Акцент6 9 12" xfId="4269"/>
    <cellStyle name="20% - Акцент6 9 13" xfId="4270"/>
    <cellStyle name="20% - Акцент6 9 14" xfId="4271"/>
    <cellStyle name="20% - Акцент6 9 2" xfId="311"/>
    <cellStyle name="20% - Акцент6 9 3" xfId="312"/>
    <cellStyle name="20% - Акцент6 9 4" xfId="4272"/>
    <cellStyle name="20% - Акцент6 9 5" xfId="4273"/>
    <cellStyle name="20% - Акцент6 9 6" xfId="4274"/>
    <cellStyle name="20% - Акцент6 9 7" xfId="4275"/>
    <cellStyle name="20% - Акцент6 9 8" xfId="4276"/>
    <cellStyle name="20% - Акцент6 9 9" xfId="4277"/>
    <cellStyle name="40% - Акцент1 10" xfId="313"/>
    <cellStyle name="40% - Акцент1 10 10" xfId="4278"/>
    <cellStyle name="40% - Акцент1 10 11" xfId="4279"/>
    <cellStyle name="40% - Акцент1 10 12" xfId="4280"/>
    <cellStyle name="40% - Акцент1 10 13" xfId="4281"/>
    <cellStyle name="40% - Акцент1 10 14" xfId="4282"/>
    <cellStyle name="40% - Акцент1 10 2" xfId="314"/>
    <cellStyle name="40% - Акцент1 10 3" xfId="315"/>
    <cellStyle name="40% - Акцент1 10 4" xfId="4283"/>
    <cellStyle name="40% - Акцент1 10 5" xfId="4284"/>
    <cellStyle name="40% - Акцент1 10 6" xfId="4285"/>
    <cellStyle name="40% - Акцент1 10 7" xfId="4286"/>
    <cellStyle name="40% - Акцент1 10 8" xfId="4287"/>
    <cellStyle name="40% - Акцент1 10 9" xfId="4288"/>
    <cellStyle name="40% - Акцент1 11" xfId="316"/>
    <cellStyle name="40% - Акцент1 11 10" xfId="4289"/>
    <cellStyle name="40% - Акцент1 11 11" xfId="4290"/>
    <cellStyle name="40% - Акцент1 11 12" xfId="4291"/>
    <cellStyle name="40% - Акцент1 11 13" xfId="4292"/>
    <cellStyle name="40% - Акцент1 11 14" xfId="4293"/>
    <cellStyle name="40% - Акцент1 11 2" xfId="317"/>
    <cellStyle name="40% - Акцент1 11 3" xfId="318"/>
    <cellStyle name="40% - Акцент1 11 4" xfId="4294"/>
    <cellStyle name="40% - Акцент1 11 5" xfId="4295"/>
    <cellStyle name="40% - Акцент1 11 6" xfId="4296"/>
    <cellStyle name="40% - Акцент1 11 7" xfId="4297"/>
    <cellStyle name="40% - Акцент1 11 8" xfId="4298"/>
    <cellStyle name="40% - Акцент1 11 9" xfId="4299"/>
    <cellStyle name="40% - Акцент1 12" xfId="319"/>
    <cellStyle name="40% - Акцент1 12 10" xfId="4300"/>
    <cellStyle name="40% - Акцент1 12 11" xfId="4301"/>
    <cellStyle name="40% - Акцент1 12 12" xfId="4302"/>
    <cellStyle name="40% - Акцент1 12 13" xfId="4303"/>
    <cellStyle name="40% - Акцент1 12 14" xfId="4304"/>
    <cellStyle name="40% - Акцент1 12 2" xfId="320"/>
    <cellStyle name="40% - Акцент1 12 3" xfId="321"/>
    <cellStyle name="40% - Акцент1 12 4" xfId="4305"/>
    <cellStyle name="40% - Акцент1 12 5" xfId="4306"/>
    <cellStyle name="40% - Акцент1 12 6" xfId="4307"/>
    <cellStyle name="40% - Акцент1 12 7" xfId="4308"/>
    <cellStyle name="40% - Акцент1 12 8" xfId="4309"/>
    <cellStyle name="40% - Акцент1 12 9" xfId="4310"/>
    <cellStyle name="40% - Акцент1 13" xfId="322"/>
    <cellStyle name="40% - Акцент1 13 10" xfId="4311"/>
    <cellStyle name="40% - Акцент1 13 11" xfId="4312"/>
    <cellStyle name="40% - Акцент1 13 12" xfId="4313"/>
    <cellStyle name="40% - Акцент1 13 13" xfId="4314"/>
    <cellStyle name="40% - Акцент1 13 14" xfId="4315"/>
    <cellStyle name="40% - Акцент1 13 2" xfId="323"/>
    <cellStyle name="40% - Акцент1 13 3" xfId="324"/>
    <cellStyle name="40% - Акцент1 13 4" xfId="4316"/>
    <cellStyle name="40% - Акцент1 13 5" xfId="4317"/>
    <cellStyle name="40% - Акцент1 13 6" xfId="4318"/>
    <cellStyle name="40% - Акцент1 13 7" xfId="4319"/>
    <cellStyle name="40% - Акцент1 13 8" xfId="4320"/>
    <cellStyle name="40% - Акцент1 13 9" xfId="4321"/>
    <cellStyle name="40% - Акцент1 14" xfId="325"/>
    <cellStyle name="40% - Акцент1 14 10" xfId="4322"/>
    <cellStyle name="40% - Акцент1 14 11" xfId="4323"/>
    <cellStyle name="40% - Акцент1 14 12" xfId="4324"/>
    <cellStyle name="40% - Акцент1 14 13" xfId="4325"/>
    <cellStyle name="40% - Акцент1 14 14" xfId="4326"/>
    <cellStyle name="40% - Акцент1 14 2" xfId="326"/>
    <cellStyle name="40% - Акцент1 14 3" xfId="327"/>
    <cellStyle name="40% - Акцент1 14 4" xfId="4327"/>
    <cellStyle name="40% - Акцент1 14 5" xfId="4328"/>
    <cellStyle name="40% - Акцент1 14 6" xfId="4329"/>
    <cellStyle name="40% - Акцент1 14 7" xfId="4330"/>
    <cellStyle name="40% - Акцент1 14 8" xfId="4331"/>
    <cellStyle name="40% - Акцент1 14 9" xfId="4332"/>
    <cellStyle name="40% - Акцент1 15" xfId="328"/>
    <cellStyle name="40% - Акцент1 15 10" xfId="4333"/>
    <cellStyle name="40% - Акцент1 15 11" xfId="4334"/>
    <cellStyle name="40% - Акцент1 15 12" xfId="4335"/>
    <cellStyle name="40% - Акцент1 15 13" xfId="4336"/>
    <cellStyle name="40% - Акцент1 15 14" xfId="4337"/>
    <cellStyle name="40% - Акцент1 15 2" xfId="329"/>
    <cellStyle name="40% - Акцент1 15 3" xfId="330"/>
    <cellStyle name="40% - Акцент1 15 4" xfId="4338"/>
    <cellStyle name="40% - Акцент1 15 5" xfId="4339"/>
    <cellStyle name="40% - Акцент1 15 6" xfId="4340"/>
    <cellStyle name="40% - Акцент1 15 7" xfId="4341"/>
    <cellStyle name="40% - Акцент1 15 8" xfId="4342"/>
    <cellStyle name="40% - Акцент1 15 9" xfId="4343"/>
    <cellStyle name="40% - Акцент1 16" xfId="331"/>
    <cellStyle name="40% - Акцент1 16 10" xfId="4344"/>
    <cellStyle name="40% - Акцент1 16 11" xfId="4345"/>
    <cellStyle name="40% - Акцент1 16 12" xfId="4346"/>
    <cellStyle name="40% - Акцент1 16 13" xfId="4347"/>
    <cellStyle name="40% - Акцент1 16 14" xfId="4348"/>
    <cellStyle name="40% - Акцент1 16 2" xfId="332"/>
    <cellStyle name="40% - Акцент1 16 3" xfId="333"/>
    <cellStyle name="40% - Акцент1 16 4" xfId="4349"/>
    <cellStyle name="40% - Акцент1 16 5" xfId="4350"/>
    <cellStyle name="40% - Акцент1 16 6" xfId="4351"/>
    <cellStyle name="40% - Акцент1 16 7" xfId="4352"/>
    <cellStyle name="40% - Акцент1 16 8" xfId="4353"/>
    <cellStyle name="40% - Акцент1 16 9" xfId="4354"/>
    <cellStyle name="40% - Акцент1 17" xfId="334"/>
    <cellStyle name="40% - Акцент1 17 10" xfId="4355"/>
    <cellStyle name="40% - Акцент1 17 11" xfId="4356"/>
    <cellStyle name="40% - Акцент1 17 12" xfId="4357"/>
    <cellStyle name="40% - Акцент1 17 13" xfId="4358"/>
    <cellStyle name="40% - Акцент1 17 14" xfId="4359"/>
    <cellStyle name="40% - Акцент1 17 2" xfId="335"/>
    <cellStyle name="40% - Акцент1 17 3" xfId="336"/>
    <cellStyle name="40% - Акцент1 17 4" xfId="4360"/>
    <cellStyle name="40% - Акцент1 17 5" xfId="4361"/>
    <cellStyle name="40% - Акцент1 17 6" xfId="4362"/>
    <cellStyle name="40% - Акцент1 17 7" xfId="4363"/>
    <cellStyle name="40% - Акцент1 17 8" xfId="4364"/>
    <cellStyle name="40% - Акцент1 17 9" xfId="4365"/>
    <cellStyle name="40% - Акцент1 18" xfId="337"/>
    <cellStyle name="40% - Акцент1 18 2" xfId="338"/>
    <cellStyle name="40% - Акцент1 19" xfId="339"/>
    <cellStyle name="40% - Акцент1 19 2" xfId="340"/>
    <cellStyle name="40% - Акцент1 2" xfId="341"/>
    <cellStyle name="40% - Акцент1 2 10" xfId="4366"/>
    <cellStyle name="40% - Акцент1 2 11" xfId="4367"/>
    <cellStyle name="40% - Акцент1 2 12" xfId="4368"/>
    <cellStyle name="40% - Акцент1 2 13" xfId="4369"/>
    <cellStyle name="40% - Акцент1 2 14" xfId="4370"/>
    <cellStyle name="40% - Акцент1 2 2" xfId="342"/>
    <cellStyle name="40% - Акцент1 2 3" xfId="343"/>
    <cellStyle name="40% - Акцент1 2 4" xfId="4371"/>
    <cellStyle name="40% - Акцент1 2 5" xfId="4372"/>
    <cellStyle name="40% - Акцент1 2 6" xfId="4373"/>
    <cellStyle name="40% - Акцент1 2 7" xfId="4374"/>
    <cellStyle name="40% - Акцент1 2 8" xfId="4375"/>
    <cellStyle name="40% - Акцент1 2 9" xfId="4376"/>
    <cellStyle name="40% - Акцент1 3" xfId="344"/>
    <cellStyle name="40% - Акцент1 3 10" xfId="4377"/>
    <cellStyle name="40% - Акцент1 3 11" xfId="4378"/>
    <cellStyle name="40% - Акцент1 3 12" xfId="4379"/>
    <cellStyle name="40% - Акцент1 3 13" xfId="4380"/>
    <cellStyle name="40% - Акцент1 3 14" xfId="4381"/>
    <cellStyle name="40% - Акцент1 3 2" xfId="345"/>
    <cellStyle name="40% - Акцент1 3 3" xfId="346"/>
    <cellStyle name="40% - Акцент1 3 4" xfId="4382"/>
    <cellStyle name="40% - Акцент1 3 5" xfId="4383"/>
    <cellStyle name="40% - Акцент1 3 6" xfId="4384"/>
    <cellStyle name="40% - Акцент1 3 7" xfId="4385"/>
    <cellStyle name="40% - Акцент1 3 8" xfId="4386"/>
    <cellStyle name="40% - Акцент1 3 9" xfId="4387"/>
    <cellStyle name="40% - Акцент1 4" xfId="347"/>
    <cellStyle name="40% - Акцент1 4 10" xfId="4388"/>
    <cellStyle name="40% - Акцент1 4 11" xfId="4389"/>
    <cellStyle name="40% - Акцент1 4 12" xfId="4390"/>
    <cellStyle name="40% - Акцент1 4 13" xfId="4391"/>
    <cellStyle name="40% - Акцент1 4 14" xfId="4392"/>
    <cellStyle name="40% - Акцент1 4 2" xfId="348"/>
    <cellStyle name="40% - Акцент1 4 3" xfId="349"/>
    <cellStyle name="40% - Акцент1 4 4" xfId="4393"/>
    <cellStyle name="40% - Акцент1 4 5" xfId="4394"/>
    <cellStyle name="40% - Акцент1 4 6" xfId="4395"/>
    <cellStyle name="40% - Акцент1 4 7" xfId="4396"/>
    <cellStyle name="40% - Акцент1 4 8" xfId="4397"/>
    <cellStyle name="40% - Акцент1 4 9" xfId="4398"/>
    <cellStyle name="40% - Акцент1 5" xfId="350"/>
    <cellStyle name="40% - Акцент1 5 10" xfId="4399"/>
    <cellStyle name="40% - Акцент1 5 11" xfId="4400"/>
    <cellStyle name="40% - Акцент1 5 12" xfId="4401"/>
    <cellStyle name="40% - Акцент1 5 13" xfId="4402"/>
    <cellStyle name="40% - Акцент1 5 14" xfId="4403"/>
    <cellStyle name="40% - Акцент1 5 2" xfId="351"/>
    <cellStyle name="40% - Акцент1 5 3" xfId="352"/>
    <cellStyle name="40% - Акцент1 5 4" xfId="4404"/>
    <cellStyle name="40% - Акцент1 5 5" xfId="4405"/>
    <cellStyle name="40% - Акцент1 5 6" xfId="4406"/>
    <cellStyle name="40% - Акцент1 5 7" xfId="4407"/>
    <cellStyle name="40% - Акцент1 5 8" xfId="4408"/>
    <cellStyle name="40% - Акцент1 5 9" xfId="4409"/>
    <cellStyle name="40% - Акцент1 6" xfId="353"/>
    <cellStyle name="40% - Акцент1 6 10" xfId="4410"/>
    <cellStyle name="40% - Акцент1 6 11" xfId="4411"/>
    <cellStyle name="40% - Акцент1 6 12" xfId="4412"/>
    <cellStyle name="40% - Акцент1 6 13" xfId="4413"/>
    <cellStyle name="40% - Акцент1 6 14" xfId="4414"/>
    <cellStyle name="40% - Акцент1 6 2" xfId="354"/>
    <cellStyle name="40% - Акцент1 6 3" xfId="355"/>
    <cellStyle name="40% - Акцент1 6 4" xfId="4415"/>
    <cellStyle name="40% - Акцент1 6 5" xfId="4416"/>
    <cellStyle name="40% - Акцент1 6 6" xfId="4417"/>
    <cellStyle name="40% - Акцент1 6 7" xfId="4418"/>
    <cellStyle name="40% - Акцент1 6 8" xfId="4419"/>
    <cellStyle name="40% - Акцент1 6 9" xfId="4420"/>
    <cellStyle name="40% - Акцент1 7" xfId="356"/>
    <cellStyle name="40% - Акцент1 7 10" xfId="4421"/>
    <cellStyle name="40% - Акцент1 7 11" xfId="4422"/>
    <cellStyle name="40% - Акцент1 7 12" xfId="4423"/>
    <cellStyle name="40% - Акцент1 7 13" xfId="4424"/>
    <cellStyle name="40% - Акцент1 7 14" xfId="4425"/>
    <cellStyle name="40% - Акцент1 7 2" xfId="357"/>
    <cellStyle name="40% - Акцент1 7 3" xfId="358"/>
    <cellStyle name="40% - Акцент1 7 4" xfId="4426"/>
    <cellStyle name="40% - Акцент1 7 5" xfId="4427"/>
    <cellStyle name="40% - Акцент1 7 6" xfId="4428"/>
    <cellStyle name="40% - Акцент1 7 7" xfId="4429"/>
    <cellStyle name="40% - Акцент1 7 8" xfId="4430"/>
    <cellStyle name="40% - Акцент1 7 9" xfId="4431"/>
    <cellStyle name="40% - Акцент1 8" xfId="359"/>
    <cellStyle name="40% - Акцент1 8 10" xfId="4432"/>
    <cellStyle name="40% - Акцент1 8 11" xfId="4433"/>
    <cellStyle name="40% - Акцент1 8 12" xfId="4434"/>
    <cellStyle name="40% - Акцент1 8 13" xfId="4435"/>
    <cellStyle name="40% - Акцент1 8 14" xfId="4436"/>
    <cellStyle name="40% - Акцент1 8 2" xfId="360"/>
    <cellStyle name="40% - Акцент1 8 3" xfId="361"/>
    <cellStyle name="40% - Акцент1 8 4" xfId="4437"/>
    <cellStyle name="40% - Акцент1 8 5" xfId="4438"/>
    <cellStyle name="40% - Акцент1 8 6" xfId="4439"/>
    <cellStyle name="40% - Акцент1 8 7" xfId="4440"/>
    <cellStyle name="40% - Акцент1 8 8" xfId="4441"/>
    <cellStyle name="40% - Акцент1 8 9" xfId="4442"/>
    <cellStyle name="40% - Акцент1 9" xfId="362"/>
    <cellStyle name="40% - Акцент1 9 10" xfId="4443"/>
    <cellStyle name="40% - Акцент1 9 11" xfId="4444"/>
    <cellStyle name="40% - Акцент1 9 12" xfId="4445"/>
    <cellStyle name="40% - Акцент1 9 13" xfId="4446"/>
    <cellStyle name="40% - Акцент1 9 14" xfId="4447"/>
    <cellStyle name="40% - Акцент1 9 2" xfId="363"/>
    <cellStyle name="40% - Акцент1 9 3" xfId="364"/>
    <cellStyle name="40% - Акцент1 9 4" xfId="4448"/>
    <cellStyle name="40% - Акцент1 9 5" xfId="4449"/>
    <cellStyle name="40% - Акцент1 9 6" xfId="4450"/>
    <cellStyle name="40% - Акцент1 9 7" xfId="4451"/>
    <cellStyle name="40% - Акцент1 9 8" xfId="4452"/>
    <cellStyle name="40% - Акцент1 9 9" xfId="4453"/>
    <cellStyle name="40% - Акцент2 10" xfId="365"/>
    <cellStyle name="40% - Акцент2 10 10" xfId="4454"/>
    <cellStyle name="40% - Акцент2 10 11" xfId="4455"/>
    <cellStyle name="40% - Акцент2 10 12" xfId="4456"/>
    <cellStyle name="40% - Акцент2 10 13" xfId="4457"/>
    <cellStyle name="40% - Акцент2 10 14" xfId="4458"/>
    <cellStyle name="40% - Акцент2 10 2" xfId="366"/>
    <cellStyle name="40% - Акцент2 10 3" xfId="367"/>
    <cellStyle name="40% - Акцент2 10 4" xfId="4459"/>
    <cellStyle name="40% - Акцент2 10 5" xfId="4460"/>
    <cellStyle name="40% - Акцент2 10 6" xfId="4461"/>
    <cellStyle name="40% - Акцент2 10 7" xfId="4462"/>
    <cellStyle name="40% - Акцент2 10 8" xfId="4463"/>
    <cellStyle name="40% - Акцент2 10 9" xfId="4464"/>
    <cellStyle name="40% - Акцент2 11" xfId="368"/>
    <cellStyle name="40% - Акцент2 11 10" xfId="4465"/>
    <cellStyle name="40% - Акцент2 11 11" xfId="4466"/>
    <cellStyle name="40% - Акцент2 11 12" xfId="4467"/>
    <cellStyle name="40% - Акцент2 11 13" xfId="4468"/>
    <cellStyle name="40% - Акцент2 11 14" xfId="4469"/>
    <cellStyle name="40% - Акцент2 11 2" xfId="369"/>
    <cellStyle name="40% - Акцент2 11 3" xfId="370"/>
    <cellStyle name="40% - Акцент2 11 4" xfId="4470"/>
    <cellStyle name="40% - Акцент2 11 5" xfId="4471"/>
    <cellStyle name="40% - Акцент2 11 6" xfId="4472"/>
    <cellStyle name="40% - Акцент2 11 7" xfId="4473"/>
    <cellStyle name="40% - Акцент2 11 8" xfId="4474"/>
    <cellStyle name="40% - Акцент2 11 9" xfId="4475"/>
    <cellStyle name="40% - Акцент2 12" xfId="371"/>
    <cellStyle name="40% - Акцент2 12 10" xfId="4476"/>
    <cellStyle name="40% - Акцент2 12 11" xfId="4477"/>
    <cellStyle name="40% - Акцент2 12 12" xfId="4478"/>
    <cellStyle name="40% - Акцент2 12 13" xfId="4479"/>
    <cellStyle name="40% - Акцент2 12 14" xfId="4480"/>
    <cellStyle name="40% - Акцент2 12 2" xfId="372"/>
    <cellStyle name="40% - Акцент2 12 3" xfId="373"/>
    <cellStyle name="40% - Акцент2 12 4" xfId="4481"/>
    <cellStyle name="40% - Акцент2 12 5" xfId="4482"/>
    <cellStyle name="40% - Акцент2 12 6" xfId="4483"/>
    <cellStyle name="40% - Акцент2 12 7" xfId="4484"/>
    <cellStyle name="40% - Акцент2 12 8" xfId="4485"/>
    <cellStyle name="40% - Акцент2 12 9" xfId="4486"/>
    <cellStyle name="40% - Акцент2 13" xfId="374"/>
    <cellStyle name="40% - Акцент2 13 10" xfId="4487"/>
    <cellStyle name="40% - Акцент2 13 11" xfId="4488"/>
    <cellStyle name="40% - Акцент2 13 12" xfId="4489"/>
    <cellStyle name="40% - Акцент2 13 13" xfId="4490"/>
    <cellStyle name="40% - Акцент2 13 14" xfId="4491"/>
    <cellStyle name="40% - Акцент2 13 2" xfId="375"/>
    <cellStyle name="40% - Акцент2 13 3" xfId="376"/>
    <cellStyle name="40% - Акцент2 13 4" xfId="4492"/>
    <cellStyle name="40% - Акцент2 13 5" xfId="4493"/>
    <cellStyle name="40% - Акцент2 13 6" xfId="4494"/>
    <cellStyle name="40% - Акцент2 13 7" xfId="4495"/>
    <cellStyle name="40% - Акцент2 13 8" xfId="4496"/>
    <cellStyle name="40% - Акцент2 13 9" xfId="4497"/>
    <cellStyle name="40% - Акцент2 14" xfId="377"/>
    <cellStyle name="40% - Акцент2 14 10" xfId="4498"/>
    <cellStyle name="40% - Акцент2 14 11" xfId="4499"/>
    <cellStyle name="40% - Акцент2 14 12" xfId="4500"/>
    <cellStyle name="40% - Акцент2 14 13" xfId="4501"/>
    <cellStyle name="40% - Акцент2 14 14" xfId="4502"/>
    <cellStyle name="40% - Акцент2 14 2" xfId="378"/>
    <cellStyle name="40% - Акцент2 14 3" xfId="379"/>
    <cellStyle name="40% - Акцент2 14 4" xfId="4503"/>
    <cellStyle name="40% - Акцент2 14 5" xfId="4504"/>
    <cellStyle name="40% - Акцент2 14 6" xfId="4505"/>
    <cellStyle name="40% - Акцент2 14 7" xfId="4506"/>
    <cellStyle name="40% - Акцент2 14 8" xfId="4507"/>
    <cellStyle name="40% - Акцент2 14 9" xfId="4508"/>
    <cellStyle name="40% - Акцент2 15" xfId="380"/>
    <cellStyle name="40% - Акцент2 15 10" xfId="4509"/>
    <cellStyle name="40% - Акцент2 15 11" xfId="4510"/>
    <cellStyle name="40% - Акцент2 15 12" xfId="4511"/>
    <cellStyle name="40% - Акцент2 15 13" xfId="4512"/>
    <cellStyle name="40% - Акцент2 15 14" xfId="4513"/>
    <cellStyle name="40% - Акцент2 15 2" xfId="381"/>
    <cellStyle name="40% - Акцент2 15 3" xfId="382"/>
    <cellStyle name="40% - Акцент2 15 4" xfId="4514"/>
    <cellStyle name="40% - Акцент2 15 5" xfId="4515"/>
    <cellStyle name="40% - Акцент2 15 6" xfId="4516"/>
    <cellStyle name="40% - Акцент2 15 7" xfId="4517"/>
    <cellStyle name="40% - Акцент2 15 8" xfId="4518"/>
    <cellStyle name="40% - Акцент2 15 9" xfId="4519"/>
    <cellStyle name="40% - Акцент2 16" xfId="383"/>
    <cellStyle name="40% - Акцент2 16 10" xfId="4520"/>
    <cellStyle name="40% - Акцент2 16 11" xfId="4521"/>
    <cellStyle name="40% - Акцент2 16 12" xfId="4522"/>
    <cellStyle name="40% - Акцент2 16 13" xfId="4523"/>
    <cellStyle name="40% - Акцент2 16 14" xfId="4524"/>
    <cellStyle name="40% - Акцент2 16 2" xfId="384"/>
    <cellStyle name="40% - Акцент2 16 3" xfId="385"/>
    <cellStyle name="40% - Акцент2 16 4" xfId="4525"/>
    <cellStyle name="40% - Акцент2 16 5" xfId="4526"/>
    <cellStyle name="40% - Акцент2 16 6" xfId="4527"/>
    <cellStyle name="40% - Акцент2 16 7" xfId="4528"/>
    <cellStyle name="40% - Акцент2 16 8" xfId="4529"/>
    <cellStyle name="40% - Акцент2 16 9" xfId="4530"/>
    <cellStyle name="40% - Акцент2 17" xfId="386"/>
    <cellStyle name="40% - Акцент2 17 10" xfId="4531"/>
    <cellStyle name="40% - Акцент2 17 11" xfId="4532"/>
    <cellStyle name="40% - Акцент2 17 12" xfId="4533"/>
    <cellStyle name="40% - Акцент2 17 13" xfId="4534"/>
    <cellStyle name="40% - Акцент2 17 14" xfId="4535"/>
    <cellStyle name="40% - Акцент2 17 2" xfId="387"/>
    <cellStyle name="40% - Акцент2 17 3" xfId="388"/>
    <cellStyle name="40% - Акцент2 17 4" xfId="4536"/>
    <cellStyle name="40% - Акцент2 17 5" xfId="4537"/>
    <cellStyle name="40% - Акцент2 17 6" xfId="4538"/>
    <cellStyle name="40% - Акцент2 17 7" xfId="4539"/>
    <cellStyle name="40% - Акцент2 17 8" xfId="4540"/>
    <cellStyle name="40% - Акцент2 17 9" xfId="4541"/>
    <cellStyle name="40% - Акцент2 18" xfId="389"/>
    <cellStyle name="40% - Акцент2 18 2" xfId="390"/>
    <cellStyle name="40% - Акцент2 19" xfId="391"/>
    <cellStyle name="40% - Акцент2 19 2" xfId="392"/>
    <cellStyle name="40% - Акцент2 2" xfId="393"/>
    <cellStyle name="40% - Акцент2 2 10" xfId="4542"/>
    <cellStyle name="40% - Акцент2 2 11" xfId="4543"/>
    <cellStyle name="40% - Акцент2 2 12" xfId="4544"/>
    <cellStyle name="40% - Акцент2 2 13" xfId="4545"/>
    <cellStyle name="40% - Акцент2 2 14" xfId="4546"/>
    <cellStyle name="40% - Акцент2 2 2" xfId="394"/>
    <cellStyle name="40% - Акцент2 2 3" xfId="395"/>
    <cellStyle name="40% - Акцент2 2 4" xfId="4547"/>
    <cellStyle name="40% - Акцент2 2 5" xfId="4548"/>
    <cellStyle name="40% - Акцент2 2 6" xfId="4549"/>
    <cellStyle name="40% - Акцент2 2 7" xfId="4550"/>
    <cellStyle name="40% - Акцент2 2 8" xfId="4551"/>
    <cellStyle name="40% - Акцент2 2 9" xfId="4552"/>
    <cellStyle name="40% - Акцент2 3" xfId="396"/>
    <cellStyle name="40% - Акцент2 3 10" xfId="4553"/>
    <cellStyle name="40% - Акцент2 3 11" xfId="4554"/>
    <cellStyle name="40% - Акцент2 3 12" xfId="4555"/>
    <cellStyle name="40% - Акцент2 3 13" xfId="4556"/>
    <cellStyle name="40% - Акцент2 3 14" xfId="4557"/>
    <cellStyle name="40% - Акцент2 3 2" xfId="397"/>
    <cellStyle name="40% - Акцент2 3 3" xfId="398"/>
    <cellStyle name="40% - Акцент2 3 4" xfId="4558"/>
    <cellStyle name="40% - Акцент2 3 5" xfId="4559"/>
    <cellStyle name="40% - Акцент2 3 6" xfId="4560"/>
    <cellStyle name="40% - Акцент2 3 7" xfId="4561"/>
    <cellStyle name="40% - Акцент2 3 8" xfId="4562"/>
    <cellStyle name="40% - Акцент2 3 9" xfId="4563"/>
    <cellStyle name="40% - Акцент2 4" xfId="399"/>
    <cellStyle name="40% - Акцент2 4 10" xfId="4564"/>
    <cellStyle name="40% - Акцент2 4 11" xfId="4565"/>
    <cellStyle name="40% - Акцент2 4 12" xfId="4566"/>
    <cellStyle name="40% - Акцент2 4 13" xfId="4567"/>
    <cellStyle name="40% - Акцент2 4 14" xfId="4568"/>
    <cellStyle name="40% - Акцент2 4 2" xfId="400"/>
    <cellStyle name="40% - Акцент2 4 3" xfId="401"/>
    <cellStyle name="40% - Акцент2 4 4" xfId="4569"/>
    <cellStyle name="40% - Акцент2 4 5" xfId="4570"/>
    <cellStyle name="40% - Акцент2 4 6" xfId="4571"/>
    <cellStyle name="40% - Акцент2 4 7" xfId="4572"/>
    <cellStyle name="40% - Акцент2 4 8" xfId="4573"/>
    <cellStyle name="40% - Акцент2 4 9" xfId="4574"/>
    <cellStyle name="40% - Акцент2 5" xfId="402"/>
    <cellStyle name="40% - Акцент2 5 10" xfId="4575"/>
    <cellStyle name="40% - Акцент2 5 11" xfId="4576"/>
    <cellStyle name="40% - Акцент2 5 12" xfId="4577"/>
    <cellStyle name="40% - Акцент2 5 13" xfId="4578"/>
    <cellStyle name="40% - Акцент2 5 14" xfId="4579"/>
    <cellStyle name="40% - Акцент2 5 2" xfId="403"/>
    <cellStyle name="40% - Акцент2 5 3" xfId="404"/>
    <cellStyle name="40% - Акцент2 5 4" xfId="4580"/>
    <cellStyle name="40% - Акцент2 5 5" xfId="4581"/>
    <cellStyle name="40% - Акцент2 5 6" xfId="4582"/>
    <cellStyle name="40% - Акцент2 5 7" xfId="4583"/>
    <cellStyle name="40% - Акцент2 5 8" xfId="4584"/>
    <cellStyle name="40% - Акцент2 5 9" xfId="4585"/>
    <cellStyle name="40% - Акцент2 6" xfId="405"/>
    <cellStyle name="40% - Акцент2 6 10" xfId="4586"/>
    <cellStyle name="40% - Акцент2 6 11" xfId="4587"/>
    <cellStyle name="40% - Акцент2 6 12" xfId="4588"/>
    <cellStyle name="40% - Акцент2 6 13" xfId="4589"/>
    <cellStyle name="40% - Акцент2 6 14" xfId="4590"/>
    <cellStyle name="40% - Акцент2 6 2" xfId="406"/>
    <cellStyle name="40% - Акцент2 6 3" xfId="407"/>
    <cellStyle name="40% - Акцент2 6 4" xfId="4591"/>
    <cellStyle name="40% - Акцент2 6 5" xfId="4592"/>
    <cellStyle name="40% - Акцент2 6 6" xfId="4593"/>
    <cellStyle name="40% - Акцент2 6 7" xfId="4594"/>
    <cellStyle name="40% - Акцент2 6 8" xfId="4595"/>
    <cellStyle name="40% - Акцент2 6 9" xfId="4596"/>
    <cellStyle name="40% - Акцент2 7" xfId="408"/>
    <cellStyle name="40% - Акцент2 7 10" xfId="4597"/>
    <cellStyle name="40% - Акцент2 7 11" xfId="4598"/>
    <cellStyle name="40% - Акцент2 7 12" xfId="4599"/>
    <cellStyle name="40% - Акцент2 7 13" xfId="4600"/>
    <cellStyle name="40% - Акцент2 7 14" xfId="4601"/>
    <cellStyle name="40% - Акцент2 7 2" xfId="409"/>
    <cellStyle name="40% - Акцент2 7 3" xfId="410"/>
    <cellStyle name="40% - Акцент2 7 4" xfId="4602"/>
    <cellStyle name="40% - Акцент2 7 5" xfId="4603"/>
    <cellStyle name="40% - Акцент2 7 6" xfId="4604"/>
    <cellStyle name="40% - Акцент2 7 7" xfId="4605"/>
    <cellStyle name="40% - Акцент2 7 8" xfId="4606"/>
    <cellStyle name="40% - Акцент2 7 9" xfId="4607"/>
    <cellStyle name="40% - Акцент2 8" xfId="411"/>
    <cellStyle name="40% - Акцент2 8 10" xfId="4608"/>
    <cellStyle name="40% - Акцент2 8 11" xfId="4609"/>
    <cellStyle name="40% - Акцент2 8 12" xfId="4610"/>
    <cellStyle name="40% - Акцент2 8 13" xfId="4611"/>
    <cellStyle name="40% - Акцент2 8 14" xfId="4612"/>
    <cellStyle name="40% - Акцент2 8 2" xfId="412"/>
    <cellStyle name="40% - Акцент2 8 3" xfId="413"/>
    <cellStyle name="40% - Акцент2 8 4" xfId="4613"/>
    <cellStyle name="40% - Акцент2 8 5" xfId="4614"/>
    <cellStyle name="40% - Акцент2 8 6" xfId="4615"/>
    <cellStyle name="40% - Акцент2 8 7" xfId="4616"/>
    <cellStyle name="40% - Акцент2 8 8" xfId="4617"/>
    <cellStyle name="40% - Акцент2 8 9" xfId="4618"/>
    <cellStyle name="40% - Акцент2 9" xfId="414"/>
    <cellStyle name="40% - Акцент2 9 10" xfId="4619"/>
    <cellStyle name="40% - Акцент2 9 11" xfId="4620"/>
    <cellStyle name="40% - Акцент2 9 12" xfId="4621"/>
    <cellStyle name="40% - Акцент2 9 13" xfId="4622"/>
    <cellStyle name="40% - Акцент2 9 14" xfId="4623"/>
    <cellStyle name="40% - Акцент2 9 2" xfId="415"/>
    <cellStyle name="40% - Акцент2 9 3" xfId="416"/>
    <cellStyle name="40% - Акцент2 9 4" xfId="4624"/>
    <cellStyle name="40% - Акцент2 9 5" xfId="4625"/>
    <cellStyle name="40% - Акцент2 9 6" xfId="4626"/>
    <cellStyle name="40% - Акцент2 9 7" xfId="4627"/>
    <cellStyle name="40% - Акцент2 9 8" xfId="4628"/>
    <cellStyle name="40% - Акцент2 9 9" xfId="4629"/>
    <cellStyle name="40% - Акцент3 10" xfId="417"/>
    <cellStyle name="40% - Акцент3 10 10" xfId="4630"/>
    <cellStyle name="40% - Акцент3 10 11" xfId="4631"/>
    <cellStyle name="40% - Акцент3 10 12" xfId="4632"/>
    <cellStyle name="40% - Акцент3 10 13" xfId="4633"/>
    <cellStyle name="40% - Акцент3 10 14" xfId="4634"/>
    <cellStyle name="40% - Акцент3 10 2" xfId="418"/>
    <cellStyle name="40% - Акцент3 10 3" xfId="419"/>
    <cellStyle name="40% - Акцент3 10 4" xfId="4635"/>
    <cellStyle name="40% - Акцент3 10 5" xfId="4636"/>
    <cellStyle name="40% - Акцент3 10 6" xfId="4637"/>
    <cellStyle name="40% - Акцент3 10 7" xfId="4638"/>
    <cellStyle name="40% - Акцент3 10 8" xfId="4639"/>
    <cellStyle name="40% - Акцент3 10 9" xfId="4640"/>
    <cellStyle name="40% - Акцент3 11" xfId="420"/>
    <cellStyle name="40% - Акцент3 11 10" xfId="4641"/>
    <cellStyle name="40% - Акцент3 11 11" xfId="4642"/>
    <cellStyle name="40% - Акцент3 11 12" xfId="4643"/>
    <cellStyle name="40% - Акцент3 11 13" xfId="4644"/>
    <cellStyle name="40% - Акцент3 11 14" xfId="4645"/>
    <cellStyle name="40% - Акцент3 11 2" xfId="421"/>
    <cellStyle name="40% - Акцент3 11 3" xfId="422"/>
    <cellStyle name="40% - Акцент3 11 4" xfId="4646"/>
    <cellStyle name="40% - Акцент3 11 5" xfId="4647"/>
    <cellStyle name="40% - Акцент3 11 6" xfId="4648"/>
    <cellStyle name="40% - Акцент3 11 7" xfId="4649"/>
    <cellStyle name="40% - Акцент3 11 8" xfId="4650"/>
    <cellStyle name="40% - Акцент3 11 9" xfId="4651"/>
    <cellStyle name="40% - Акцент3 12" xfId="423"/>
    <cellStyle name="40% - Акцент3 12 10" xfId="4652"/>
    <cellStyle name="40% - Акцент3 12 11" xfId="4653"/>
    <cellStyle name="40% - Акцент3 12 12" xfId="4654"/>
    <cellStyle name="40% - Акцент3 12 13" xfId="4655"/>
    <cellStyle name="40% - Акцент3 12 14" xfId="4656"/>
    <cellStyle name="40% - Акцент3 12 2" xfId="424"/>
    <cellStyle name="40% - Акцент3 12 3" xfId="425"/>
    <cellStyle name="40% - Акцент3 12 4" xfId="4657"/>
    <cellStyle name="40% - Акцент3 12 5" xfId="4658"/>
    <cellStyle name="40% - Акцент3 12 6" xfId="4659"/>
    <cellStyle name="40% - Акцент3 12 7" xfId="4660"/>
    <cellStyle name="40% - Акцент3 12 8" xfId="4661"/>
    <cellStyle name="40% - Акцент3 12 9" xfId="4662"/>
    <cellStyle name="40% - Акцент3 13" xfId="426"/>
    <cellStyle name="40% - Акцент3 13 10" xfId="4663"/>
    <cellStyle name="40% - Акцент3 13 11" xfId="4664"/>
    <cellStyle name="40% - Акцент3 13 12" xfId="4665"/>
    <cellStyle name="40% - Акцент3 13 13" xfId="4666"/>
    <cellStyle name="40% - Акцент3 13 14" xfId="4667"/>
    <cellStyle name="40% - Акцент3 13 2" xfId="427"/>
    <cellStyle name="40% - Акцент3 13 3" xfId="428"/>
    <cellStyle name="40% - Акцент3 13 4" xfId="4668"/>
    <cellStyle name="40% - Акцент3 13 5" xfId="4669"/>
    <cellStyle name="40% - Акцент3 13 6" xfId="4670"/>
    <cellStyle name="40% - Акцент3 13 7" xfId="4671"/>
    <cellStyle name="40% - Акцент3 13 8" xfId="4672"/>
    <cellStyle name="40% - Акцент3 13 9" xfId="4673"/>
    <cellStyle name="40% - Акцент3 14" xfId="429"/>
    <cellStyle name="40% - Акцент3 14 10" xfId="4674"/>
    <cellStyle name="40% - Акцент3 14 11" xfId="4675"/>
    <cellStyle name="40% - Акцент3 14 12" xfId="4676"/>
    <cellStyle name="40% - Акцент3 14 13" xfId="4677"/>
    <cellStyle name="40% - Акцент3 14 14" xfId="4678"/>
    <cellStyle name="40% - Акцент3 14 2" xfId="430"/>
    <cellStyle name="40% - Акцент3 14 3" xfId="431"/>
    <cellStyle name="40% - Акцент3 14 4" xfId="4679"/>
    <cellStyle name="40% - Акцент3 14 5" xfId="4680"/>
    <cellStyle name="40% - Акцент3 14 6" xfId="4681"/>
    <cellStyle name="40% - Акцент3 14 7" xfId="4682"/>
    <cellStyle name="40% - Акцент3 14 8" xfId="4683"/>
    <cellStyle name="40% - Акцент3 14 9" xfId="4684"/>
    <cellStyle name="40% - Акцент3 15" xfId="432"/>
    <cellStyle name="40% - Акцент3 15 10" xfId="4685"/>
    <cellStyle name="40% - Акцент3 15 11" xfId="4686"/>
    <cellStyle name="40% - Акцент3 15 12" xfId="4687"/>
    <cellStyle name="40% - Акцент3 15 13" xfId="4688"/>
    <cellStyle name="40% - Акцент3 15 14" xfId="4689"/>
    <cellStyle name="40% - Акцент3 15 2" xfId="433"/>
    <cellStyle name="40% - Акцент3 15 3" xfId="434"/>
    <cellStyle name="40% - Акцент3 15 4" xfId="4690"/>
    <cellStyle name="40% - Акцент3 15 5" xfId="4691"/>
    <cellStyle name="40% - Акцент3 15 6" xfId="4692"/>
    <cellStyle name="40% - Акцент3 15 7" xfId="4693"/>
    <cellStyle name="40% - Акцент3 15 8" xfId="4694"/>
    <cellStyle name="40% - Акцент3 15 9" xfId="4695"/>
    <cellStyle name="40% - Акцент3 16" xfId="435"/>
    <cellStyle name="40% - Акцент3 16 10" xfId="4696"/>
    <cellStyle name="40% - Акцент3 16 11" xfId="4697"/>
    <cellStyle name="40% - Акцент3 16 12" xfId="4698"/>
    <cellStyle name="40% - Акцент3 16 13" xfId="4699"/>
    <cellStyle name="40% - Акцент3 16 14" xfId="4700"/>
    <cellStyle name="40% - Акцент3 16 2" xfId="436"/>
    <cellStyle name="40% - Акцент3 16 3" xfId="437"/>
    <cellStyle name="40% - Акцент3 16 4" xfId="4701"/>
    <cellStyle name="40% - Акцент3 16 5" xfId="4702"/>
    <cellStyle name="40% - Акцент3 16 6" xfId="4703"/>
    <cellStyle name="40% - Акцент3 16 7" xfId="4704"/>
    <cellStyle name="40% - Акцент3 16 8" xfId="4705"/>
    <cellStyle name="40% - Акцент3 16 9" xfId="4706"/>
    <cellStyle name="40% - Акцент3 17" xfId="438"/>
    <cellStyle name="40% - Акцент3 17 10" xfId="4707"/>
    <cellStyle name="40% - Акцент3 17 11" xfId="4708"/>
    <cellStyle name="40% - Акцент3 17 12" xfId="4709"/>
    <cellStyle name="40% - Акцент3 17 13" xfId="4710"/>
    <cellStyle name="40% - Акцент3 17 14" xfId="4711"/>
    <cellStyle name="40% - Акцент3 17 2" xfId="439"/>
    <cellStyle name="40% - Акцент3 17 3" xfId="440"/>
    <cellStyle name="40% - Акцент3 17 4" xfId="4712"/>
    <cellStyle name="40% - Акцент3 17 5" xfId="4713"/>
    <cellStyle name="40% - Акцент3 17 6" xfId="4714"/>
    <cellStyle name="40% - Акцент3 17 7" xfId="4715"/>
    <cellStyle name="40% - Акцент3 17 8" xfId="4716"/>
    <cellStyle name="40% - Акцент3 17 9" xfId="4717"/>
    <cellStyle name="40% - Акцент3 18" xfId="441"/>
    <cellStyle name="40% - Акцент3 18 2" xfId="442"/>
    <cellStyle name="40% - Акцент3 19" xfId="443"/>
    <cellStyle name="40% - Акцент3 19 2" xfId="444"/>
    <cellStyle name="40% - Акцент3 2" xfId="445"/>
    <cellStyle name="40% - Акцент3 2 10" xfId="4718"/>
    <cellStyle name="40% - Акцент3 2 11" xfId="4719"/>
    <cellStyle name="40% - Акцент3 2 12" xfId="4720"/>
    <cellStyle name="40% - Акцент3 2 13" xfId="4721"/>
    <cellStyle name="40% - Акцент3 2 14" xfId="4722"/>
    <cellStyle name="40% - Акцент3 2 2" xfId="446"/>
    <cellStyle name="40% - Акцент3 2 3" xfId="447"/>
    <cellStyle name="40% - Акцент3 2 4" xfId="4723"/>
    <cellStyle name="40% - Акцент3 2 5" xfId="4724"/>
    <cellStyle name="40% - Акцент3 2 6" xfId="4725"/>
    <cellStyle name="40% - Акцент3 2 7" xfId="4726"/>
    <cellStyle name="40% - Акцент3 2 8" xfId="4727"/>
    <cellStyle name="40% - Акцент3 2 9" xfId="4728"/>
    <cellStyle name="40% - Акцент3 3" xfId="448"/>
    <cellStyle name="40% - Акцент3 3 10" xfId="4729"/>
    <cellStyle name="40% - Акцент3 3 11" xfId="4730"/>
    <cellStyle name="40% - Акцент3 3 12" xfId="4731"/>
    <cellStyle name="40% - Акцент3 3 13" xfId="4732"/>
    <cellStyle name="40% - Акцент3 3 14" xfId="4733"/>
    <cellStyle name="40% - Акцент3 3 2" xfId="449"/>
    <cellStyle name="40% - Акцент3 3 3" xfId="450"/>
    <cellStyle name="40% - Акцент3 3 4" xfId="4734"/>
    <cellStyle name="40% - Акцент3 3 5" xfId="4735"/>
    <cellStyle name="40% - Акцент3 3 6" xfId="4736"/>
    <cellStyle name="40% - Акцент3 3 7" xfId="4737"/>
    <cellStyle name="40% - Акцент3 3 8" xfId="4738"/>
    <cellStyle name="40% - Акцент3 3 9" xfId="4739"/>
    <cellStyle name="40% - Акцент3 4" xfId="451"/>
    <cellStyle name="40% - Акцент3 4 10" xfId="4740"/>
    <cellStyle name="40% - Акцент3 4 11" xfId="4741"/>
    <cellStyle name="40% - Акцент3 4 12" xfId="4742"/>
    <cellStyle name="40% - Акцент3 4 13" xfId="4743"/>
    <cellStyle name="40% - Акцент3 4 14" xfId="4744"/>
    <cellStyle name="40% - Акцент3 4 2" xfId="452"/>
    <cellStyle name="40% - Акцент3 4 3" xfId="453"/>
    <cellStyle name="40% - Акцент3 4 4" xfId="4745"/>
    <cellStyle name="40% - Акцент3 4 5" xfId="4746"/>
    <cellStyle name="40% - Акцент3 4 6" xfId="4747"/>
    <cellStyle name="40% - Акцент3 4 7" xfId="4748"/>
    <cellStyle name="40% - Акцент3 4 8" xfId="4749"/>
    <cellStyle name="40% - Акцент3 4 9" xfId="4750"/>
    <cellStyle name="40% - Акцент3 5" xfId="454"/>
    <cellStyle name="40% - Акцент3 5 10" xfId="4751"/>
    <cellStyle name="40% - Акцент3 5 11" xfId="4752"/>
    <cellStyle name="40% - Акцент3 5 12" xfId="4753"/>
    <cellStyle name="40% - Акцент3 5 13" xfId="4754"/>
    <cellStyle name="40% - Акцент3 5 14" xfId="4755"/>
    <cellStyle name="40% - Акцент3 5 2" xfId="455"/>
    <cellStyle name="40% - Акцент3 5 3" xfId="456"/>
    <cellStyle name="40% - Акцент3 5 4" xfId="4756"/>
    <cellStyle name="40% - Акцент3 5 5" xfId="4757"/>
    <cellStyle name="40% - Акцент3 5 6" xfId="4758"/>
    <cellStyle name="40% - Акцент3 5 7" xfId="4759"/>
    <cellStyle name="40% - Акцент3 5 8" xfId="4760"/>
    <cellStyle name="40% - Акцент3 5 9" xfId="4761"/>
    <cellStyle name="40% - Акцент3 6" xfId="457"/>
    <cellStyle name="40% - Акцент3 6 10" xfId="4762"/>
    <cellStyle name="40% - Акцент3 6 11" xfId="4763"/>
    <cellStyle name="40% - Акцент3 6 12" xfId="4764"/>
    <cellStyle name="40% - Акцент3 6 13" xfId="4765"/>
    <cellStyle name="40% - Акцент3 6 14" xfId="4766"/>
    <cellStyle name="40% - Акцент3 6 2" xfId="458"/>
    <cellStyle name="40% - Акцент3 6 3" xfId="459"/>
    <cellStyle name="40% - Акцент3 6 4" xfId="4767"/>
    <cellStyle name="40% - Акцент3 6 5" xfId="4768"/>
    <cellStyle name="40% - Акцент3 6 6" xfId="4769"/>
    <cellStyle name="40% - Акцент3 6 7" xfId="4770"/>
    <cellStyle name="40% - Акцент3 6 8" xfId="4771"/>
    <cellStyle name="40% - Акцент3 6 9" xfId="4772"/>
    <cellStyle name="40% - Акцент3 7" xfId="460"/>
    <cellStyle name="40% - Акцент3 7 10" xfId="4773"/>
    <cellStyle name="40% - Акцент3 7 11" xfId="4774"/>
    <cellStyle name="40% - Акцент3 7 12" xfId="4775"/>
    <cellStyle name="40% - Акцент3 7 13" xfId="4776"/>
    <cellStyle name="40% - Акцент3 7 14" xfId="4777"/>
    <cellStyle name="40% - Акцент3 7 2" xfId="461"/>
    <cellStyle name="40% - Акцент3 7 3" xfId="462"/>
    <cellStyle name="40% - Акцент3 7 4" xfId="4778"/>
    <cellStyle name="40% - Акцент3 7 5" xfId="4779"/>
    <cellStyle name="40% - Акцент3 7 6" xfId="4780"/>
    <cellStyle name="40% - Акцент3 7 7" xfId="4781"/>
    <cellStyle name="40% - Акцент3 7 8" xfId="4782"/>
    <cellStyle name="40% - Акцент3 7 9" xfId="4783"/>
    <cellStyle name="40% - Акцент3 8" xfId="463"/>
    <cellStyle name="40% - Акцент3 8 10" xfId="4784"/>
    <cellStyle name="40% - Акцент3 8 11" xfId="4785"/>
    <cellStyle name="40% - Акцент3 8 12" xfId="4786"/>
    <cellStyle name="40% - Акцент3 8 13" xfId="4787"/>
    <cellStyle name="40% - Акцент3 8 14" xfId="4788"/>
    <cellStyle name="40% - Акцент3 8 2" xfId="464"/>
    <cellStyle name="40% - Акцент3 8 3" xfId="465"/>
    <cellStyle name="40% - Акцент3 8 4" xfId="4789"/>
    <cellStyle name="40% - Акцент3 8 5" xfId="4790"/>
    <cellStyle name="40% - Акцент3 8 6" xfId="4791"/>
    <cellStyle name="40% - Акцент3 8 7" xfId="4792"/>
    <cellStyle name="40% - Акцент3 8 8" xfId="4793"/>
    <cellStyle name="40% - Акцент3 8 9" xfId="4794"/>
    <cellStyle name="40% - Акцент3 9" xfId="466"/>
    <cellStyle name="40% - Акцент3 9 10" xfId="4795"/>
    <cellStyle name="40% - Акцент3 9 11" xfId="4796"/>
    <cellStyle name="40% - Акцент3 9 12" xfId="4797"/>
    <cellStyle name="40% - Акцент3 9 13" xfId="4798"/>
    <cellStyle name="40% - Акцент3 9 14" xfId="4799"/>
    <cellStyle name="40% - Акцент3 9 2" xfId="467"/>
    <cellStyle name="40% - Акцент3 9 3" xfId="468"/>
    <cellStyle name="40% - Акцент3 9 4" xfId="4800"/>
    <cellStyle name="40% - Акцент3 9 5" xfId="4801"/>
    <cellStyle name="40% - Акцент3 9 6" xfId="4802"/>
    <cellStyle name="40% - Акцент3 9 7" xfId="4803"/>
    <cellStyle name="40% - Акцент3 9 8" xfId="4804"/>
    <cellStyle name="40% - Акцент3 9 9" xfId="4805"/>
    <cellStyle name="40% - Акцент4 10" xfId="469"/>
    <cellStyle name="40% - Акцент4 10 10" xfId="4806"/>
    <cellStyle name="40% - Акцент4 10 11" xfId="4807"/>
    <cellStyle name="40% - Акцент4 10 12" xfId="4808"/>
    <cellStyle name="40% - Акцент4 10 13" xfId="4809"/>
    <cellStyle name="40% - Акцент4 10 14" xfId="4810"/>
    <cellStyle name="40% - Акцент4 10 2" xfId="470"/>
    <cellStyle name="40% - Акцент4 10 3" xfId="471"/>
    <cellStyle name="40% - Акцент4 10 4" xfId="4811"/>
    <cellStyle name="40% - Акцент4 10 5" xfId="4812"/>
    <cellStyle name="40% - Акцент4 10 6" xfId="4813"/>
    <cellStyle name="40% - Акцент4 10 7" xfId="4814"/>
    <cellStyle name="40% - Акцент4 10 8" xfId="4815"/>
    <cellStyle name="40% - Акцент4 10 9" xfId="4816"/>
    <cellStyle name="40% - Акцент4 11" xfId="472"/>
    <cellStyle name="40% - Акцент4 11 10" xfId="4817"/>
    <cellStyle name="40% - Акцент4 11 11" xfId="4818"/>
    <cellStyle name="40% - Акцент4 11 12" xfId="4819"/>
    <cellStyle name="40% - Акцент4 11 13" xfId="4820"/>
    <cellStyle name="40% - Акцент4 11 14" xfId="4821"/>
    <cellStyle name="40% - Акцент4 11 2" xfId="473"/>
    <cellStyle name="40% - Акцент4 11 3" xfId="474"/>
    <cellStyle name="40% - Акцент4 11 4" xfId="4822"/>
    <cellStyle name="40% - Акцент4 11 5" xfId="4823"/>
    <cellStyle name="40% - Акцент4 11 6" xfId="4824"/>
    <cellStyle name="40% - Акцент4 11 7" xfId="4825"/>
    <cellStyle name="40% - Акцент4 11 8" xfId="4826"/>
    <cellStyle name="40% - Акцент4 11 9" xfId="4827"/>
    <cellStyle name="40% - Акцент4 12" xfId="475"/>
    <cellStyle name="40% - Акцент4 12 10" xfId="4828"/>
    <cellStyle name="40% - Акцент4 12 11" xfId="4829"/>
    <cellStyle name="40% - Акцент4 12 12" xfId="4830"/>
    <cellStyle name="40% - Акцент4 12 13" xfId="4831"/>
    <cellStyle name="40% - Акцент4 12 14" xfId="4832"/>
    <cellStyle name="40% - Акцент4 12 2" xfId="476"/>
    <cellStyle name="40% - Акцент4 12 3" xfId="477"/>
    <cellStyle name="40% - Акцент4 12 4" xfId="4833"/>
    <cellStyle name="40% - Акцент4 12 5" xfId="4834"/>
    <cellStyle name="40% - Акцент4 12 6" xfId="4835"/>
    <cellStyle name="40% - Акцент4 12 7" xfId="4836"/>
    <cellStyle name="40% - Акцент4 12 8" xfId="4837"/>
    <cellStyle name="40% - Акцент4 12 9" xfId="4838"/>
    <cellStyle name="40% - Акцент4 13" xfId="478"/>
    <cellStyle name="40% - Акцент4 13 10" xfId="4839"/>
    <cellStyle name="40% - Акцент4 13 11" xfId="4840"/>
    <cellStyle name="40% - Акцент4 13 12" xfId="4841"/>
    <cellStyle name="40% - Акцент4 13 13" xfId="4842"/>
    <cellStyle name="40% - Акцент4 13 14" xfId="4843"/>
    <cellStyle name="40% - Акцент4 13 2" xfId="479"/>
    <cellStyle name="40% - Акцент4 13 3" xfId="480"/>
    <cellStyle name="40% - Акцент4 13 4" xfId="4844"/>
    <cellStyle name="40% - Акцент4 13 5" xfId="4845"/>
    <cellStyle name="40% - Акцент4 13 6" xfId="4846"/>
    <cellStyle name="40% - Акцент4 13 7" xfId="4847"/>
    <cellStyle name="40% - Акцент4 13 8" xfId="4848"/>
    <cellStyle name="40% - Акцент4 13 9" xfId="4849"/>
    <cellStyle name="40% - Акцент4 14" xfId="481"/>
    <cellStyle name="40% - Акцент4 14 10" xfId="4850"/>
    <cellStyle name="40% - Акцент4 14 11" xfId="4851"/>
    <cellStyle name="40% - Акцент4 14 12" xfId="4852"/>
    <cellStyle name="40% - Акцент4 14 13" xfId="4853"/>
    <cellStyle name="40% - Акцент4 14 14" xfId="4854"/>
    <cellStyle name="40% - Акцент4 14 2" xfId="482"/>
    <cellStyle name="40% - Акцент4 14 3" xfId="483"/>
    <cellStyle name="40% - Акцент4 14 4" xfId="4855"/>
    <cellStyle name="40% - Акцент4 14 5" xfId="4856"/>
    <cellStyle name="40% - Акцент4 14 6" xfId="4857"/>
    <cellStyle name="40% - Акцент4 14 7" xfId="4858"/>
    <cellStyle name="40% - Акцент4 14 8" xfId="4859"/>
    <cellStyle name="40% - Акцент4 14 9" xfId="4860"/>
    <cellStyle name="40% - Акцент4 15" xfId="484"/>
    <cellStyle name="40% - Акцент4 15 10" xfId="4861"/>
    <cellStyle name="40% - Акцент4 15 11" xfId="4862"/>
    <cellStyle name="40% - Акцент4 15 12" xfId="4863"/>
    <cellStyle name="40% - Акцент4 15 13" xfId="4864"/>
    <cellStyle name="40% - Акцент4 15 14" xfId="4865"/>
    <cellStyle name="40% - Акцент4 15 2" xfId="485"/>
    <cellStyle name="40% - Акцент4 15 3" xfId="486"/>
    <cellStyle name="40% - Акцент4 15 4" xfId="4866"/>
    <cellStyle name="40% - Акцент4 15 5" xfId="4867"/>
    <cellStyle name="40% - Акцент4 15 6" xfId="4868"/>
    <cellStyle name="40% - Акцент4 15 7" xfId="4869"/>
    <cellStyle name="40% - Акцент4 15 8" xfId="4870"/>
    <cellStyle name="40% - Акцент4 15 9" xfId="4871"/>
    <cellStyle name="40% - Акцент4 16" xfId="487"/>
    <cellStyle name="40% - Акцент4 16 10" xfId="4872"/>
    <cellStyle name="40% - Акцент4 16 11" xfId="4873"/>
    <cellStyle name="40% - Акцент4 16 12" xfId="4874"/>
    <cellStyle name="40% - Акцент4 16 13" xfId="4875"/>
    <cellStyle name="40% - Акцент4 16 14" xfId="4876"/>
    <cellStyle name="40% - Акцент4 16 2" xfId="488"/>
    <cellStyle name="40% - Акцент4 16 3" xfId="489"/>
    <cellStyle name="40% - Акцент4 16 4" xfId="4877"/>
    <cellStyle name="40% - Акцент4 16 5" xfId="4878"/>
    <cellStyle name="40% - Акцент4 16 6" xfId="4879"/>
    <cellStyle name="40% - Акцент4 16 7" xfId="4880"/>
    <cellStyle name="40% - Акцент4 16 8" xfId="4881"/>
    <cellStyle name="40% - Акцент4 16 9" xfId="4882"/>
    <cellStyle name="40% - Акцент4 17" xfId="490"/>
    <cellStyle name="40% - Акцент4 17 10" xfId="4883"/>
    <cellStyle name="40% - Акцент4 17 11" xfId="4884"/>
    <cellStyle name="40% - Акцент4 17 12" xfId="4885"/>
    <cellStyle name="40% - Акцент4 17 13" xfId="4886"/>
    <cellStyle name="40% - Акцент4 17 14" xfId="4887"/>
    <cellStyle name="40% - Акцент4 17 2" xfId="491"/>
    <cellStyle name="40% - Акцент4 17 3" xfId="492"/>
    <cellStyle name="40% - Акцент4 17 4" xfId="4888"/>
    <cellStyle name="40% - Акцент4 17 5" xfId="4889"/>
    <cellStyle name="40% - Акцент4 17 6" xfId="4890"/>
    <cellStyle name="40% - Акцент4 17 7" xfId="4891"/>
    <cellStyle name="40% - Акцент4 17 8" xfId="4892"/>
    <cellStyle name="40% - Акцент4 17 9" xfId="4893"/>
    <cellStyle name="40% - Акцент4 18" xfId="493"/>
    <cellStyle name="40% - Акцент4 18 2" xfId="494"/>
    <cellStyle name="40% - Акцент4 19" xfId="495"/>
    <cellStyle name="40% - Акцент4 19 2" xfId="496"/>
    <cellStyle name="40% - Акцент4 2" xfId="497"/>
    <cellStyle name="40% - Акцент4 2 10" xfId="4894"/>
    <cellStyle name="40% - Акцент4 2 11" xfId="4895"/>
    <cellStyle name="40% - Акцент4 2 12" xfId="4896"/>
    <cellStyle name="40% - Акцент4 2 13" xfId="4897"/>
    <cellStyle name="40% - Акцент4 2 14" xfId="4898"/>
    <cellStyle name="40% - Акцент4 2 2" xfId="498"/>
    <cellStyle name="40% - Акцент4 2 3" xfId="499"/>
    <cellStyle name="40% - Акцент4 2 4" xfId="4899"/>
    <cellStyle name="40% - Акцент4 2 5" xfId="4900"/>
    <cellStyle name="40% - Акцент4 2 6" xfId="4901"/>
    <cellStyle name="40% - Акцент4 2 7" xfId="4902"/>
    <cellStyle name="40% - Акцент4 2 8" xfId="4903"/>
    <cellStyle name="40% - Акцент4 2 9" xfId="4904"/>
    <cellStyle name="40% - Акцент4 3" xfId="500"/>
    <cellStyle name="40% - Акцент4 3 10" xfId="4905"/>
    <cellStyle name="40% - Акцент4 3 11" xfId="4906"/>
    <cellStyle name="40% - Акцент4 3 12" xfId="4907"/>
    <cellStyle name="40% - Акцент4 3 13" xfId="4908"/>
    <cellStyle name="40% - Акцент4 3 14" xfId="4909"/>
    <cellStyle name="40% - Акцент4 3 2" xfId="501"/>
    <cellStyle name="40% - Акцент4 3 3" xfId="502"/>
    <cellStyle name="40% - Акцент4 3 4" xfId="4910"/>
    <cellStyle name="40% - Акцент4 3 5" xfId="4911"/>
    <cellStyle name="40% - Акцент4 3 6" xfId="4912"/>
    <cellStyle name="40% - Акцент4 3 7" xfId="4913"/>
    <cellStyle name="40% - Акцент4 3 8" xfId="4914"/>
    <cellStyle name="40% - Акцент4 3 9" xfId="4915"/>
    <cellStyle name="40% - Акцент4 4" xfId="503"/>
    <cellStyle name="40% - Акцент4 4 10" xfId="4916"/>
    <cellStyle name="40% - Акцент4 4 11" xfId="4917"/>
    <cellStyle name="40% - Акцент4 4 12" xfId="4918"/>
    <cellStyle name="40% - Акцент4 4 13" xfId="4919"/>
    <cellStyle name="40% - Акцент4 4 14" xfId="4920"/>
    <cellStyle name="40% - Акцент4 4 2" xfId="504"/>
    <cellStyle name="40% - Акцент4 4 3" xfId="505"/>
    <cellStyle name="40% - Акцент4 4 4" xfId="4921"/>
    <cellStyle name="40% - Акцент4 4 5" xfId="4922"/>
    <cellStyle name="40% - Акцент4 4 6" xfId="4923"/>
    <cellStyle name="40% - Акцент4 4 7" xfId="4924"/>
    <cellStyle name="40% - Акцент4 4 8" xfId="4925"/>
    <cellStyle name="40% - Акцент4 4 9" xfId="4926"/>
    <cellStyle name="40% - Акцент4 5" xfId="506"/>
    <cellStyle name="40% - Акцент4 5 10" xfId="4927"/>
    <cellStyle name="40% - Акцент4 5 11" xfId="4928"/>
    <cellStyle name="40% - Акцент4 5 12" xfId="4929"/>
    <cellStyle name="40% - Акцент4 5 13" xfId="4930"/>
    <cellStyle name="40% - Акцент4 5 14" xfId="4931"/>
    <cellStyle name="40% - Акцент4 5 2" xfId="507"/>
    <cellStyle name="40% - Акцент4 5 3" xfId="508"/>
    <cellStyle name="40% - Акцент4 5 4" xfId="4932"/>
    <cellStyle name="40% - Акцент4 5 5" xfId="4933"/>
    <cellStyle name="40% - Акцент4 5 6" xfId="4934"/>
    <cellStyle name="40% - Акцент4 5 7" xfId="4935"/>
    <cellStyle name="40% - Акцент4 5 8" xfId="4936"/>
    <cellStyle name="40% - Акцент4 5 9" xfId="4937"/>
    <cellStyle name="40% - Акцент4 6" xfId="509"/>
    <cellStyle name="40% - Акцент4 6 10" xfId="4938"/>
    <cellStyle name="40% - Акцент4 6 11" xfId="4939"/>
    <cellStyle name="40% - Акцент4 6 12" xfId="4940"/>
    <cellStyle name="40% - Акцент4 6 13" xfId="4941"/>
    <cellStyle name="40% - Акцент4 6 14" xfId="4942"/>
    <cellStyle name="40% - Акцент4 6 2" xfId="510"/>
    <cellStyle name="40% - Акцент4 6 3" xfId="511"/>
    <cellStyle name="40% - Акцент4 6 4" xfId="4943"/>
    <cellStyle name="40% - Акцент4 6 5" xfId="4944"/>
    <cellStyle name="40% - Акцент4 6 6" xfId="4945"/>
    <cellStyle name="40% - Акцент4 6 7" xfId="4946"/>
    <cellStyle name="40% - Акцент4 6 8" xfId="4947"/>
    <cellStyle name="40% - Акцент4 6 9" xfId="4948"/>
    <cellStyle name="40% - Акцент4 7" xfId="512"/>
    <cellStyle name="40% - Акцент4 7 10" xfId="4949"/>
    <cellStyle name="40% - Акцент4 7 11" xfId="4950"/>
    <cellStyle name="40% - Акцент4 7 12" xfId="4951"/>
    <cellStyle name="40% - Акцент4 7 13" xfId="4952"/>
    <cellStyle name="40% - Акцент4 7 14" xfId="4953"/>
    <cellStyle name="40% - Акцент4 7 2" xfId="513"/>
    <cellStyle name="40% - Акцент4 7 3" xfId="514"/>
    <cellStyle name="40% - Акцент4 7 4" xfId="4954"/>
    <cellStyle name="40% - Акцент4 7 5" xfId="4955"/>
    <cellStyle name="40% - Акцент4 7 6" xfId="4956"/>
    <cellStyle name="40% - Акцент4 7 7" xfId="4957"/>
    <cellStyle name="40% - Акцент4 7 8" xfId="4958"/>
    <cellStyle name="40% - Акцент4 7 9" xfId="4959"/>
    <cellStyle name="40% - Акцент4 8" xfId="515"/>
    <cellStyle name="40% - Акцент4 8 10" xfId="4960"/>
    <cellStyle name="40% - Акцент4 8 11" xfId="4961"/>
    <cellStyle name="40% - Акцент4 8 12" xfId="4962"/>
    <cellStyle name="40% - Акцент4 8 13" xfId="4963"/>
    <cellStyle name="40% - Акцент4 8 14" xfId="4964"/>
    <cellStyle name="40% - Акцент4 8 2" xfId="516"/>
    <cellStyle name="40% - Акцент4 8 3" xfId="517"/>
    <cellStyle name="40% - Акцент4 8 4" xfId="4965"/>
    <cellStyle name="40% - Акцент4 8 5" xfId="4966"/>
    <cellStyle name="40% - Акцент4 8 6" xfId="4967"/>
    <cellStyle name="40% - Акцент4 8 7" xfId="4968"/>
    <cellStyle name="40% - Акцент4 8 8" xfId="4969"/>
    <cellStyle name="40% - Акцент4 8 9" xfId="4970"/>
    <cellStyle name="40% - Акцент4 9" xfId="518"/>
    <cellStyle name="40% - Акцент4 9 10" xfId="4971"/>
    <cellStyle name="40% - Акцент4 9 11" xfId="4972"/>
    <cellStyle name="40% - Акцент4 9 12" xfId="4973"/>
    <cellStyle name="40% - Акцент4 9 13" xfId="4974"/>
    <cellStyle name="40% - Акцент4 9 14" xfId="4975"/>
    <cellStyle name="40% - Акцент4 9 2" xfId="519"/>
    <cellStyle name="40% - Акцент4 9 3" xfId="520"/>
    <cellStyle name="40% - Акцент4 9 4" xfId="4976"/>
    <cellStyle name="40% - Акцент4 9 5" xfId="4977"/>
    <cellStyle name="40% - Акцент4 9 6" xfId="4978"/>
    <cellStyle name="40% - Акцент4 9 7" xfId="4979"/>
    <cellStyle name="40% - Акцент4 9 8" xfId="4980"/>
    <cellStyle name="40% - Акцент4 9 9" xfId="4981"/>
    <cellStyle name="40% - Акцент5 10" xfId="521"/>
    <cellStyle name="40% - Акцент5 10 10" xfId="4982"/>
    <cellStyle name="40% - Акцент5 10 11" xfId="4983"/>
    <cellStyle name="40% - Акцент5 10 12" xfId="4984"/>
    <cellStyle name="40% - Акцент5 10 13" xfId="4985"/>
    <cellStyle name="40% - Акцент5 10 14" xfId="4986"/>
    <cellStyle name="40% - Акцент5 10 2" xfId="522"/>
    <cellStyle name="40% - Акцент5 10 3" xfId="523"/>
    <cellStyle name="40% - Акцент5 10 4" xfId="4987"/>
    <cellStyle name="40% - Акцент5 10 5" xfId="4988"/>
    <cellStyle name="40% - Акцент5 10 6" xfId="4989"/>
    <cellStyle name="40% - Акцент5 10 7" xfId="4990"/>
    <cellStyle name="40% - Акцент5 10 8" xfId="4991"/>
    <cellStyle name="40% - Акцент5 10 9" xfId="4992"/>
    <cellStyle name="40% - Акцент5 11" xfId="524"/>
    <cellStyle name="40% - Акцент5 11 10" xfId="4993"/>
    <cellStyle name="40% - Акцент5 11 11" xfId="4994"/>
    <cellStyle name="40% - Акцент5 11 12" xfId="4995"/>
    <cellStyle name="40% - Акцент5 11 13" xfId="4996"/>
    <cellStyle name="40% - Акцент5 11 14" xfId="4997"/>
    <cellStyle name="40% - Акцент5 11 2" xfId="525"/>
    <cellStyle name="40% - Акцент5 11 3" xfId="526"/>
    <cellStyle name="40% - Акцент5 11 4" xfId="4998"/>
    <cellStyle name="40% - Акцент5 11 5" xfId="4999"/>
    <cellStyle name="40% - Акцент5 11 6" xfId="5000"/>
    <cellStyle name="40% - Акцент5 11 7" xfId="5001"/>
    <cellStyle name="40% - Акцент5 11 8" xfId="5002"/>
    <cellStyle name="40% - Акцент5 11 9" xfId="5003"/>
    <cellStyle name="40% - Акцент5 12" xfId="527"/>
    <cellStyle name="40% - Акцент5 12 10" xfId="5004"/>
    <cellStyle name="40% - Акцент5 12 11" xfId="5005"/>
    <cellStyle name="40% - Акцент5 12 12" xfId="5006"/>
    <cellStyle name="40% - Акцент5 12 13" xfId="5007"/>
    <cellStyle name="40% - Акцент5 12 14" xfId="5008"/>
    <cellStyle name="40% - Акцент5 12 2" xfId="528"/>
    <cellStyle name="40% - Акцент5 12 3" xfId="529"/>
    <cellStyle name="40% - Акцент5 12 4" xfId="5009"/>
    <cellStyle name="40% - Акцент5 12 5" xfId="5010"/>
    <cellStyle name="40% - Акцент5 12 6" xfId="5011"/>
    <cellStyle name="40% - Акцент5 12 7" xfId="5012"/>
    <cellStyle name="40% - Акцент5 12 8" xfId="5013"/>
    <cellStyle name="40% - Акцент5 12 9" xfId="5014"/>
    <cellStyle name="40% - Акцент5 13" xfId="530"/>
    <cellStyle name="40% - Акцент5 13 10" xfId="5015"/>
    <cellStyle name="40% - Акцент5 13 11" xfId="5016"/>
    <cellStyle name="40% - Акцент5 13 12" xfId="5017"/>
    <cellStyle name="40% - Акцент5 13 13" xfId="5018"/>
    <cellStyle name="40% - Акцент5 13 14" xfId="5019"/>
    <cellStyle name="40% - Акцент5 13 2" xfId="531"/>
    <cellStyle name="40% - Акцент5 13 3" xfId="532"/>
    <cellStyle name="40% - Акцент5 13 4" xfId="5020"/>
    <cellStyle name="40% - Акцент5 13 5" xfId="5021"/>
    <cellStyle name="40% - Акцент5 13 6" xfId="5022"/>
    <cellStyle name="40% - Акцент5 13 7" xfId="5023"/>
    <cellStyle name="40% - Акцент5 13 8" xfId="5024"/>
    <cellStyle name="40% - Акцент5 13 9" xfId="5025"/>
    <cellStyle name="40% - Акцент5 14" xfId="533"/>
    <cellStyle name="40% - Акцент5 14 10" xfId="5026"/>
    <cellStyle name="40% - Акцент5 14 11" xfId="5027"/>
    <cellStyle name="40% - Акцент5 14 12" xfId="5028"/>
    <cellStyle name="40% - Акцент5 14 13" xfId="5029"/>
    <cellStyle name="40% - Акцент5 14 14" xfId="5030"/>
    <cellStyle name="40% - Акцент5 14 2" xfId="534"/>
    <cellStyle name="40% - Акцент5 14 3" xfId="535"/>
    <cellStyle name="40% - Акцент5 14 4" xfId="5031"/>
    <cellStyle name="40% - Акцент5 14 5" xfId="5032"/>
    <cellStyle name="40% - Акцент5 14 6" xfId="5033"/>
    <cellStyle name="40% - Акцент5 14 7" xfId="5034"/>
    <cellStyle name="40% - Акцент5 14 8" xfId="5035"/>
    <cellStyle name="40% - Акцент5 14 9" xfId="5036"/>
    <cellStyle name="40% - Акцент5 15" xfId="536"/>
    <cellStyle name="40% - Акцент5 15 10" xfId="5037"/>
    <cellStyle name="40% - Акцент5 15 11" xfId="5038"/>
    <cellStyle name="40% - Акцент5 15 12" xfId="5039"/>
    <cellStyle name="40% - Акцент5 15 13" xfId="5040"/>
    <cellStyle name="40% - Акцент5 15 14" xfId="5041"/>
    <cellStyle name="40% - Акцент5 15 2" xfId="537"/>
    <cellStyle name="40% - Акцент5 15 3" xfId="538"/>
    <cellStyle name="40% - Акцент5 15 4" xfId="5042"/>
    <cellStyle name="40% - Акцент5 15 5" xfId="5043"/>
    <cellStyle name="40% - Акцент5 15 6" xfId="5044"/>
    <cellStyle name="40% - Акцент5 15 7" xfId="5045"/>
    <cellStyle name="40% - Акцент5 15 8" xfId="5046"/>
    <cellStyle name="40% - Акцент5 15 9" xfId="5047"/>
    <cellStyle name="40% - Акцент5 16" xfId="539"/>
    <cellStyle name="40% - Акцент5 16 10" xfId="5048"/>
    <cellStyle name="40% - Акцент5 16 11" xfId="5049"/>
    <cellStyle name="40% - Акцент5 16 12" xfId="5050"/>
    <cellStyle name="40% - Акцент5 16 13" xfId="5051"/>
    <cellStyle name="40% - Акцент5 16 14" xfId="5052"/>
    <cellStyle name="40% - Акцент5 16 2" xfId="540"/>
    <cellStyle name="40% - Акцент5 16 3" xfId="541"/>
    <cellStyle name="40% - Акцент5 16 4" xfId="5053"/>
    <cellStyle name="40% - Акцент5 16 5" xfId="5054"/>
    <cellStyle name="40% - Акцент5 16 6" xfId="5055"/>
    <cellStyle name="40% - Акцент5 16 7" xfId="5056"/>
    <cellStyle name="40% - Акцент5 16 8" xfId="5057"/>
    <cellStyle name="40% - Акцент5 16 9" xfId="5058"/>
    <cellStyle name="40% - Акцент5 17" xfId="542"/>
    <cellStyle name="40% - Акцент5 17 10" xfId="5059"/>
    <cellStyle name="40% - Акцент5 17 11" xfId="5060"/>
    <cellStyle name="40% - Акцент5 17 12" xfId="5061"/>
    <cellStyle name="40% - Акцент5 17 13" xfId="5062"/>
    <cellStyle name="40% - Акцент5 17 14" xfId="5063"/>
    <cellStyle name="40% - Акцент5 17 2" xfId="543"/>
    <cellStyle name="40% - Акцент5 17 3" xfId="544"/>
    <cellStyle name="40% - Акцент5 17 4" xfId="5064"/>
    <cellStyle name="40% - Акцент5 17 5" xfId="5065"/>
    <cellStyle name="40% - Акцент5 17 6" xfId="5066"/>
    <cellStyle name="40% - Акцент5 17 7" xfId="5067"/>
    <cellStyle name="40% - Акцент5 17 8" xfId="5068"/>
    <cellStyle name="40% - Акцент5 17 9" xfId="5069"/>
    <cellStyle name="40% - Акцент5 18" xfId="545"/>
    <cellStyle name="40% - Акцент5 18 2" xfId="546"/>
    <cellStyle name="40% - Акцент5 19" xfId="547"/>
    <cellStyle name="40% - Акцент5 19 2" xfId="548"/>
    <cellStyle name="40% - Акцент5 2" xfId="549"/>
    <cellStyle name="40% - Акцент5 2 10" xfId="5070"/>
    <cellStyle name="40% - Акцент5 2 11" xfId="5071"/>
    <cellStyle name="40% - Акцент5 2 12" xfId="5072"/>
    <cellStyle name="40% - Акцент5 2 13" xfId="5073"/>
    <cellStyle name="40% - Акцент5 2 14" xfId="5074"/>
    <cellStyle name="40% - Акцент5 2 2" xfId="550"/>
    <cellStyle name="40% - Акцент5 2 3" xfId="551"/>
    <cellStyle name="40% - Акцент5 2 4" xfId="5075"/>
    <cellStyle name="40% - Акцент5 2 5" xfId="5076"/>
    <cellStyle name="40% - Акцент5 2 6" xfId="5077"/>
    <cellStyle name="40% - Акцент5 2 7" xfId="5078"/>
    <cellStyle name="40% - Акцент5 2 8" xfId="5079"/>
    <cellStyle name="40% - Акцент5 2 9" xfId="5080"/>
    <cellStyle name="40% - Акцент5 3" xfId="552"/>
    <cellStyle name="40% - Акцент5 3 10" xfId="5081"/>
    <cellStyle name="40% - Акцент5 3 11" xfId="5082"/>
    <cellStyle name="40% - Акцент5 3 12" xfId="5083"/>
    <cellStyle name="40% - Акцент5 3 13" xfId="5084"/>
    <cellStyle name="40% - Акцент5 3 14" xfId="5085"/>
    <cellStyle name="40% - Акцент5 3 2" xfId="553"/>
    <cellStyle name="40% - Акцент5 3 3" xfId="554"/>
    <cellStyle name="40% - Акцент5 3 4" xfId="5086"/>
    <cellStyle name="40% - Акцент5 3 5" xfId="5087"/>
    <cellStyle name="40% - Акцент5 3 6" xfId="5088"/>
    <cellStyle name="40% - Акцент5 3 7" xfId="5089"/>
    <cellStyle name="40% - Акцент5 3 8" xfId="5090"/>
    <cellStyle name="40% - Акцент5 3 9" xfId="5091"/>
    <cellStyle name="40% - Акцент5 4" xfId="555"/>
    <cellStyle name="40% - Акцент5 4 10" xfId="5092"/>
    <cellStyle name="40% - Акцент5 4 11" xfId="5093"/>
    <cellStyle name="40% - Акцент5 4 12" xfId="5094"/>
    <cellStyle name="40% - Акцент5 4 13" xfId="5095"/>
    <cellStyle name="40% - Акцент5 4 14" xfId="5096"/>
    <cellStyle name="40% - Акцент5 4 2" xfId="556"/>
    <cellStyle name="40% - Акцент5 4 3" xfId="557"/>
    <cellStyle name="40% - Акцент5 4 4" xfId="5097"/>
    <cellStyle name="40% - Акцент5 4 5" xfId="5098"/>
    <cellStyle name="40% - Акцент5 4 6" xfId="5099"/>
    <cellStyle name="40% - Акцент5 4 7" xfId="5100"/>
    <cellStyle name="40% - Акцент5 4 8" xfId="5101"/>
    <cellStyle name="40% - Акцент5 4 9" xfId="5102"/>
    <cellStyle name="40% - Акцент5 5" xfId="558"/>
    <cellStyle name="40% - Акцент5 5 10" xfId="5103"/>
    <cellStyle name="40% - Акцент5 5 11" xfId="5104"/>
    <cellStyle name="40% - Акцент5 5 12" xfId="5105"/>
    <cellStyle name="40% - Акцент5 5 13" xfId="5106"/>
    <cellStyle name="40% - Акцент5 5 14" xfId="5107"/>
    <cellStyle name="40% - Акцент5 5 2" xfId="559"/>
    <cellStyle name="40% - Акцент5 5 3" xfId="560"/>
    <cellStyle name="40% - Акцент5 5 4" xfId="5108"/>
    <cellStyle name="40% - Акцент5 5 5" xfId="5109"/>
    <cellStyle name="40% - Акцент5 5 6" xfId="5110"/>
    <cellStyle name="40% - Акцент5 5 7" xfId="5111"/>
    <cellStyle name="40% - Акцент5 5 8" xfId="5112"/>
    <cellStyle name="40% - Акцент5 5 9" xfId="5113"/>
    <cellStyle name="40% - Акцент5 6" xfId="561"/>
    <cellStyle name="40% - Акцент5 6 10" xfId="5114"/>
    <cellStyle name="40% - Акцент5 6 11" xfId="5115"/>
    <cellStyle name="40% - Акцент5 6 12" xfId="5116"/>
    <cellStyle name="40% - Акцент5 6 13" xfId="5117"/>
    <cellStyle name="40% - Акцент5 6 14" xfId="5118"/>
    <cellStyle name="40% - Акцент5 6 2" xfId="562"/>
    <cellStyle name="40% - Акцент5 6 3" xfId="563"/>
    <cellStyle name="40% - Акцент5 6 4" xfId="5119"/>
    <cellStyle name="40% - Акцент5 6 5" xfId="5120"/>
    <cellStyle name="40% - Акцент5 6 6" xfId="5121"/>
    <cellStyle name="40% - Акцент5 6 7" xfId="5122"/>
    <cellStyle name="40% - Акцент5 6 8" xfId="5123"/>
    <cellStyle name="40% - Акцент5 6 9" xfId="5124"/>
    <cellStyle name="40% - Акцент5 7" xfId="564"/>
    <cellStyle name="40% - Акцент5 7 10" xfId="5125"/>
    <cellStyle name="40% - Акцент5 7 11" xfId="5126"/>
    <cellStyle name="40% - Акцент5 7 12" xfId="5127"/>
    <cellStyle name="40% - Акцент5 7 13" xfId="5128"/>
    <cellStyle name="40% - Акцент5 7 14" xfId="5129"/>
    <cellStyle name="40% - Акцент5 7 2" xfId="565"/>
    <cellStyle name="40% - Акцент5 7 3" xfId="566"/>
    <cellStyle name="40% - Акцент5 7 4" xfId="5130"/>
    <cellStyle name="40% - Акцент5 7 5" xfId="5131"/>
    <cellStyle name="40% - Акцент5 7 6" xfId="5132"/>
    <cellStyle name="40% - Акцент5 7 7" xfId="5133"/>
    <cellStyle name="40% - Акцент5 7 8" xfId="5134"/>
    <cellStyle name="40% - Акцент5 7 9" xfId="5135"/>
    <cellStyle name="40% - Акцент5 8" xfId="567"/>
    <cellStyle name="40% - Акцент5 8 10" xfId="5136"/>
    <cellStyle name="40% - Акцент5 8 11" xfId="5137"/>
    <cellStyle name="40% - Акцент5 8 12" xfId="5138"/>
    <cellStyle name="40% - Акцент5 8 13" xfId="5139"/>
    <cellStyle name="40% - Акцент5 8 14" xfId="5140"/>
    <cellStyle name="40% - Акцент5 8 2" xfId="568"/>
    <cellStyle name="40% - Акцент5 8 3" xfId="569"/>
    <cellStyle name="40% - Акцент5 8 4" xfId="5141"/>
    <cellStyle name="40% - Акцент5 8 5" xfId="5142"/>
    <cellStyle name="40% - Акцент5 8 6" xfId="5143"/>
    <cellStyle name="40% - Акцент5 8 7" xfId="5144"/>
    <cellStyle name="40% - Акцент5 8 8" xfId="5145"/>
    <cellStyle name="40% - Акцент5 8 9" xfId="5146"/>
    <cellStyle name="40% - Акцент5 9" xfId="570"/>
    <cellStyle name="40% - Акцент5 9 10" xfId="5147"/>
    <cellStyle name="40% - Акцент5 9 11" xfId="5148"/>
    <cellStyle name="40% - Акцент5 9 12" xfId="5149"/>
    <cellStyle name="40% - Акцент5 9 13" xfId="5150"/>
    <cellStyle name="40% - Акцент5 9 14" xfId="5151"/>
    <cellStyle name="40% - Акцент5 9 2" xfId="571"/>
    <cellStyle name="40% - Акцент5 9 3" xfId="572"/>
    <cellStyle name="40% - Акцент5 9 4" xfId="5152"/>
    <cellStyle name="40% - Акцент5 9 5" xfId="5153"/>
    <cellStyle name="40% - Акцент5 9 6" xfId="5154"/>
    <cellStyle name="40% - Акцент5 9 7" xfId="5155"/>
    <cellStyle name="40% - Акцент5 9 8" xfId="5156"/>
    <cellStyle name="40% - Акцент5 9 9" xfId="5157"/>
    <cellStyle name="40% - Акцент6 10" xfId="573"/>
    <cellStyle name="40% - Акцент6 10 10" xfId="5158"/>
    <cellStyle name="40% - Акцент6 10 11" xfId="5159"/>
    <cellStyle name="40% - Акцент6 10 12" xfId="5160"/>
    <cellStyle name="40% - Акцент6 10 13" xfId="5161"/>
    <cellStyle name="40% - Акцент6 10 14" xfId="5162"/>
    <cellStyle name="40% - Акцент6 10 2" xfId="574"/>
    <cellStyle name="40% - Акцент6 10 3" xfId="575"/>
    <cellStyle name="40% - Акцент6 10 4" xfId="5163"/>
    <cellStyle name="40% - Акцент6 10 5" xfId="5164"/>
    <cellStyle name="40% - Акцент6 10 6" xfId="5165"/>
    <cellStyle name="40% - Акцент6 10 7" xfId="5166"/>
    <cellStyle name="40% - Акцент6 10 8" xfId="5167"/>
    <cellStyle name="40% - Акцент6 10 9" xfId="5168"/>
    <cellStyle name="40% - Акцент6 11" xfId="576"/>
    <cellStyle name="40% - Акцент6 11 10" xfId="5169"/>
    <cellStyle name="40% - Акцент6 11 11" xfId="5170"/>
    <cellStyle name="40% - Акцент6 11 12" xfId="5171"/>
    <cellStyle name="40% - Акцент6 11 13" xfId="5172"/>
    <cellStyle name="40% - Акцент6 11 14" xfId="5173"/>
    <cellStyle name="40% - Акцент6 11 2" xfId="577"/>
    <cellStyle name="40% - Акцент6 11 3" xfId="578"/>
    <cellStyle name="40% - Акцент6 11 4" xfId="5174"/>
    <cellStyle name="40% - Акцент6 11 5" xfId="5175"/>
    <cellStyle name="40% - Акцент6 11 6" xfId="5176"/>
    <cellStyle name="40% - Акцент6 11 7" xfId="5177"/>
    <cellStyle name="40% - Акцент6 11 8" xfId="5178"/>
    <cellStyle name="40% - Акцент6 11 9" xfId="5179"/>
    <cellStyle name="40% - Акцент6 12" xfId="579"/>
    <cellStyle name="40% - Акцент6 12 10" xfId="5180"/>
    <cellStyle name="40% - Акцент6 12 11" xfId="5181"/>
    <cellStyle name="40% - Акцент6 12 12" xfId="5182"/>
    <cellStyle name="40% - Акцент6 12 13" xfId="5183"/>
    <cellStyle name="40% - Акцент6 12 14" xfId="5184"/>
    <cellStyle name="40% - Акцент6 12 2" xfId="580"/>
    <cellStyle name="40% - Акцент6 12 3" xfId="581"/>
    <cellStyle name="40% - Акцент6 12 4" xfId="5185"/>
    <cellStyle name="40% - Акцент6 12 5" xfId="5186"/>
    <cellStyle name="40% - Акцент6 12 6" xfId="5187"/>
    <cellStyle name="40% - Акцент6 12 7" xfId="5188"/>
    <cellStyle name="40% - Акцент6 12 8" xfId="5189"/>
    <cellStyle name="40% - Акцент6 12 9" xfId="5190"/>
    <cellStyle name="40% - Акцент6 13" xfId="582"/>
    <cellStyle name="40% - Акцент6 13 10" xfId="5191"/>
    <cellStyle name="40% - Акцент6 13 11" xfId="5192"/>
    <cellStyle name="40% - Акцент6 13 12" xfId="5193"/>
    <cellStyle name="40% - Акцент6 13 13" xfId="5194"/>
    <cellStyle name="40% - Акцент6 13 14" xfId="5195"/>
    <cellStyle name="40% - Акцент6 13 2" xfId="583"/>
    <cellStyle name="40% - Акцент6 13 3" xfId="584"/>
    <cellStyle name="40% - Акцент6 13 4" xfId="5196"/>
    <cellStyle name="40% - Акцент6 13 5" xfId="5197"/>
    <cellStyle name="40% - Акцент6 13 6" xfId="5198"/>
    <cellStyle name="40% - Акцент6 13 7" xfId="5199"/>
    <cellStyle name="40% - Акцент6 13 8" xfId="5200"/>
    <cellStyle name="40% - Акцент6 13 9" xfId="5201"/>
    <cellStyle name="40% - Акцент6 14" xfId="585"/>
    <cellStyle name="40% - Акцент6 14 10" xfId="5202"/>
    <cellStyle name="40% - Акцент6 14 11" xfId="5203"/>
    <cellStyle name="40% - Акцент6 14 12" xfId="5204"/>
    <cellStyle name="40% - Акцент6 14 13" xfId="5205"/>
    <cellStyle name="40% - Акцент6 14 14" xfId="5206"/>
    <cellStyle name="40% - Акцент6 14 2" xfId="586"/>
    <cellStyle name="40% - Акцент6 14 3" xfId="587"/>
    <cellStyle name="40% - Акцент6 14 4" xfId="5207"/>
    <cellStyle name="40% - Акцент6 14 5" xfId="5208"/>
    <cellStyle name="40% - Акцент6 14 6" xfId="5209"/>
    <cellStyle name="40% - Акцент6 14 7" xfId="5210"/>
    <cellStyle name="40% - Акцент6 14 8" xfId="5211"/>
    <cellStyle name="40% - Акцент6 14 9" xfId="5212"/>
    <cellStyle name="40% - Акцент6 15" xfId="588"/>
    <cellStyle name="40% - Акцент6 15 10" xfId="5213"/>
    <cellStyle name="40% - Акцент6 15 11" xfId="5214"/>
    <cellStyle name="40% - Акцент6 15 12" xfId="5215"/>
    <cellStyle name="40% - Акцент6 15 13" xfId="5216"/>
    <cellStyle name="40% - Акцент6 15 14" xfId="5217"/>
    <cellStyle name="40% - Акцент6 15 2" xfId="589"/>
    <cellStyle name="40% - Акцент6 15 3" xfId="590"/>
    <cellStyle name="40% - Акцент6 15 4" xfId="5218"/>
    <cellStyle name="40% - Акцент6 15 5" xfId="5219"/>
    <cellStyle name="40% - Акцент6 15 6" xfId="5220"/>
    <cellStyle name="40% - Акцент6 15 7" xfId="5221"/>
    <cellStyle name="40% - Акцент6 15 8" xfId="5222"/>
    <cellStyle name="40% - Акцент6 15 9" xfId="5223"/>
    <cellStyle name="40% - Акцент6 16" xfId="591"/>
    <cellStyle name="40% - Акцент6 16 10" xfId="5224"/>
    <cellStyle name="40% - Акцент6 16 11" xfId="5225"/>
    <cellStyle name="40% - Акцент6 16 12" xfId="5226"/>
    <cellStyle name="40% - Акцент6 16 13" xfId="5227"/>
    <cellStyle name="40% - Акцент6 16 14" xfId="5228"/>
    <cellStyle name="40% - Акцент6 16 2" xfId="592"/>
    <cellStyle name="40% - Акцент6 16 3" xfId="593"/>
    <cellStyle name="40% - Акцент6 16 4" xfId="5229"/>
    <cellStyle name="40% - Акцент6 16 5" xfId="5230"/>
    <cellStyle name="40% - Акцент6 16 6" xfId="5231"/>
    <cellStyle name="40% - Акцент6 16 7" xfId="5232"/>
    <cellStyle name="40% - Акцент6 16 8" xfId="5233"/>
    <cellStyle name="40% - Акцент6 16 9" xfId="5234"/>
    <cellStyle name="40% - Акцент6 17" xfId="594"/>
    <cellStyle name="40% - Акцент6 17 10" xfId="5235"/>
    <cellStyle name="40% - Акцент6 17 11" xfId="5236"/>
    <cellStyle name="40% - Акцент6 17 12" xfId="5237"/>
    <cellStyle name="40% - Акцент6 17 13" xfId="5238"/>
    <cellStyle name="40% - Акцент6 17 14" xfId="5239"/>
    <cellStyle name="40% - Акцент6 17 2" xfId="595"/>
    <cellStyle name="40% - Акцент6 17 3" xfId="596"/>
    <cellStyle name="40% - Акцент6 17 4" xfId="5240"/>
    <cellStyle name="40% - Акцент6 17 5" xfId="5241"/>
    <cellStyle name="40% - Акцент6 17 6" xfId="5242"/>
    <cellStyle name="40% - Акцент6 17 7" xfId="5243"/>
    <cellStyle name="40% - Акцент6 17 8" xfId="5244"/>
    <cellStyle name="40% - Акцент6 17 9" xfId="5245"/>
    <cellStyle name="40% - Акцент6 18" xfId="597"/>
    <cellStyle name="40% - Акцент6 18 2" xfId="598"/>
    <cellStyle name="40% - Акцент6 19" xfId="599"/>
    <cellStyle name="40% - Акцент6 19 2" xfId="600"/>
    <cellStyle name="40% - Акцент6 2" xfId="601"/>
    <cellStyle name="40% - Акцент6 2 10" xfId="5246"/>
    <cellStyle name="40% - Акцент6 2 11" xfId="5247"/>
    <cellStyle name="40% - Акцент6 2 12" xfId="5248"/>
    <cellStyle name="40% - Акцент6 2 13" xfId="5249"/>
    <cellStyle name="40% - Акцент6 2 14" xfId="5250"/>
    <cellStyle name="40% - Акцент6 2 2" xfId="602"/>
    <cellStyle name="40% - Акцент6 2 3" xfId="603"/>
    <cellStyle name="40% - Акцент6 2 4" xfId="5251"/>
    <cellStyle name="40% - Акцент6 2 5" xfId="5252"/>
    <cellStyle name="40% - Акцент6 2 6" xfId="5253"/>
    <cellStyle name="40% - Акцент6 2 7" xfId="5254"/>
    <cellStyle name="40% - Акцент6 2 8" xfId="5255"/>
    <cellStyle name="40% - Акцент6 2 9" xfId="5256"/>
    <cellStyle name="40% - Акцент6 3" xfId="604"/>
    <cellStyle name="40% - Акцент6 3 10" xfId="5257"/>
    <cellStyle name="40% - Акцент6 3 11" xfId="5258"/>
    <cellStyle name="40% - Акцент6 3 12" xfId="5259"/>
    <cellStyle name="40% - Акцент6 3 13" xfId="5260"/>
    <cellStyle name="40% - Акцент6 3 14" xfId="5261"/>
    <cellStyle name="40% - Акцент6 3 2" xfId="605"/>
    <cellStyle name="40% - Акцент6 3 3" xfId="606"/>
    <cellStyle name="40% - Акцент6 3 4" xfId="5262"/>
    <cellStyle name="40% - Акцент6 3 5" xfId="5263"/>
    <cellStyle name="40% - Акцент6 3 6" xfId="5264"/>
    <cellStyle name="40% - Акцент6 3 7" xfId="5265"/>
    <cellStyle name="40% - Акцент6 3 8" xfId="5266"/>
    <cellStyle name="40% - Акцент6 3 9" xfId="5267"/>
    <cellStyle name="40% - Акцент6 4" xfId="607"/>
    <cellStyle name="40% - Акцент6 4 10" xfId="5268"/>
    <cellStyle name="40% - Акцент6 4 11" xfId="5269"/>
    <cellStyle name="40% - Акцент6 4 12" xfId="5270"/>
    <cellStyle name="40% - Акцент6 4 13" xfId="5271"/>
    <cellStyle name="40% - Акцент6 4 14" xfId="5272"/>
    <cellStyle name="40% - Акцент6 4 2" xfId="608"/>
    <cellStyle name="40% - Акцент6 4 3" xfId="609"/>
    <cellStyle name="40% - Акцент6 4 4" xfId="5273"/>
    <cellStyle name="40% - Акцент6 4 5" xfId="5274"/>
    <cellStyle name="40% - Акцент6 4 6" xfId="5275"/>
    <cellStyle name="40% - Акцент6 4 7" xfId="5276"/>
    <cellStyle name="40% - Акцент6 4 8" xfId="5277"/>
    <cellStyle name="40% - Акцент6 4 9" xfId="5278"/>
    <cellStyle name="40% - Акцент6 5" xfId="610"/>
    <cellStyle name="40% - Акцент6 5 10" xfId="5279"/>
    <cellStyle name="40% - Акцент6 5 11" xfId="5280"/>
    <cellStyle name="40% - Акцент6 5 12" xfId="5281"/>
    <cellStyle name="40% - Акцент6 5 13" xfId="5282"/>
    <cellStyle name="40% - Акцент6 5 14" xfId="5283"/>
    <cellStyle name="40% - Акцент6 5 2" xfId="611"/>
    <cellStyle name="40% - Акцент6 5 3" xfId="612"/>
    <cellStyle name="40% - Акцент6 5 4" xfId="5284"/>
    <cellStyle name="40% - Акцент6 5 5" xfId="5285"/>
    <cellStyle name="40% - Акцент6 5 6" xfId="5286"/>
    <cellStyle name="40% - Акцент6 5 7" xfId="5287"/>
    <cellStyle name="40% - Акцент6 5 8" xfId="5288"/>
    <cellStyle name="40% - Акцент6 5 9" xfId="5289"/>
    <cellStyle name="40% - Акцент6 6" xfId="613"/>
    <cellStyle name="40% - Акцент6 6 10" xfId="5290"/>
    <cellStyle name="40% - Акцент6 6 11" xfId="5291"/>
    <cellStyle name="40% - Акцент6 6 12" xfId="5292"/>
    <cellStyle name="40% - Акцент6 6 13" xfId="5293"/>
    <cellStyle name="40% - Акцент6 6 14" xfId="5294"/>
    <cellStyle name="40% - Акцент6 6 2" xfId="614"/>
    <cellStyle name="40% - Акцент6 6 3" xfId="615"/>
    <cellStyle name="40% - Акцент6 6 4" xfId="5295"/>
    <cellStyle name="40% - Акцент6 6 5" xfId="5296"/>
    <cellStyle name="40% - Акцент6 6 6" xfId="5297"/>
    <cellStyle name="40% - Акцент6 6 7" xfId="5298"/>
    <cellStyle name="40% - Акцент6 6 8" xfId="5299"/>
    <cellStyle name="40% - Акцент6 6 9" xfId="5300"/>
    <cellStyle name="40% - Акцент6 7" xfId="616"/>
    <cellStyle name="40% - Акцент6 7 10" xfId="5301"/>
    <cellStyle name="40% - Акцент6 7 11" xfId="5302"/>
    <cellStyle name="40% - Акцент6 7 12" xfId="5303"/>
    <cellStyle name="40% - Акцент6 7 13" xfId="5304"/>
    <cellStyle name="40% - Акцент6 7 14" xfId="5305"/>
    <cellStyle name="40% - Акцент6 7 2" xfId="617"/>
    <cellStyle name="40% - Акцент6 7 3" xfId="618"/>
    <cellStyle name="40% - Акцент6 7 4" xfId="5306"/>
    <cellStyle name="40% - Акцент6 7 5" xfId="5307"/>
    <cellStyle name="40% - Акцент6 7 6" xfId="5308"/>
    <cellStyle name="40% - Акцент6 7 7" xfId="5309"/>
    <cellStyle name="40% - Акцент6 7 8" xfId="5310"/>
    <cellStyle name="40% - Акцент6 7 9" xfId="5311"/>
    <cellStyle name="40% - Акцент6 8" xfId="619"/>
    <cellStyle name="40% - Акцент6 8 10" xfId="5312"/>
    <cellStyle name="40% - Акцент6 8 11" xfId="5313"/>
    <cellStyle name="40% - Акцент6 8 12" xfId="5314"/>
    <cellStyle name="40% - Акцент6 8 13" xfId="5315"/>
    <cellStyle name="40% - Акцент6 8 14" xfId="5316"/>
    <cellStyle name="40% - Акцент6 8 2" xfId="620"/>
    <cellStyle name="40% - Акцент6 8 3" xfId="621"/>
    <cellStyle name="40% - Акцент6 8 4" xfId="5317"/>
    <cellStyle name="40% - Акцент6 8 5" xfId="5318"/>
    <cellStyle name="40% - Акцент6 8 6" xfId="5319"/>
    <cellStyle name="40% - Акцент6 8 7" xfId="5320"/>
    <cellStyle name="40% - Акцент6 8 8" xfId="5321"/>
    <cellStyle name="40% - Акцент6 8 9" xfId="5322"/>
    <cellStyle name="40% - Акцент6 9" xfId="622"/>
    <cellStyle name="40% - Акцент6 9 10" xfId="5323"/>
    <cellStyle name="40% - Акцент6 9 11" xfId="5324"/>
    <cellStyle name="40% - Акцент6 9 12" xfId="5325"/>
    <cellStyle name="40% - Акцент6 9 13" xfId="5326"/>
    <cellStyle name="40% - Акцент6 9 14" xfId="5327"/>
    <cellStyle name="40% - Акцент6 9 2" xfId="623"/>
    <cellStyle name="40% - Акцент6 9 3" xfId="624"/>
    <cellStyle name="40% - Акцент6 9 4" xfId="5328"/>
    <cellStyle name="40% - Акцент6 9 5" xfId="5329"/>
    <cellStyle name="40% - Акцент6 9 6" xfId="5330"/>
    <cellStyle name="40% - Акцент6 9 7" xfId="5331"/>
    <cellStyle name="40% - Акцент6 9 8" xfId="5332"/>
    <cellStyle name="40% - Акцент6 9 9" xfId="5333"/>
    <cellStyle name="60% - Акцент1 10" xfId="625"/>
    <cellStyle name="60% - Акцент1 10 10" xfId="5334"/>
    <cellStyle name="60% - Акцент1 10 11" xfId="5335"/>
    <cellStyle name="60% - Акцент1 10 12" xfId="5336"/>
    <cellStyle name="60% - Акцент1 10 13" xfId="5337"/>
    <cellStyle name="60% - Акцент1 10 14" xfId="5338"/>
    <cellStyle name="60% - Акцент1 10 2" xfId="626"/>
    <cellStyle name="60% - Акцент1 10 3" xfId="627"/>
    <cellStyle name="60% - Акцент1 10 4" xfId="5339"/>
    <cellStyle name="60% - Акцент1 10 5" xfId="5340"/>
    <cellStyle name="60% - Акцент1 10 6" xfId="5341"/>
    <cellStyle name="60% - Акцент1 10 7" xfId="5342"/>
    <cellStyle name="60% - Акцент1 10 8" xfId="5343"/>
    <cellStyle name="60% - Акцент1 10 9" xfId="5344"/>
    <cellStyle name="60% - Акцент1 11" xfId="628"/>
    <cellStyle name="60% - Акцент1 11 10" xfId="5345"/>
    <cellStyle name="60% - Акцент1 11 11" xfId="5346"/>
    <cellStyle name="60% - Акцент1 11 12" xfId="5347"/>
    <cellStyle name="60% - Акцент1 11 13" xfId="5348"/>
    <cellStyle name="60% - Акцент1 11 14" xfId="5349"/>
    <cellStyle name="60% - Акцент1 11 2" xfId="629"/>
    <cellStyle name="60% - Акцент1 11 3" xfId="630"/>
    <cellStyle name="60% - Акцент1 11 4" xfId="5350"/>
    <cellStyle name="60% - Акцент1 11 5" xfId="5351"/>
    <cellStyle name="60% - Акцент1 11 6" xfId="5352"/>
    <cellStyle name="60% - Акцент1 11 7" xfId="5353"/>
    <cellStyle name="60% - Акцент1 11 8" xfId="5354"/>
    <cellStyle name="60% - Акцент1 11 9" xfId="5355"/>
    <cellStyle name="60% - Акцент1 12" xfId="631"/>
    <cellStyle name="60% - Акцент1 12 10" xfId="5356"/>
    <cellStyle name="60% - Акцент1 12 11" xfId="5357"/>
    <cellStyle name="60% - Акцент1 12 12" xfId="5358"/>
    <cellStyle name="60% - Акцент1 12 13" xfId="5359"/>
    <cellStyle name="60% - Акцент1 12 14" xfId="5360"/>
    <cellStyle name="60% - Акцент1 12 2" xfId="632"/>
    <cellStyle name="60% - Акцент1 12 3" xfId="633"/>
    <cellStyle name="60% - Акцент1 12 4" xfId="5361"/>
    <cellStyle name="60% - Акцент1 12 5" xfId="5362"/>
    <cellStyle name="60% - Акцент1 12 6" xfId="5363"/>
    <cellStyle name="60% - Акцент1 12 7" xfId="5364"/>
    <cellStyle name="60% - Акцент1 12 8" xfId="5365"/>
    <cellStyle name="60% - Акцент1 12 9" xfId="5366"/>
    <cellStyle name="60% - Акцент1 13" xfId="634"/>
    <cellStyle name="60% - Акцент1 13 10" xfId="5367"/>
    <cellStyle name="60% - Акцент1 13 11" xfId="5368"/>
    <cellStyle name="60% - Акцент1 13 12" xfId="5369"/>
    <cellStyle name="60% - Акцент1 13 13" xfId="5370"/>
    <cellStyle name="60% - Акцент1 13 14" xfId="5371"/>
    <cellStyle name="60% - Акцент1 13 2" xfId="635"/>
    <cellStyle name="60% - Акцент1 13 3" xfId="636"/>
    <cellStyle name="60% - Акцент1 13 4" xfId="5372"/>
    <cellStyle name="60% - Акцент1 13 5" xfId="5373"/>
    <cellStyle name="60% - Акцент1 13 6" xfId="5374"/>
    <cellStyle name="60% - Акцент1 13 7" xfId="5375"/>
    <cellStyle name="60% - Акцент1 13 8" xfId="5376"/>
    <cellStyle name="60% - Акцент1 13 9" xfId="5377"/>
    <cellStyle name="60% - Акцент1 14" xfId="637"/>
    <cellStyle name="60% - Акцент1 14 10" xfId="5378"/>
    <cellStyle name="60% - Акцент1 14 11" xfId="5379"/>
    <cellStyle name="60% - Акцент1 14 12" xfId="5380"/>
    <cellStyle name="60% - Акцент1 14 13" xfId="5381"/>
    <cellStyle name="60% - Акцент1 14 14" xfId="5382"/>
    <cellStyle name="60% - Акцент1 14 2" xfId="638"/>
    <cellStyle name="60% - Акцент1 14 3" xfId="639"/>
    <cellStyle name="60% - Акцент1 14 4" xfId="5383"/>
    <cellStyle name="60% - Акцент1 14 5" xfId="5384"/>
    <cellStyle name="60% - Акцент1 14 6" xfId="5385"/>
    <cellStyle name="60% - Акцент1 14 7" xfId="5386"/>
    <cellStyle name="60% - Акцент1 14 8" xfId="5387"/>
    <cellStyle name="60% - Акцент1 14 9" xfId="5388"/>
    <cellStyle name="60% - Акцент1 15" xfId="640"/>
    <cellStyle name="60% - Акцент1 15 10" xfId="5389"/>
    <cellStyle name="60% - Акцент1 15 11" xfId="5390"/>
    <cellStyle name="60% - Акцент1 15 12" xfId="5391"/>
    <cellStyle name="60% - Акцент1 15 13" xfId="5392"/>
    <cellStyle name="60% - Акцент1 15 14" xfId="5393"/>
    <cellStyle name="60% - Акцент1 15 2" xfId="641"/>
    <cellStyle name="60% - Акцент1 15 3" xfId="642"/>
    <cellStyle name="60% - Акцент1 15 4" xfId="5394"/>
    <cellStyle name="60% - Акцент1 15 5" xfId="5395"/>
    <cellStyle name="60% - Акцент1 15 6" xfId="5396"/>
    <cellStyle name="60% - Акцент1 15 7" xfId="5397"/>
    <cellStyle name="60% - Акцент1 15 8" xfId="5398"/>
    <cellStyle name="60% - Акцент1 15 9" xfId="5399"/>
    <cellStyle name="60% - Акцент1 16" xfId="643"/>
    <cellStyle name="60% - Акцент1 16 10" xfId="5400"/>
    <cellStyle name="60% - Акцент1 16 11" xfId="5401"/>
    <cellStyle name="60% - Акцент1 16 12" xfId="5402"/>
    <cellStyle name="60% - Акцент1 16 13" xfId="5403"/>
    <cellStyle name="60% - Акцент1 16 14" xfId="5404"/>
    <cellStyle name="60% - Акцент1 16 2" xfId="644"/>
    <cellStyle name="60% - Акцент1 16 3" xfId="645"/>
    <cellStyle name="60% - Акцент1 16 4" xfId="5405"/>
    <cellStyle name="60% - Акцент1 16 5" xfId="5406"/>
    <cellStyle name="60% - Акцент1 16 6" xfId="5407"/>
    <cellStyle name="60% - Акцент1 16 7" xfId="5408"/>
    <cellStyle name="60% - Акцент1 16 8" xfId="5409"/>
    <cellStyle name="60% - Акцент1 16 9" xfId="5410"/>
    <cellStyle name="60% - Акцент1 17" xfId="646"/>
    <cellStyle name="60% - Акцент1 17 10" xfId="5411"/>
    <cellStyle name="60% - Акцент1 17 11" xfId="5412"/>
    <cellStyle name="60% - Акцент1 17 12" xfId="5413"/>
    <cellStyle name="60% - Акцент1 17 13" xfId="5414"/>
    <cellStyle name="60% - Акцент1 17 14" xfId="5415"/>
    <cellStyle name="60% - Акцент1 17 2" xfId="647"/>
    <cellStyle name="60% - Акцент1 17 3" xfId="648"/>
    <cellStyle name="60% - Акцент1 17 4" xfId="5416"/>
    <cellStyle name="60% - Акцент1 17 5" xfId="5417"/>
    <cellStyle name="60% - Акцент1 17 6" xfId="5418"/>
    <cellStyle name="60% - Акцент1 17 7" xfId="5419"/>
    <cellStyle name="60% - Акцент1 17 8" xfId="5420"/>
    <cellStyle name="60% - Акцент1 17 9" xfId="5421"/>
    <cellStyle name="60% - Акцент1 18" xfId="649"/>
    <cellStyle name="60% - Акцент1 18 2" xfId="650"/>
    <cellStyle name="60% - Акцент1 19" xfId="651"/>
    <cellStyle name="60% - Акцент1 19 2" xfId="652"/>
    <cellStyle name="60% - Акцент1 2" xfId="653"/>
    <cellStyle name="60% - Акцент1 2 10" xfId="5422"/>
    <cellStyle name="60% - Акцент1 2 11" xfId="5423"/>
    <cellStyle name="60% - Акцент1 2 12" xfId="5424"/>
    <cellStyle name="60% - Акцент1 2 13" xfId="5425"/>
    <cellStyle name="60% - Акцент1 2 14" xfId="5426"/>
    <cellStyle name="60% - Акцент1 2 2" xfId="654"/>
    <cellStyle name="60% - Акцент1 2 3" xfId="655"/>
    <cellStyle name="60% - Акцент1 2 4" xfId="5427"/>
    <cellStyle name="60% - Акцент1 2 5" xfId="5428"/>
    <cellStyle name="60% - Акцент1 2 6" xfId="5429"/>
    <cellStyle name="60% - Акцент1 2 7" xfId="5430"/>
    <cellStyle name="60% - Акцент1 2 8" xfId="5431"/>
    <cellStyle name="60% - Акцент1 2 9" xfId="5432"/>
    <cellStyle name="60% - Акцент1 3" xfId="656"/>
    <cellStyle name="60% - Акцент1 3 10" xfId="5433"/>
    <cellStyle name="60% - Акцент1 3 11" xfId="5434"/>
    <cellStyle name="60% - Акцент1 3 12" xfId="5435"/>
    <cellStyle name="60% - Акцент1 3 13" xfId="5436"/>
    <cellStyle name="60% - Акцент1 3 14" xfId="5437"/>
    <cellStyle name="60% - Акцент1 3 2" xfId="657"/>
    <cellStyle name="60% - Акцент1 3 3" xfId="658"/>
    <cellStyle name="60% - Акцент1 3 4" xfId="5438"/>
    <cellStyle name="60% - Акцент1 3 5" xfId="5439"/>
    <cellStyle name="60% - Акцент1 3 6" xfId="5440"/>
    <cellStyle name="60% - Акцент1 3 7" xfId="5441"/>
    <cellStyle name="60% - Акцент1 3 8" xfId="5442"/>
    <cellStyle name="60% - Акцент1 3 9" xfId="5443"/>
    <cellStyle name="60% - Акцент1 4" xfId="659"/>
    <cellStyle name="60% - Акцент1 4 10" xfId="5444"/>
    <cellStyle name="60% - Акцент1 4 11" xfId="5445"/>
    <cellStyle name="60% - Акцент1 4 12" xfId="5446"/>
    <cellStyle name="60% - Акцент1 4 13" xfId="5447"/>
    <cellStyle name="60% - Акцент1 4 14" xfId="5448"/>
    <cellStyle name="60% - Акцент1 4 2" xfId="660"/>
    <cellStyle name="60% - Акцент1 4 3" xfId="661"/>
    <cellStyle name="60% - Акцент1 4 4" xfId="5449"/>
    <cellStyle name="60% - Акцент1 4 5" xfId="5450"/>
    <cellStyle name="60% - Акцент1 4 6" xfId="5451"/>
    <cellStyle name="60% - Акцент1 4 7" xfId="5452"/>
    <cellStyle name="60% - Акцент1 4 8" xfId="5453"/>
    <cellStyle name="60% - Акцент1 4 9" xfId="5454"/>
    <cellStyle name="60% - Акцент1 5" xfId="662"/>
    <cellStyle name="60% - Акцент1 5 10" xfId="5455"/>
    <cellStyle name="60% - Акцент1 5 11" xfId="5456"/>
    <cellStyle name="60% - Акцент1 5 12" xfId="5457"/>
    <cellStyle name="60% - Акцент1 5 13" xfId="5458"/>
    <cellStyle name="60% - Акцент1 5 14" xfId="5459"/>
    <cellStyle name="60% - Акцент1 5 2" xfId="663"/>
    <cellStyle name="60% - Акцент1 5 3" xfId="664"/>
    <cellStyle name="60% - Акцент1 5 4" xfId="5460"/>
    <cellStyle name="60% - Акцент1 5 5" xfId="5461"/>
    <cellStyle name="60% - Акцент1 5 6" xfId="5462"/>
    <cellStyle name="60% - Акцент1 5 7" xfId="5463"/>
    <cellStyle name="60% - Акцент1 5 8" xfId="5464"/>
    <cellStyle name="60% - Акцент1 5 9" xfId="5465"/>
    <cellStyle name="60% - Акцент1 6" xfId="665"/>
    <cellStyle name="60% - Акцент1 6 10" xfId="5466"/>
    <cellStyle name="60% - Акцент1 6 11" xfId="5467"/>
    <cellStyle name="60% - Акцент1 6 12" xfId="5468"/>
    <cellStyle name="60% - Акцент1 6 13" xfId="5469"/>
    <cellStyle name="60% - Акцент1 6 14" xfId="5470"/>
    <cellStyle name="60% - Акцент1 6 2" xfId="666"/>
    <cellStyle name="60% - Акцент1 6 3" xfId="667"/>
    <cellStyle name="60% - Акцент1 6 4" xfId="5471"/>
    <cellStyle name="60% - Акцент1 6 5" xfId="5472"/>
    <cellStyle name="60% - Акцент1 6 6" xfId="5473"/>
    <cellStyle name="60% - Акцент1 6 7" xfId="5474"/>
    <cellStyle name="60% - Акцент1 6 8" xfId="5475"/>
    <cellStyle name="60% - Акцент1 6 9" xfId="5476"/>
    <cellStyle name="60% - Акцент1 7" xfId="668"/>
    <cellStyle name="60% - Акцент1 7 10" xfId="5477"/>
    <cellStyle name="60% - Акцент1 7 11" xfId="5478"/>
    <cellStyle name="60% - Акцент1 7 12" xfId="5479"/>
    <cellStyle name="60% - Акцент1 7 13" xfId="5480"/>
    <cellStyle name="60% - Акцент1 7 14" xfId="5481"/>
    <cellStyle name="60% - Акцент1 7 2" xfId="669"/>
    <cellStyle name="60% - Акцент1 7 3" xfId="670"/>
    <cellStyle name="60% - Акцент1 7 4" xfId="5482"/>
    <cellStyle name="60% - Акцент1 7 5" xfId="5483"/>
    <cellStyle name="60% - Акцент1 7 6" xfId="5484"/>
    <cellStyle name="60% - Акцент1 7 7" xfId="5485"/>
    <cellStyle name="60% - Акцент1 7 8" xfId="5486"/>
    <cellStyle name="60% - Акцент1 7 9" xfId="5487"/>
    <cellStyle name="60% - Акцент1 8" xfId="671"/>
    <cellStyle name="60% - Акцент1 8 10" xfId="5488"/>
    <cellStyle name="60% - Акцент1 8 11" xfId="5489"/>
    <cellStyle name="60% - Акцент1 8 12" xfId="5490"/>
    <cellStyle name="60% - Акцент1 8 13" xfId="5491"/>
    <cellStyle name="60% - Акцент1 8 14" xfId="5492"/>
    <cellStyle name="60% - Акцент1 8 2" xfId="672"/>
    <cellStyle name="60% - Акцент1 8 3" xfId="673"/>
    <cellStyle name="60% - Акцент1 8 4" xfId="5493"/>
    <cellStyle name="60% - Акцент1 8 5" xfId="5494"/>
    <cellStyle name="60% - Акцент1 8 6" xfId="5495"/>
    <cellStyle name="60% - Акцент1 8 7" xfId="5496"/>
    <cellStyle name="60% - Акцент1 8 8" xfId="5497"/>
    <cellStyle name="60% - Акцент1 8 9" xfId="5498"/>
    <cellStyle name="60% - Акцент1 9" xfId="674"/>
    <cellStyle name="60% - Акцент1 9 10" xfId="5499"/>
    <cellStyle name="60% - Акцент1 9 11" xfId="5500"/>
    <cellStyle name="60% - Акцент1 9 12" xfId="5501"/>
    <cellStyle name="60% - Акцент1 9 13" xfId="5502"/>
    <cellStyle name="60% - Акцент1 9 14" xfId="5503"/>
    <cellStyle name="60% - Акцент1 9 2" xfId="675"/>
    <cellStyle name="60% - Акцент1 9 3" xfId="676"/>
    <cellStyle name="60% - Акцент1 9 4" xfId="5504"/>
    <cellStyle name="60% - Акцент1 9 5" xfId="5505"/>
    <cellStyle name="60% - Акцент1 9 6" xfId="5506"/>
    <cellStyle name="60% - Акцент1 9 7" xfId="5507"/>
    <cellStyle name="60% - Акцент1 9 8" xfId="5508"/>
    <cellStyle name="60% - Акцент1 9 9" xfId="5509"/>
    <cellStyle name="60% - Акцент2 10" xfId="677"/>
    <cellStyle name="60% - Акцент2 10 10" xfId="5510"/>
    <cellStyle name="60% - Акцент2 10 11" xfId="5511"/>
    <cellStyle name="60% - Акцент2 10 12" xfId="5512"/>
    <cellStyle name="60% - Акцент2 10 13" xfId="5513"/>
    <cellStyle name="60% - Акцент2 10 14" xfId="5514"/>
    <cellStyle name="60% - Акцент2 10 2" xfId="678"/>
    <cellStyle name="60% - Акцент2 10 3" xfId="679"/>
    <cellStyle name="60% - Акцент2 10 4" xfId="5515"/>
    <cellStyle name="60% - Акцент2 10 5" xfId="5516"/>
    <cellStyle name="60% - Акцент2 10 6" xfId="5517"/>
    <cellStyle name="60% - Акцент2 10 7" xfId="5518"/>
    <cellStyle name="60% - Акцент2 10 8" xfId="5519"/>
    <cellStyle name="60% - Акцент2 10 9" xfId="5520"/>
    <cellStyle name="60% - Акцент2 11" xfId="680"/>
    <cellStyle name="60% - Акцент2 11 10" xfId="5521"/>
    <cellStyle name="60% - Акцент2 11 11" xfId="5522"/>
    <cellStyle name="60% - Акцент2 11 12" xfId="5523"/>
    <cellStyle name="60% - Акцент2 11 13" xfId="5524"/>
    <cellStyle name="60% - Акцент2 11 14" xfId="5525"/>
    <cellStyle name="60% - Акцент2 11 2" xfId="681"/>
    <cellStyle name="60% - Акцент2 11 3" xfId="682"/>
    <cellStyle name="60% - Акцент2 11 4" xfId="5526"/>
    <cellStyle name="60% - Акцент2 11 5" xfId="5527"/>
    <cellStyle name="60% - Акцент2 11 6" xfId="5528"/>
    <cellStyle name="60% - Акцент2 11 7" xfId="5529"/>
    <cellStyle name="60% - Акцент2 11 8" xfId="5530"/>
    <cellStyle name="60% - Акцент2 11 9" xfId="5531"/>
    <cellStyle name="60% - Акцент2 12" xfId="683"/>
    <cellStyle name="60% - Акцент2 12 10" xfId="5532"/>
    <cellStyle name="60% - Акцент2 12 11" xfId="5533"/>
    <cellStyle name="60% - Акцент2 12 12" xfId="5534"/>
    <cellStyle name="60% - Акцент2 12 13" xfId="5535"/>
    <cellStyle name="60% - Акцент2 12 14" xfId="5536"/>
    <cellStyle name="60% - Акцент2 12 2" xfId="684"/>
    <cellStyle name="60% - Акцент2 12 3" xfId="685"/>
    <cellStyle name="60% - Акцент2 12 4" xfId="5537"/>
    <cellStyle name="60% - Акцент2 12 5" xfId="5538"/>
    <cellStyle name="60% - Акцент2 12 6" xfId="5539"/>
    <cellStyle name="60% - Акцент2 12 7" xfId="5540"/>
    <cellStyle name="60% - Акцент2 12 8" xfId="5541"/>
    <cellStyle name="60% - Акцент2 12 9" xfId="5542"/>
    <cellStyle name="60% - Акцент2 13" xfId="686"/>
    <cellStyle name="60% - Акцент2 13 10" xfId="5543"/>
    <cellStyle name="60% - Акцент2 13 11" xfId="5544"/>
    <cellStyle name="60% - Акцент2 13 12" xfId="5545"/>
    <cellStyle name="60% - Акцент2 13 13" xfId="5546"/>
    <cellStyle name="60% - Акцент2 13 14" xfId="5547"/>
    <cellStyle name="60% - Акцент2 13 2" xfId="687"/>
    <cellStyle name="60% - Акцент2 13 3" xfId="688"/>
    <cellStyle name="60% - Акцент2 13 4" xfId="5548"/>
    <cellStyle name="60% - Акцент2 13 5" xfId="5549"/>
    <cellStyle name="60% - Акцент2 13 6" xfId="5550"/>
    <cellStyle name="60% - Акцент2 13 7" xfId="5551"/>
    <cellStyle name="60% - Акцент2 13 8" xfId="5552"/>
    <cellStyle name="60% - Акцент2 13 9" xfId="5553"/>
    <cellStyle name="60% - Акцент2 14" xfId="689"/>
    <cellStyle name="60% - Акцент2 14 10" xfId="5554"/>
    <cellStyle name="60% - Акцент2 14 11" xfId="5555"/>
    <cellStyle name="60% - Акцент2 14 12" xfId="5556"/>
    <cellStyle name="60% - Акцент2 14 13" xfId="5557"/>
    <cellStyle name="60% - Акцент2 14 14" xfId="5558"/>
    <cellStyle name="60% - Акцент2 14 2" xfId="690"/>
    <cellStyle name="60% - Акцент2 14 3" xfId="691"/>
    <cellStyle name="60% - Акцент2 14 4" xfId="5559"/>
    <cellStyle name="60% - Акцент2 14 5" xfId="5560"/>
    <cellStyle name="60% - Акцент2 14 6" xfId="5561"/>
    <cellStyle name="60% - Акцент2 14 7" xfId="5562"/>
    <cellStyle name="60% - Акцент2 14 8" xfId="5563"/>
    <cellStyle name="60% - Акцент2 14 9" xfId="5564"/>
    <cellStyle name="60% - Акцент2 15" xfId="692"/>
    <cellStyle name="60% - Акцент2 15 10" xfId="5565"/>
    <cellStyle name="60% - Акцент2 15 11" xfId="5566"/>
    <cellStyle name="60% - Акцент2 15 12" xfId="5567"/>
    <cellStyle name="60% - Акцент2 15 13" xfId="5568"/>
    <cellStyle name="60% - Акцент2 15 14" xfId="5569"/>
    <cellStyle name="60% - Акцент2 15 2" xfId="693"/>
    <cellStyle name="60% - Акцент2 15 3" xfId="694"/>
    <cellStyle name="60% - Акцент2 15 4" xfId="5570"/>
    <cellStyle name="60% - Акцент2 15 5" xfId="5571"/>
    <cellStyle name="60% - Акцент2 15 6" xfId="5572"/>
    <cellStyle name="60% - Акцент2 15 7" xfId="5573"/>
    <cellStyle name="60% - Акцент2 15 8" xfId="5574"/>
    <cellStyle name="60% - Акцент2 15 9" xfId="5575"/>
    <cellStyle name="60% - Акцент2 16" xfId="695"/>
    <cellStyle name="60% - Акцент2 16 10" xfId="5576"/>
    <cellStyle name="60% - Акцент2 16 11" xfId="5577"/>
    <cellStyle name="60% - Акцент2 16 12" xfId="5578"/>
    <cellStyle name="60% - Акцент2 16 13" xfId="5579"/>
    <cellStyle name="60% - Акцент2 16 14" xfId="5580"/>
    <cellStyle name="60% - Акцент2 16 2" xfId="696"/>
    <cellStyle name="60% - Акцент2 16 3" xfId="697"/>
    <cellStyle name="60% - Акцент2 16 4" xfId="5581"/>
    <cellStyle name="60% - Акцент2 16 5" xfId="5582"/>
    <cellStyle name="60% - Акцент2 16 6" xfId="5583"/>
    <cellStyle name="60% - Акцент2 16 7" xfId="5584"/>
    <cellStyle name="60% - Акцент2 16 8" xfId="5585"/>
    <cellStyle name="60% - Акцент2 16 9" xfId="5586"/>
    <cellStyle name="60% - Акцент2 17" xfId="698"/>
    <cellStyle name="60% - Акцент2 17 10" xfId="5587"/>
    <cellStyle name="60% - Акцент2 17 11" xfId="5588"/>
    <cellStyle name="60% - Акцент2 17 12" xfId="5589"/>
    <cellStyle name="60% - Акцент2 17 13" xfId="5590"/>
    <cellStyle name="60% - Акцент2 17 14" xfId="5591"/>
    <cellStyle name="60% - Акцент2 17 2" xfId="699"/>
    <cellStyle name="60% - Акцент2 17 3" xfId="700"/>
    <cellStyle name="60% - Акцент2 17 4" xfId="5592"/>
    <cellStyle name="60% - Акцент2 17 5" xfId="5593"/>
    <cellStyle name="60% - Акцент2 17 6" xfId="5594"/>
    <cellStyle name="60% - Акцент2 17 7" xfId="5595"/>
    <cellStyle name="60% - Акцент2 17 8" xfId="5596"/>
    <cellStyle name="60% - Акцент2 17 9" xfId="5597"/>
    <cellStyle name="60% - Акцент2 18" xfId="701"/>
    <cellStyle name="60% - Акцент2 18 2" xfId="702"/>
    <cellStyle name="60% - Акцент2 19" xfId="703"/>
    <cellStyle name="60% - Акцент2 19 2" xfId="704"/>
    <cellStyle name="60% - Акцент2 2" xfId="705"/>
    <cellStyle name="60% - Акцент2 2 10" xfId="5598"/>
    <cellStyle name="60% - Акцент2 2 11" xfId="5599"/>
    <cellStyle name="60% - Акцент2 2 12" xfId="5600"/>
    <cellStyle name="60% - Акцент2 2 13" xfId="5601"/>
    <cellStyle name="60% - Акцент2 2 14" xfId="5602"/>
    <cellStyle name="60% - Акцент2 2 2" xfId="706"/>
    <cellStyle name="60% - Акцент2 2 3" xfId="707"/>
    <cellStyle name="60% - Акцент2 2 4" xfId="5603"/>
    <cellStyle name="60% - Акцент2 2 5" xfId="5604"/>
    <cellStyle name="60% - Акцент2 2 6" xfId="5605"/>
    <cellStyle name="60% - Акцент2 2 7" xfId="5606"/>
    <cellStyle name="60% - Акцент2 2 8" xfId="5607"/>
    <cellStyle name="60% - Акцент2 2 9" xfId="5608"/>
    <cellStyle name="60% - Акцент2 3" xfId="708"/>
    <cellStyle name="60% - Акцент2 3 10" xfId="5609"/>
    <cellStyle name="60% - Акцент2 3 11" xfId="5610"/>
    <cellStyle name="60% - Акцент2 3 12" xfId="5611"/>
    <cellStyle name="60% - Акцент2 3 13" xfId="5612"/>
    <cellStyle name="60% - Акцент2 3 14" xfId="5613"/>
    <cellStyle name="60% - Акцент2 3 2" xfId="709"/>
    <cellStyle name="60% - Акцент2 3 3" xfId="710"/>
    <cellStyle name="60% - Акцент2 3 4" xfId="5614"/>
    <cellStyle name="60% - Акцент2 3 5" xfId="5615"/>
    <cellStyle name="60% - Акцент2 3 6" xfId="5616"/>
    <cellStyle name="60% - Акцент2 3 7" xfId="5617"/>
    <cellStyle name="60% - Акцент2 3 8" xfId="5618"/>
    <cellStyle name="60% - Акцент2 3 9" xfId="5619"/>
    <cellStyle name="60% - Акцент2 4" xfId="711"/>
    <cellStyle name="60% - Акцент2 4 10" xfId="5620"/>
    <cellStyle name="60% - Акцент2 4 11" xfId="5621"/>
    <cellStyle name="60% - Акцент2 4 12" xfId="5622"/>
    <cellStyle name="60% - Акцент2 4 13" xfId="5623"/>
    <cellStyle name="60% - Акцент2 4 14" xfId="5624"/>
    <cellStyle name="60% - Акцент2 4 2" xfId="712"/>
    <cellStyle name="60% - Акцент2 4 3" xfId="713"/>
    <cellStyle name="60% - Акцент2 4 4" xfId="5625"/>
    <cellStyle name="60% - Акцент2 4 5" xfId="5626"/>
    <cellStyle name="60% - Акцент2 4 6" xfId="5627"/>
    <cellStyle name="60% - Акцент2 4 7" xfId="5628"/>
    <cellStyle name="60% - Акцент2 4 8" xfId="5629"/>
    <cellStyle name="60% - Акцент2 4 9" xfId="5630"/>
    <cellStyle name="60% - Акцент2 5" xfId="714"/>
    <cellStyle name="60% - Акцент2 5 10" xfId="5631"/>
    <cellStyle name="60% - Акцент2 5 11" xfId="5632"/>
    <cellStyle name="60% - Акцент2 5 12" xfId="5633"/>
    <cellStyle name="60% - Акцент2 5 13" xfId="5634"/>
    <cellStyle name="60% - Акцент2 5 14" xfId="5635"/>
    <cellStyle name="60% - Акцент2 5 2" xfId="715"/>
    <cellStyle name="60% - Акцент2 5 3" xfId="716"/>
    <cellStyle name="60% - Акцент2 5 4" xfId="5636"/>
    <cellStyle name="60% - Акцент2 5 5" xfId="5637"/>
    <cellStyle name="60% - Акцент2 5 6" xfId="5638"/>
    <cellStyle name="60% - Акцент2 5 7" xfId="5639"/>
    <cellStyle name="60% - Акцент2 5 8" xfId="5640"/>
    <cellStyle name="60% - Акцент2 5 9" xfId="5641"/>
    <cellStyle name="60% - Акцент2 6" xfId="717"/>
    <cellStyle name="60% - Акцент2 6 10" xfId="5642"/>
    <cellStyle name="60% - Акцент2 6 11" xfId="5643"/>
    <cellStyle name="60% - Акцент2 6 12" xfId="5644"/>
    <cellStyle name="60% - Акцент2 6 13" xfId="5645"/>
    <cellStyle name="60% - Акцент2 6 14" xfId="5646"/>
    <cellStyle name="60% - Акцент2 6 2" xfId="718"/>
    <cellStyle name="60% - Акцент2 6 3" xfId="719"/>
    <cellStyle name="60% - Акцент2 6 4" xfId="5647"/>
    <cellStyle name="60% - Акцент2 6 5" xfId="5648"/>
    <cellStyle name="60% - Акцент2 6 6" xfId="5649"/>
    <cellStyle name="60% - Акцент2 6 7" xfId="5650"/>
    <cellStyle name="60% - Акцент2 6 8" xfId="5651"/>
    <cellStyle name="60% - Акцент2 6 9" xfId="5652"/>
    <cellStyle name="60% - Акцент2 7" xfId="720"/>
    <cellStyle name="60% - Акцент2 7 10" xfId="5653"/>
    <cellStyle name="60% - Акцент2 7 11" xfId="5654"/>
    <cellStyle name="60% - Акцент2 7 12" xfId="5655"/>
    <cellStyle name="60% - Акцент2 7 13" xfId="5656"/>
    <cellStyle name="60% - Акцент2 7 14" xfId="5657"/>
    <cellStyle name="60% - Акцент2 7 2" xfId="721"/>
    <cellStyle name="60% - Акцент2 7 3" xfId="722"/>
    <cellStyle name="60% - Акцент2 7 4" xfId="5658"/>
    <cellStyle name="60% - Акцент2 7 5" xfId="5659"/>
    <cellStyle name="60% - Акцент2 7 6" xfId="5660"/>
    <cellStyle name="60% - Акцент2 7 7" xfId="5661"/>
    <cellStyle name="60% - Акцент2 7 8" xfId="5662"/>
    <cellStyle name="60% - Акцент2 7 9" xfId="5663"/>
    <cellStyle name="60% - Акцент2 8" xfId="723"/>
    <cellStyle name="60% - Акцент2 8 10" xfId="5664"/>
    <cellStyle name="60% - Акцент2 8 11" xfId="5665"/>
    <cellStyle name="60% - Акцент2 8 12" xfId="5666"/>
    <cellStyle name="60% - Акцент2 8 13" xfId="5667"/>
    <cellStyle name="60% - Акцент2 8 14" xfId="5668"/>
    <cellStyle name="60% - Акцент2 8 2" xfId="724"/>
    <cellStyle name="60% - Акцент2 8 3" xfId="725"/>
    <cellStyle name="60% - Акцент2 8 4" xfId="5669"/>
    <cellStyle name="60% - Акцент2 8 5" xfId="5670"/>
    <cellStyle name="60% - Акцент2 8 6" xfId="5671"/>
    <cellStyle name="60% - Акцент2 8 7" xfId="5672"/>
    <cellStyle name="60% - Акцент2 8 8" xfId="5673"/>
    <cellStyle name="60% - Акцент2 8 9" xfId="5674"/>
    <cellStyle name="60% - Акцент2 9" xfId="726"/>
    <cellStyle name="60% - Акцент2 9 10" xfId="5675"/>
    <cellStyle name="60% - Акцент2 9 11" xfId="5676"/>
    <cellStyle name="60% - Акцент2 9 12" xfId="5677"/>
    <cellStyle name="60% - Акцент2 9 13" xfId="5678"/>
    <cellStyle name="60% - Акцент2 9 14" xfId="5679"/>
    <cellStyle name="60% - Акцент2 9 2" xfId="727"/>
    <cellStyle name="60% - Акцент2 9 3" xfId="728"/>
    <cellStyle name="60% - Акцент2 9 4" xfId="5680"/>
    <cellStyle name="60% - Акцент2 9 5" xfId="5681"/>
    <cellStyle name="60% - Акцент2 9 6" xfId="5682"/>
    <cellStyle name="60% - Акцент2 9 7" xfId="5683"/>
    <cellStyle name="60% - Акцент2 9 8" xfId="5684"/>
    <cellStyle name="60% - Акцент2 9 9" xfId="5685"/>
    <cellStyle name="60% - Акцент3 10" xfId="729"/>
    <cellStyle name="60% - Акцент3 10 10" xfId="5686"/>
    <cellStyle name="60% - Акцент3 10 11" xfId="5687"/>
    <cellStyle name="60% - Акцент3 10 12" xfId="5688"/>
    <cellStyle name="60% - Акцент3 10 13" xfId="5689"/>
    <cellStyle name="60% - Акцент3 10 14" xfId="5690"/>
    <cellStyle name="60% - Акцент3 10 2" xfId="730"/>
    <cellStyle name="60% - Акцент3 10 3" xfId="731"/>
    <cellStyle name="60% - Акцент3 10 4" xfId="5691"/>
    <cellStyle name="60% - Акцент3 10 5" xfId="5692"/>
    <cellStyle name="60% - Акцент3 10 6" xfId="5693"/>
    <cellStyle name="60% - Акцент3 10 7" xfId="5694"/>
    <cellStyle name="60% - Акцент3 10 8" xfId="5695"/>
    <cellStyle name="60% - Акцент3 10 9" xfId="5696"/>
    <cellStyle name="60% - Акцент3 11" xfId="732"/>
    <cellStyle name="60% - Акцент3 11 10" xfId="5697"/>
    <cellStyle name="60% - Акцент3 11 11" xfId="5698"/>
    <cellStyle name="60% - Акцент3 11 12" xfId="5699"/>
    <cellStyle name="60% - Акцент3 11 13" xfId="5700"/>
    <cellStyle name="60% - Акцент3 11 14" xfId="5701"/>
    <cellStyle name="60% - Акцент3 11 2" xfId="733"/>
    <cellStyle name="60% - Акцент3 11 3" xfId="734"/>
    <cellStyle name="60% - Акцент3 11 4" xfId="5702"/>
    <cellStyle name="60% - Акцент3 11 5" xfId="5703"/>
    <cellStyle name="60% - Акцент3 11 6" xfId="5704"/>
    <cellStyle name="60% - Акцент3 11 7" xfId="5705"/>
    <cellStyle name="60% - Акцент3 11 8" xfId="5706"/>
    <cellStyle name="60% - Акцент3 11 9" xfId="5707"/>
    <cellStyle name="60% - Акцент3 12" xfId="735"/>
    <cellStyle name="60% - Акцент3 12 10" xfId="5708"/>
    <cellStyle name="60% - Акцент3 12 11" xfId="5709"/>
    <cellStyle name="60% - Акцент3 12 12" xfId="5710"/>
    <cellStyle name="60% - Акцент3 12 13" xfId="5711"/>
    <cellStyle name="60% - Акцент3 12 14" xfId="5712"/>
    <cellStyle name="60% - Акцент3 12 2" xfId="736"/>
    <cellStyle name="60% - Акцент3 12 3" xfId="737"/>
    <cellStyle name="60% - Акцент3 12 4" xfId="5713"/>
    <cellStyle name="60% - Акцент3 12 5" xfId="5714"/>
    <cellStyle name="60% - Акцент3 12 6" xfId="5715"/>
    <cellStyle name="60% - Акцент3 12 7" xfId="5716"/>
    <cellStyle name="60% - Акцент3 12 8" xfId="5717"/>
    <cellStyle name="60% - Акцент3 12 9" xfId="5718"/>
    <cellStyle name="60% - Акцент3 13" xfId="738"/>
    <cellStyle name="60% - Акцент3 13 10" xfId="5719"/>
    <cellStyle name="60% - Акцент3 13 11" xfId="5720"/>
    <cellStyle name="60% - Акцент3 13 12" xfId="5721"/>
    <cellStyle name="60% - Акцент3 13 13" xfId="5722"/>
    <cellStyle name="60% - Акцент3 13 14" xfId="5723"/>
    <cellStyle name="60% - Акцент3 13 2" xfId="739"/>
    <cellStyle name="60% - Акцент3 13 3" xfId="740"/>
    <cellStyle name="60% - Акцент3 13 4" xfId="5724"/>
    <cellStyle name="60% - Акцент3 13 5" xfId="5725"/>
    <cellStyle name="60% - Акцент3 13 6" xfId="5726"/>
    <cellStyle name="60% - Акцент3 13 7" xfId="5727"/>
    <cellStyle name="60% - Акцент3 13 8" xfId="5728"/>
    <cellStyle name="60% - Акцент3 13 9" xfId="5729"/>
    <cellStyle name="60% - Акцент3 14" xfId="741"/>
    <cellStyle name="60% - Акцент3 14 10" xfId="5730"/>
    <cellStyle name="60% - Акцент3 14 11" xfId="5731"/>
    <cellStyle name="60% - Акцент3 14 12" xfId="5732"/>
    <cellStyle name="60% - Акцент3 14 13" xfId="5733"/>
    <cellStyle name="60% - Акцент3 14 14" xfId="5734"/>
    <cellStyle name="60% - Акцент3 14 2" xfId="742"/>
    <cellStyle name="60% - Акцент3 14 3" xfId="743"/>
    <cellStyle name="60% - Акцент3 14 4" xfId="5735"/>
    <cellStyle name="60% - Акцент3 14 5" xfId="5736"/>
    <cellStyle name="60% - Акцент3 14 6" xfId="5737"/>
    <cellStyle name="60% - Акцент3 14 7" xfId="5738"/>
    <cellStyle name="60% - Акцент3 14 8" xfId="5739"/>
    <cellStyle name="60% - Акцент3 14 9" xfId="5740"/>
    <cellStyle name="60% - Акцент3 15" xfId="744"/>
    <cellStyle name="60% - Акцент3 15 10" xfId="5741"/>
    <cellStyle name="60% - Акцент3 15 11" xfId="5742"/>
    <cellStyle name="60% - Акцент3 15 12" xfId="5743"/>
    <cellStyle name="60% - Акцент3 15 13" xfId="5744"/>
    <cellStyle name="60% - Акцент3 15 14" xfId="5745"/>
    <cellStyle name="60% - Акцент3 15 2" xfId="745"/>
    <cellStyle name="60% - Акцент3 15 3" xfId="746"/>
    <cellStyle name="60% - Акцент3 15 4" xfId="5746"/>
    <cellStyle name="60% - Акцент3 15 5" xfId="5747"/>
    <cellStyle name="60% - Акцент3 15 6" xfId="5748"/>
    <cellStyle name="60% - Акцент3 15 7" xfId="5749"/>
    <cellStyle name="60% - Акцент3 15 8" xfId="5750"/>
    <cellStyle name="60% - Акцент3 15 9" xfId="5751"/>
    <cellStyle name="60% - Акцент3 16" xfId="747"/>
    <cellStyle name="60% - Акцент3 16 10" xfId="5752"/>
    <cellStyle name="60% - Акцент3 16 11" xfId="5753"/>
    <cellStyle name="60% - Акцент3 16 12" xfId="5754"/>
    <cellStyle name="60% - Акцент3 16 13" xfId="5755"/>
    <cellStyle name="60% - Акцент3 16 14" xfId="5756"/>
    <cellStyle name="60% - Акцент3 16 2" xfId="748"/>
    <cellStyle name="60% - Акцент3 16 3" xfId="749"/>
    <cellStyle name="60% - Акцент3 16 4" xfId="5757"/>
    <cellStyle name="60% - Акцент3 16 5" xfId="5758"/>
    <cellStyle name="60% - Акцент3 16 6" xfId="5759"/>
    <cellStyle name="60% - Акцент3 16 7" xfId="5760"/>
    <cellStyle name="60% - Акцент3 16 8" xfId="5761"/>
    <cellStyle name="60% - Акцент3 16 9" xfId="5762"/>
    <cellStyle name="60% - Акцент3 17" xfId="750"/>
    <cellStyle name="60% - Акцент3 17 10" xfId="5763"/>
    <cellStyle name="60% - Акцент3 17 11" xfId="5764"/>
    <cellStyle name="60% - Акцент3 17 12" xfId="5765"/>
    <cellStyle name="60% - Акцент3 17 13" xfId="5766"/>
    <cellStyle name="60% - Акцент3 17 14" xfId="5767"/>
    <cellStyle name="60% - Акцент3 17 2" xfId="751"/>
    <cellStyle name="60% - Акцент3 17 3" xfId="752"/>
    <cellStyle name="60% - Акцент3 17 4" xfId="5768"/>
    <cellStyle name="60% - Акцент3 17 5" xfId="5769"/>
    <cellStyle name="60% - Акцент3 17 6" xfId="5770"/>
    <cellStyle name="60% - Акцент3 17 7" xfId="5771"/>
    <cellStyle name="60% - Акцент3 17 8" xfId="5772"/>
    <cellStyle name="60% - Акцент3 17 9" xfId="5773"/>
    <cellStyle name="60% - Акцент3 18" xfId="753"/>
    <cellStyle name="60% - Акцент3 18 2" xfId="754"/>
    <cellStyle name="60% - Акцент3 19" xfId="755"/>
    <cellStyle name="60% - Акцент3 19 2" xfId="756"/>
    <cellStyle name="60% - Акцент3 2" xfId="757"/>
    <cellStyle name="60% - Акцент3 2 10" xfId="5774"/>
    <cellStyle name="60% - Акцент3 2 11" xfId="5775"/>
    <cellStyle name="60% - Акцент3 2 12" xfId="5776"/>
    <cellStyle name="60% - Акцент3 2 13" xfId="5777"/>
    <cellStyle name="60% - Акцент3 2 14" xfId="5778"/>
    <cellStyle name="60% - Акцент3 2 2" xfId="758"/>
    <cellStyle name="60% - Акцент3 2 3" xfId="759"/>
    <cellStyle name="60% - Акцент3 2 4" xfId="5779"/>
    <cellStyle name="60% - Акцент3 2 5" xfId="5780"/>
    <cellStyle name="60% - Акцент3 2 6" xfId="5781"/>
    <cellStyle name="60% - Акцент3 2 7" xfId="5782"/>
    <cellStyle name="60% - Акцент3 2 8" xfId="5783"/>
    <cellStyle name="60% - Акцент3 2 9" xfId="5784"/>
    <cellStyle name="60% - Акцент3 3" xfId="760"/>
    <cellStyle name="60% - Акцент3 3 10" xfId="5785"/>
    <cellStyle name="60% - Акцент3 3 11" xfId="5786"/>
    <cellStyle name="60% - Акцент3 3 12" xfId="5787"/>
    <cellStyle name="60% - Акцент3 3 13" xfId="5788"/>
    <cellStyle name="60% - Акцент3 3 14" xfId="5789"/>
    <cellStyle name="60% - Акцент3 3 2" xfId="761"/>
    <cellStyle name="60% - Акцент3 3 3" xfId="762"/>
    <cellStyle name="60% - Акцент3 3 4" xfId="5790"/>
    <cellStyle name="60% - Акцент3 3 5" xfId="5791"/>
    <cellStyle name="60% - Акцент3 3 6" xfId="5792"/>
    <cellStyle name="60% - Акцент3 3 7" xfId="5793"/>
    <cellStyle name="60% - Акцент3 3 8" xfId="5794"/>
    <cellStyle name="60% - Акцент3 3 9" xfId="5795"/>
    <cellStyle name="60% - Акцент3 4" xfId="763"/>
    <cellStyle name="60% - Акцент3 4 10" xfId="5796"/>
    <cellStyle name="60% - Акцент3 4 11" xfId="5797"/>
    <cellStyle name="60% - Акцент3 4 12" xfId="5798"/>
    <cellStyle name="60% - Акцент3 4 13" xfId="5799"/>
    <cellStyle name="60% - Акцент3 4 14" xfId="5800"/>
    <cellStyle name="60% - Акцент3 4 2" xfId="764"/>
    <cellStyle name="60% - Акцент3 4 3" xfId="765"/>
    <cellStyle name="60% - Акцент3 4 4" xfId="5801"/>
    <cellStyle name="60% - Акцент3 4 5" xfId="5802"/>
    <cellStyle name="60% - Акцент3 4 6" xfId="5803"/>
    <cellStyle name="60% - Акцент3 4 7" xfId="5804"/>
    <cellStyle name="60% - Акцент3 4 8" xfId="5805"/>
    <cellStyle name="60% - Акцент3 4 9" xfId="5806"/>
    <cellStyle name="60% - Акцент3 5" xfId="766"/>
    <cellStyle name="60% - Акцент3 5 10" xfId="5807"/>
    <cellStyle name="60% - Акцент3 5 11" xfId="5808"/>
    <cellStyle name="60% - Акцент3 5 12" xfId="5809"/>
    <cellStyle name="60% - Акцент3 5 13" xfId="5810"/>
    <cellStyle name="60% - Акцент3 5 14" xfId="5811"/>
    <cellStyle name="60% - Акцент3 5 2" xfId="767"/>
    <cellStyle name="60% - Акцент3 5 3" xfId="768"/>
    <cellStyle name="60% - Акцент3 5 4" xfId="5812"/>
    <cellStyle name="60% - Акцент3 5 5" xfId="5813"/>
    <cellStyle name="60% - Акцент3 5 6" xfId="5814"/>
    <cellStyle name="60% - Акцент3 5 7" xfId="5815"/>
    <cellStyle name="60% - Акцент3 5 8" xfId="5816"/>
    <cellStyle name="60% - Акцент3 5 9" xfId="5817"/>
    <cellStyle name="60% - Акцент3 6" xfId="769"/>
    <cellStyle name="60% - Акцент3 6 10" xfId="5818"/>
    <cellStyle name="60% - Акцент3 6 11" xfId="5819"/>
    <cellStyle name="60% - Акцент3 6 12" xfId="5820"/>
    <cellStyle name="60% - Акцент3 6 13" xfId="5821"/>
    <cellStyle name="60% - Акцент3 6 14" xfId="5822"/>
    <cellStyle name="60% - Акцент3 6 2" xfId="770"/>
    <cellStyle name="60% - Акцент3 6 3" xfId="771"/>
    <cellStyle name="60% - Акцент3 6 4" xfId="5823"/>
    <cellStyle name="60% - Акцент3 6 5" xfId="5824"/>
    <cellStyle name="60% - Акцент3 6 6" xfId="5825"/>
    <cellStyle name="60% - Акцент3 6 7" xfId="5826"/>
    <cellStyle name="60% - Акцент3 6 8" xfId="5827"/>
    <cellStyle name="60% - Акцент3 6 9" xfId="5828"/>
    <cellStyle name="60% - Акцент3 7" xfId="772"/>
    <cellStyle name="60% - Акцент3 7 10" xfId="5829"/>
    <cellStyle name="60% - Акцент3 7 11" xfId="5830"/>
    <cellStyle name="60% - Акцент3 7 12" xfId="5831"/>
    <cellStyle name="60% - Акцент3 7 13" xfId="5832"/>
    <cellStyle name="60% - Акцент3 7 14" xfId="5833"/>
    <cellStyle name="60% - Акцент3 7 2" xfId="773"/>
    <cellStyle name="60% - Акцент3 7 3" xfId="774"/>
    <cellStyle name="60% - Акцент3 7 4" xfId="5834"/>
    <cellStyle name="60% - Акцент3 7 5" xfId="5835"/>
    <cellStyle name="60% - Акцент3 7 6" xfId="5836"/>
    <cellStyle name="60% - Акцент3 7 7" xfId="5837"/>
    <cellStyle name="60% - Акцент3 7 8" xfId="5838"/>
    <cellStyle name="60% - Акцент3 7 9" xfId="5839"/>
    <cellStyle name="60% - Акцент3 8" xfId="775"/>
    <cellStyle name="60% - Акцент3 8 10" xfId="5840"/>
    <cellStyle name="60% - Акцент3 8 11" xfId="5841"/>
    <cellStyle name="60% - Акцент3 8 12" xfId="5842"/>
    <cellStyle name="60% - Акцент3 8 13" xfId="5843"/>
    <cellStyle name="60% - Акцент3 8 14" xfId="5844"/>
    <cellStyle name="60% - Акцент3 8 2" xfId="776"/>
    <cellStyle name="60% - Акцент3 8 3" xfId="777"/>
    <cellStyle name="60% - Акцент3 8 4" xfId="5845"/>
    <cellStyle name="60% - Акцент3 8 5" xfId="5846"/>
    <cellStyle name="60% - Акцент3 8 6" xfId="5847"/>
    <cellStyle name="60% - Акцент3 8 7" xfId="5848"/>
    <cellStyle name="60% - Акцент3 8 8" xfId="5849"/>
    <cellStyle name="60% - Акцент3 8 9" xfId="5850"/>
    <cellStyle name="60% - Акцент3 9" xfId="778"/>
    <cellStyle name="60% - Акцент3 9 10" xfId="5851"/>
    <cellStyle name="60% - Акцент3 9 11" xfId="5852"/>
    <cellStyle name="60% - Акцент3 9 12" xfId="5853"/>
    <cellStyle name="60% - Акцент3 9 13" xfId="5854"/>
    <cellStyle name="60% - Акцент3 9 14" xfId="5855"/>
    <cellStyle name="60% - Акцент3 9 2" xfId="779"/>
    <cellStyle name="60% - Акцент3 9 3" xfId="780"/>
    <cellStyle name="60% - Акцент3 9 4" xfId="5856"/>
    <cellStyle name="60% - Акцент3 9 5" xfId="5857"/>
    <cellStyle name="60% - Акцент3 9 6" xfId="5858"/>
    <cellStyle name="60% - Акцент3 9 7" xfId="5859"/>
    <cellStyle name="60% - Акцент3 9 8" xfId="5860"/>
    <cellStyle name="60% - Акцент3 9 9" xfId="5861"/>
    <cellStyle name="60% - Акцент4 10" xfId="781"/>
    <cellStyle name="60% - Акцент4 10 10" xfId="5862"/>
    <cellStyle name="60% - Акцент4 10 11" xfId="5863"/>
    <cellStyle name="60% - Акцент4 10 12" xfId="5864"/>
    <cellStyle name="60% - Акцент4 10 13" xfId="5865"/>
    <cellStyle name="60% - Акцент4 10 14" xfId="5866"/>
    <cellStyle name="60% - Акцент4 10 2" xfId="782"/>
    <cellStyle name="60% - Акцент4 10 3" xfId="783"/>
    <cellStyle name="60% - Акцент4 10 4" xfId="5867"/>
    <cellStyle name="60% - Акцент4 10 5" xfId="5868"/>
    <cellStyle name="60% - Акцент4 10 6" xfId="5869"/>
    <cellStyle name="60% - Акцент4 10 7" xfId="5870"/>
    <cellStyle name="60% - Акцент4 10 8" xfId="5871"/>
    <cellStyle name="60% - Акцент4 10 9" xfId="5872"/>
    <cellStyle name="60% - Акцент4 11" xfId="784"/>
    <cellStyle name="60% - Акцент4 11 10" xfId="5873"/>
    <cellStyle name="60% - Акцент4 11 11" xfId="5874"/>
    <cellStyle name="60% - Акцент4 11 12" xfId="5875"/>
    <cellStyle name="60% - Акцент4 11 13" xfId="5876"/>
    <cellStyle name="60% - Акцент4 11 14" xfId="5877"/>
    <cellStyle name="60% - Акцент4 11 2" xfId="785"/>
    <cellStyle name="60% - Акцент4 11 3" xfId="786"/>
    <cellStyle name="60% - Акцент4 11 4" xfId="5878"/>
    <cellStyle name="60% - Акцент4 11 5" xfId="5879"/>
    <cellStyle name="60% - Акцент4 11 6" xfId="5880"/>
    <cellStyle name="60% - Акцент4 11 7" xfId="5881"/>
    <cellStyle name="60% - Акцент4 11 8" xfId="5882"/>
    <cellStyle name="60% - Акцент4 11 9" xfId="5883"/>
    <cellStyle name="60% - Акцент4 12" xfId="787"/>
    <cellStyle name="60% - Акцент4 12 10" xfId="5884"/>
    <cellStyle name="60% - Акцент4 12 11" xfId="5885"/>
    <cellStyle name="60% - Акцент4 12 12" xfId="5886"/>
    <cellStyle name="60% - Акцент4 12 13" xfId="5887"/>
    <cellStyle name="60% - Акцент4 12 14" xfId="5888"/>
    <cellStyle name="60% - Акцент4 12 2" xfId="788"/>
    <cellStyle name="60% - Акцент4 12 3" xfId="789"/>
    <cellStyle name="60% - Акцент4 12 4" xfId="5889"/>
    <cellStyle name="60% - Акцент4 12 5" xfId="5890"/>
    <cellStyle name="60% - Акцент4 12 6" xfId="5891"/>
    <cellStyle name="60% - Акцент4 12 7" xfId="5892"/>
    <cellStyle name="60% - Акцент4 12 8" xfId="5893"/>
    <cellStyle name="60% - Акцент4 12 9" xfId="5894"/>
    <cellStyle name="60% - Акцент4 13" xfId="790"/>
    <cellStyle name="60% - Акцент4 13 10" xfId="5895"/>
    <cellStyle name="60% - Акцент4 13 11" xfId="5896"/>
    <cellStyle name="60% - Акцент4 13 12" xfId="5897"/>
    <cellStyle name="60% - Акцент4 13 13" xfId="5898"/>
    <cellStyle name="60% - Акцент4 13 14" xfId="5899"/>
    <cellStyle name="60% - Акцент4 13 2" xfId="791"/>
    <cellStyle name="60% - Акцент4 13 3" xfId="792"/>
    <cellStyle name="60% - Акцент4 13 4" xfId="5900"/>
    <cellStyle name="60% - Акцент4 13 5" xfId="5901"/>
    <cellStyle name="60% - Акцент4 13 6" xfId="5902"/>
    <cellStyle name="60% - Акцент4 13 7" xfId="5903"/>
    <cellStyle name="60% - Акцент4 13 8" xfId="5904"/>
    <cellStyle name="60% - Акцент4 13 9" xfId="5905"/>
    <cellStyle name="60% - Акцент4 14" xfId="793"/>
    <cellStyle name="60% - Акцент4 14 10" xfId="5906"/>
    <cellStyle name="60% - Акцент4 14 11" xfId="5907"/>
    <cellStyle name="60% - Акцент4 14 12" xfId="5908"/>
    <cellStyle name="60% - Акцент4 14 13" xfId="5909"/>
    <cellStyle name="60% - Акцент4 14 14" xfId="5910"/>
    <cellStyle name="60% - Акцент4 14 2" xfId="794"/>
    <cellStyle name="60% - Акцент4 14 3" xfId="795"/>
    <cellStyle name="60% - Акцент4 14 4" xfId="5911"/>
    <cellStyle name="60% - Акцент4 14 5" xfId="5912"/>
    <cellStyle name="60% - Акцент4 14 6" xfId="5913"/>
    <cellStyle name="60% - Акцент4 14 7" xfId="5914"/>
    <cellStyle name="60% - Акцент4 14 8" xfId="5915"/>
    <cellStyle name="60% - Акцент4 14 9" xfId="5916"/>
    <cellStyle name="60% - Акцент4 15" xfId="796"/>
    <cellStyle name="60% - Акцент4 15 10" xfId="5917"/>
    <cellStyle name="60% - Акцент4 15 11" xfId="5918"/>
    <cellStyle name="60% - Акцент4 15 12" xfId="5919"/>
    <cellStyle name="60% - Акцент4 15 13" xfId="5920"/>
    <cellStyle name="60% - Акцент4 15 14" xfId="5921"/>
    <cellStyle name="60% - Акцент4 15 2" xfId="797"/>
    <cellStyle name="60% - Акцент4 15 3" xfId="798"/>
    <cellStyle name="60% - Акцент4 15 4" xfId="5922"/>
    <cellStyle name="60% - Акцент4 15 5" xfId="5923"/>
    <cellStyle name="60% - Акцент4 15 6" xfId="5924"/>
    <cellStyle name="60% - Акцент4 15 7" xfId="5925"/>
    <cellStyle name="60% - Акцент4 15 8" xfId="5926"/>
    <cellStyle name="60% - Акцент4 15 9" xfId="5927"/>
    <cellStyle name="60% - Акцент4 16" xfId="799"/>
    <cellStyle name="60% - Акцент4 16 10" xfId="5928"/>
    <cellStyle name="60% - Акцент4 16 11" xfId="5929"/>
    <cellStyle name="60% - Акцент4 16 12" xfId="5930"/>
    <cellStyle name="60% - Акцент4 16 13" xfId="5931"/>
    <cellStyle name="60% - Акцент4 16 14" xfId="5932"/>
    <cellStyle name="60% - Акцент4 16 2" xfId="800"/>
    <cellStyle name="60% - Акцент4 16 3" xfId="801"/>
    <cellStyle name="60% - Акцент4 16 4" xfId="5933"/>
    <cellStyle name="60% - Акцент4 16 5" xfId="5934"/>
    <cellStyle name="60% - Акцент4 16 6" xfId="5935"/>
    <cellStyle name="60% - Акцент4 16 7" xfId="5936"/>
    <cellStyle name="60% - Акцент4 16 8" xfId="5937"/>
    <cellStyle name="60% - Акцент4 16 9" xfId="5938"/>
    <cellStyle name="60% - Акцент4 17" xfId="802"/>
    <cellStyle name="60% - Акцент4 17 10" xfId="5939"/>
    <cellStyle name="60% - Акцент4 17 11" xfId="5940"/>
    <cellStyle name="60% - Акцент4 17 12" xfId="5941"/>
    <cellStyle name="60% - Акцент4 17 13" xfId="5942"/>
    <cellStyle name="60% - Акцент4 17 14" xfId="5943"/>
    <cellStyle name="60% - Акцент4 17 2" xfId="803"/>
    <cellStyle name="60% - Акцент4 17 3" xfId="804"/>
    <cellStyle name="60% - Акцент4 17 4" xfId="5944"/>
    <cellStyle name="60% - Акцент4 17 5" xfId="5945"/>
    <cellStyle name="60% - Акцент4 17 6" xfId="5946"/>
    <cellStyle name="60% - Акцент4 17 7" xfId="5947"/>
    <cellStyle name="60% - Акцент4 17 8" xfId="5948"/>
    <cellStyle name="60% - Акцент4 17 9" xfId="5949"/>
    <cellStyle name="60% - Акцент4 18" xfId="805"/>
    <cellStyle name="60% - Акцент4 18 2" xfId="806"/>
    <cellStyle name="60% - Акцент4 19" xfId="807"/>
    <cellStyle name="60% - Акцент4 19 2" xfId="808"/>
    <cellStyle name="60% - Акцент4 2" xfId="809"/>
    <cellStyle name="60% - Акцент4 2 10" xfId="5950"/>
    <cellStyle name="60% - Акцент4 2 11" xfId="5951"/>
    <cellStyle name="60% - Акцент4 2 12" xfId="5952"/>
    <cellStyle name="60% - Акцент4 2 13" xfId="5953"/>
    <cellStyle name="60% - Акцент4 2 14" xfId="5954"/>
    <cellStyle name="60% - Акцент4 2 2" xfId="810"/>
    <cellStyle name="60% - Акцент4 2 3" xfId="811"/>
    <cellStyle name="60% - Акцент4 2 4" xfId="5955"/>
    <cellStyle name="60% - Акцент4 2 5" xfId="5956"/>
    <cellStyle name="60% - Акцент4 2 6" xfId="5957"/>
    <cellStyle name="60% - Акцент4 2 7" xfId="5958"/>
    <cellStyle name="60% - Акцент4 2 8" xfId="5959"/>
    <cellStyle name="60% - Акцент4 2 9" xfId="5960"/>
    <cellStyle name="60% - Акцент4 3" xfId="812"/>
    <cellStyle name="60% - Акцент4 3 10" xfId="5961"/>
    <cellStyle name="60% - Акцент4 3 11" xfId="5962"/>
    <cellStyle name="60% - Акцент4 3 12" xfId="5963"/>
    <cellStyle name="60% - Акцент4 3 13" xfId="5964"/>
    <cellStyle name="60% - Акцент4 3 14" xfId="5965"/>
    <cellStyle name="60% - Акцент4 3 2" xfId="813"/>
    <cellStyle name="60% - Акцент4 3 3" xfId="814"/>
    <cellStyle name="60% - Акцент4 3 4" xfId="5966"/>
    <cellStyle name="60% - Акцент4 3 5" xfId="5967"/>
    <cellStyle name="60% - Акцент4 3 6" xfId="5968"/>
    <cellStyle name="60% - Акцент4 3 7" xfId="5969"/>
    <cellStyle name="60% - Акцент4 3 8" xfId="5970"/>
    <cellStyle name="60% - Акцент4 3 9" xfId="5971"/>
    <cellStyle name="60% - Акцент4 4" xfId="815"/>
    <cellStyle name="60% - Акцент4 4 10" xfId="5972"/>
    <cellStyle name="60% - Акцент4 4 11" xfId="5973"/>
    <cellStyle name="60% - Акцент4 4 12" xfId="5974"/>
    <cellStyle name="60% - Акцент4 4 13" xfId="5975"/>
    <cellStyle name="60% - Акцент4 4 14" xfId="5976"/>
    <cellStyle name="60% - Акцент4 4 2" xfId="816"/>
    <cellStyle name="60% - Акцент4 4 3" xfId="817"/>
    <cellStyle name="60% - Акцент4 4 4" xfId="5977"/>
    <cellStyle name="60% - Акцент4 4 5" xfId="5978"/>
    <cellStyle name="60% - Акцент4 4 6" xfId="5979"/>
    <cellStyle name="60% - Акцент4 4 7" xfId="5980"/>
    <cellStyle name="60% - Акцент4 4 8" xfId="5981"/>
    <cellStyle name="60% - Акцент4 4 9" xfId="5982"/>
    <cellStyle name="60% - Акцент4 5" xfId="818"/>
    <cellStyle name="60% - Акцент4 5 10" xfId="5983"/>
    <cellStyle name="60% - Акцент4 5 11" xfId="5984"/>
    <cellStyle name="60% - Акцент4 5 12" xfId="5985"/>
    <cellStyle name="60% - Акцент4 5 13" xfId="5986"/>
    <cellStyle name="60% - Акцент4 5 14" xfId="5987"/>
    <cellStyle name="60% - Акцент4 5 2" xfId="819"/>
    <cellStyle name="60% - Акцент4 5 3" xfId="820"/>
    <cellStyle name="60% - Акцент4 5 4" xfId="5988"/>
    <cellStyle name="60% - Акцент4 5 5" xfId="5989"/>
    <cellStyle name="60% - Акцент4 5 6" xfId="5990"/>
    <cellStyle name="60% - Акцент4 5 7" xfId="5991"/>
    <cellStyle name="60% - Акцент4 5 8" xfId="5992"/>
    <cellStyle name="60% - Акцент4 5 9" xfId="5993"/>
    <cellStyle name="60% - Акцент4 6" xfId="821"/>
    <cellStyle name="60% - Акцент4 6 10" xfId="5994"/>
    <cellStyle name="60% - Акцент4 6 11" xfId="5995"/>
    <cellStyle name="60% - Акцент4 6 12" xfId="5996"/>
    <cellStyle name="60% - Акцент4 6 13" xfId="5997"/>
    <cellStyle name="60% - Акцент4 6 14" xfId="5998"/>
    <cellStyle name="60% - Акцент4 6 2" xfId="822"/>
    <cellStyle name="60% - Акцент4 6 3" xfId="823"/>
    <cellStyle name="60% - Акцент4 6 4" xfId="5999"/>
    <cellStyle name="60% - Акцент4 6 5" xfId="6000"/>
    <cellStyle name="60% - Акцент4 6 6" xfId="6001"/>
    <cellStyle name="60% - Акцент4 6 7" xfId="6002"/>
    <cellStyle name="60% - Акцент4 6 8" xfId="6003"/>
    <cellStyle name="60% - Акцент4 6 9" xfId="6004"/>
    <cellStyle name="60% - Акцент4 7" xfId="824"/>
    <cellStyle name="60% - Акцент4 7 10" xfId="6005"/>
    <cellStyle name="60% - Акцент4 7 11" xfId="6006"/>
    <cellStyle name="60% - Акцент4 7 12" xfId="6007"/>
    <cellStyle name="60% - Акцент4 7 13" xfId="6008"/>
    <cellStyle name="60% - Акцент4 7 14" xfId="6009"/>
    <cellStyle name="60% - Акцент4 7 2" xfId="825"/>
    <cellStyle name="60% - Акцент4 7 3" xfId="826"/>
    <cellStyle name="60% - Акцент4 7 4" xfId="6010"/>
    <cellStyle name="60% - Акцент4 7 5" xfId="6011"/>
    <cellStyle name="60% - Акцент4 7 6" xfId="6012"/>
    <cellStyle name="60% - Акцент4 7 7" xfId="6013"/>
    <cellStyle name="60% - Акцент4 7 8" xfId="6014"/>
    <cellStyle name="60% - Акцент4 7 9" xfId="6015"/>
    <cellStyle name="60% - Акцент4 8" xfId="827"/>
    <cellStyle name="60% - Акцент4 8 10" xfId="6016"/>
    <cellStyle name="60% - Акцент4 8 11" xfId="6017"/>
    <cellStyle name="60% - Акцент4 8 12" xfId="6018"/>
    <cellStyle name="60% - Акцент4 8 13" xfId="6019"/>
    <cellStyle name="60% - Акцент4 8 14" xfId="6020"/>
    <cellStyle name="60% - Акцент4 8 2" xfId="828"/>
    <cellStyle name="60% - Акцент4 8 3" xfId="829"/>
    <cellStyle name="60% - Акцент4 8 4" xfId="6021"/>
    <cellStyle name="60% - Акцент4 8 5" xfId="6022"/>
    <cellStyle name="60% - Акцент4 8 6" xfId="6023"/>
    <cellStyle name="60% - Акцент4 8 7" xfId="6024"/>
    <cellStyle name="60% - Акцент4 8 8" xfId="6025"/>
    <cellStyle name="60% - Акцент4 8 9" xfId="6026"/>
    <cellStyle name="60% - Акцент4 9" xfId="830"/>
    <cellStyle name="60% - Акцент4 9 10" xfId="6027"/>
    <cellStyle name="60% - Акцент4 9 11" xfId="6028"/>
    <cellStyle name="60% - Акцент4 9 12" xfId="6029"/>
    <cellStyle name="60% - Акцент4 9 13" xfId="6030"/>
    <cellStyle name="60% - Акцент4 9 14" xfId="6031"/>
    <cellStyle name="60% - Акцент4 9 2" xfId="831"/>
    <cellStyle name="60% - Акцент4 9 3" xfId="832"/>
    <cellStyle name="60% - Акцент4 9 4" xfId="6032"/>
    <cellStyle name="60% - Акцент4 9 5" xfId="6033"/>
    <cellStyle name="60% - Акцент4 9 6" xfId="6034"/>
    <cellStyle name="60% - Акцент4 9 7" xfId="6035"/>
    <cellStyle name="60% - Акцент4 9 8" xfId="6036"/>
    <cellStyle name="60% - Акцент4 9 9" xfId="6037"/>
    <cellStyle name="60% - Акцент5 10" xfId="833"/>
    <cellStyle name="60% - Акцент5 10 10" xfId="6038"/>
    <cellStyle name="60% - Акцент5 10 11" xfId="6039"/>
    <cellStyle name="60% - Акцент5 10 12" xfId="6040"/>
    <cellStyle name="60% - Акцент5 10 13" xfId="6041"/>
    <cellStyle name="60% - Акцент5 10 14" xfId="6042"/>
    <cellStyle name="60% - Акцент5 10 2" xfId="834"/>
    <cellStyle name="60% - Акцент5 10 3" xfId="835"/>
    <cellStyle name="60% - Акцент5 10 4" xfId="6043"/>
    <cellStyle name="60% - Акцент5 10 5" xfId="6044"/>
    <cellStyle name="60% - Акцент5 10 6" xfId="6045"/>
    <cellStyle name="60% - Акцент5 10 7" xfId="6046"/>
    <cellStyle name="60% - Акцент5 10 8" xfId="6047"/>
    <cellStyle name="60% - Акцент5 10 9" xfId="6048"/>
    <cellStyle name="60% - Акцент5 11" xfId="836"/>
    <cellStyle name="60% - Акцент5 11 10" xfId="6049"/>
    <cellStyle name="60% - Акцент5 11 11" xfId="6050"/>
    <cellStyle name="60% - Акцент5 11 12" xfId="6051"/>
    <cellStyle name="60% - Акцент5 11 13" xfId="6052"/>
    <cellStyle name="60% - Акцент5 11 14" xfId="6053"/>
    <cellStyle name="60% - Акцент5 11 2" xfId="837"/>
    <cellStyle name="60% - Акцент5 11 3" xfId="838"/>
    <cellStyle name="60% - Акцент5 11 4" xfId="6054"/>
    <cellStyle name="60% - Акцент5 11 5" xfId="6055"/>
    <cellStyle name="60% - Акцент5 11 6" xfId="6056"/>
    <cellStyle name="60% - Акцент5 11 7" xfId="6057"/>
    <cellStyle name="60% - Акцент5 11 8" xfId="6058"/>
    <cellStyle name="60% - Акцент5 11 9" xfId="6059"/>
    <cellStyle name="60% - Акцент5 12" xfId="839"/>
    <cellStyle name="60% - Акцент5 12 10" xfId="6060"/>
    <cellStyle name="60% - Акцент5 12 11" xfId="6061"/>
    <cellStyle name="60% - Акцент5 12 12" xfId="6062"/>
    <cellStyle name="60% - Акцент5 12 13" xfId="6063"/>
    <cellStyle name="60% - Акцент5 12 14" xfId="6064"/>
    <cellStyle name="60% - Акцент5 12 2" xfId="840"/>
    <cellStyle name="60% - Акцент5 12 3" xfId="841"/>
    <cellStyle name="60% - Акцент5 12 4" xfId="6065"/>
    <cellStyle name="60% - Акцент5 12 5" xfId="6066"/>
    <cellStyle name="60% - Акцент5 12 6" xfId="6067"/>
    <cellStyle name="60% - Акцент5 12 7" xfId="6068"/>
    <cellStyle name="60% - Акцент5 12 8" xfId="6069"/>
    <cellStyle name="60% - Акцент5 12 9" xfId="6070"/>
    <cellStyle name="60% - Акцент5 13" xfId="842"/>
    <cellStyle name="60% - Акцент5 13 10" xfId="6071"/>
    <cellStyle name="60% - Акцент5 13 11" xfId="6072"/>
    <cellStyle name="60% - Акцент5 13 12" xfId="6073"/>
    <cellStyle name="60% - Акцент5 13 13" xfId="6074"/>
    <cellStyle name="60% - Акцент5 13 14" xfId="6075"/>
    <cellStyle name="60% - Акцент5 13 2" xfId="843"/>
    <cellStyle name="60% - Акцент5 13 3" xfId="844"/>
    <cellStyle name="60% - Акцент5 13 4" xfId="6076"/>
    <cellStyle name="60% - Акцент5 13 5" xfId="6077"/>
    <cellStyle name="60% - Акцент5 13 6" xfId="6078"/>
    <cellStyle name="60% - Акцент5 13 7" xfId="6079"/>
    <cellStyle name="60% - Акцент5 13 8" xfId="6080"/>
    <cellStyle name="60% - Акцент5 13 9" xfId="6081"/>
    <cellStyle name="60% - Акцент5 14" xfId="845"/>
    <cellStyle name="60% - Акцент5 14 10" xfId="6082"/>
    <cellStyle name="60% - Акцент5 14 11" xfId="6083"/>
    <cellStyle name="60% - Акцент5 14 12" xfId="6084"/>
    <cellStyle name="60% - Акцент5 14 13" xfId="6085"/>
    <cellStyle name="60% - Акцент5 14 14" xfId="6086"/>
    <cellStyle name="60% - Акцент5 14 2" xfId="846"/>
    <cellStyle name="60% - Акцент5 14 3" xfId="847"/>
    <cellStyle name="60% - Акцент5 14 4" xfId="6087"/>
    <cellStyle name="60% - Акцент5 14 5" xfId="6088"/>
    <cellStyle name="60% - Акцент5 14 6" xfId="6089"/>
    <cellStyle name="60% - Акцент5 14 7" xfId="6090"/>
    <cellStyle name="60% - Акцент5 14 8" xfId="6091"/>
    <cellStyle name="60% - Акцент5 14 9" xfId="6092"/>
    <cellStyle name="60% - Акцент5 15" xfId="848"/>
    <cellStyle name="60% - Акцент5 15 10" xfId="6093"/>
    <cellStyle name="60% - Акцент5 15 11" xfId="6094"/>
    <cellStyle name="60% - Акцент5 15 12" xfId="6095"/>
    <cellStyle name="60% - Акцент5 15 13" xfId="6096"/>
    <cellStyle name="60% - Акцент5 15 14" xfId="6097"/>
    <cellStyle name="60% - Акцент5 15 2" xfId="849"/>
    <cellStyle name="60% - Акцент5 15 3" xfId="850"/>
    <cellStyle name="60% - Акцент5 15 4" xfId="6098"/>
    <cellStyle name="60% - Акцент5 15 5" xfId="6099"/>
    <cellStyle name="60% - Акцент5 15 6" xfId="6100"/>
    <cellStyle name="60% - Акцент5 15 7" xfId="6101"/>
    <cellStyle name="60% - Акцент5 15 8" xfId="6102"/>
    <cellStyle name="60% - Акцент5 15 9" xfId="6103"/>
    <cellStyle name="60% - Акцент5 16" xfId="851"/>
    <cellStyle name="60% - Акцент5 16 10" xfId="6104"/>
    <cellStyle name="60% - Акцент5 16 11" xfId="6105"/>
    <cellStyle name="60% - Акцент5 16 12" xfId="6106"/>
    <cellStyle name="60% - Акцент5 16 13" xfId="6107"/>
    <cellStyle name="60% - Акцент5 16 14" xfId="6108"/>
    <cellStyle name="60% - Акцент5 16 2" xfId="852"/>
    <cellStyle name="60% - Акцент5 16 3" xfId="853"/>
    <cellStyle name="60% - Акцент5 16 4" xfId="6109"/>
    <cellStyle name="60% - Акцент5 16 5" xfId="6110"/>
    <cellStyle name="60% - Акцент5 16 6" xfId="6111"/>
    <cellStyle name="60% - Акцент5 16 7" xfId="6112"/>
    <cellStyle name="60% - Акцент5 16 8" xfId="6113"/>
    <cellStyle name="60% - Акцент5 16 9" xfId="6114"/>
    <cellStyle name="60% - Акцент5 17" xfId="854"/>
    <cellStyle name="60% - Акцент5 17 10" xfId="6115"/>
    <cellStyle name="60% - Акцент5 17 11" xfId="6116"/>
    <cellStyle name="60% - Акцент5 17 12" xfId="6117"/>
    <cellStyle name="60% - Акцент5 17 13" xfId="6118"/>
    <cellStyle name="60% - Акцент5 17 14" xfId="6119"/>
    <cellStyle name="60% - Акцент5 17 2" xfId="855"/>
    <cellStyle name="60% - Акцент5 17 3" xfId="856"/>
    <cellStyle name="60% - Акцент5 17 4" xfId="6120"/>
    <cellStyle name="60% - Акцент5 17 5" xfId="6121"/>
    <cellStyle name="60% - Акцент5 17 6" xfId="6122"/>
    <cellStyle name="60% - Акцент5 17 7" xfId="6123"/>
    <cellStyle name="60% - Акцент5 17 8" xfId="6124"/>
    <cellStyle name="60% - Акцент5 17 9" xfId="6125"/>
    <cellStyle name="60% - Акцент5 18" xfId="857"/>
    <cellStyle name="60% - Акцент5 18 2" xfId="858"/>
    <cellStyle name="60% - Акцент5 19" xfId="859"/>
    <cellStyle name="60% - Акцент5 19 2" xfId="860"/>
    <cellStyle name="60% - Акцент5 2" xfId="861"/>
    <cellStyle name="60% - Акцент5 2 10" xfId="6126"/>
    <cellStyle name="60% - Акцент5 2 11" xfId="6127"/>
    <cellStyle name="60% - Акцент5 2 12" xfId="6128"/>
    <cellStyle name="60% - Акцент5 2 13" xfId="6129"/>
    <cellStyle name="60% - Акцент5 2 14" xfId="6130"/>
    <cellStyle name="60% - Акцент5 2 2" xfId="862"/>
    <cellStyle name="60% - Акцент5 2 3" xfId="863"/>
    <cellStyle name="60% - Акцент5 2 4" xfId="6131"/>
    <cellStyle name="60% - Акцент5 2 5" xfId="6132"/>
    <cellStyle name="60% - Акцент5 2 6" xfId="6133"/>
    <cellStyle name="60% - Акцент5 2 7" xfId="6134"/>
    <cellStyle name="60% - Акцент5 2 8" xfId="6135"/>
    <cellStyle name="60% - Акцент5 2 9" xfId="6136"/>
    <cellStyle name="60% - Акцент5 3" xfId="864"/>
    <cellStyle name="60% - Акцент5 3 10" xfId="6137"/>
    <cellStyle name="60% - Акцент5 3 11" xfId="6138"/>
    <cellStyle name="60% - Акцент5 3 12" xfId="6139"/>
    <cellStyle name="60% - Акцент5 3 13" xfId="6140"/>
    <cellStyle name="60% - Акцент5 3 14" xfId="6141"/>
    <cellStyle name="60% - Акцент5 3 2" xfId="865"/>
    <cellStyle name="60% - Акцент5 3 3" xfId="866"/>
    <cellStyle name="60% - Акцент5 3 4" xfId="6142"/>
    <cellStyle name="60% - Акцент5 3 5" xfId="6143"/>
    <cellStyle name="60% - Акцент5 3 6" xfId="6144"/>
    <cellStyle name="60% - Акцент5 3 7" xfId="6145"/>
    <cellStyle name="60% - Акцент5 3 8" xfId="6146"/>
    <cellStyle name="60% - Акцент5 3 9" xfId="6147"/>
    <cellStyle name="60% - Акцент5 4" xfId="867"/>
    <cellStyle name="60% - Акцент5 4 10" xfId="6148"/>
    <cellStyle name="60% - Акцент5 4 11" xfId="6149"/>
    <cellStyle name="60% - Акцент5 4 12" xfId="6150"/>
    <cellStyle name="60% - Акцент5 4 13" xfId="6151"/>
    <cellStyle name="60% - Акцент5 4 14" xfId="6152"/>
    <cellStyle name="60% - Акцент5 4 2" xfId="868"/>
    <cellStyle name="60% - Акцент5 4 3" xfId="869"/>
    <cellStyle name="60% - Акцент5 4 4" xfId="6153"/>
    <cellStyle name="60% - Акцент5 4 5" xfId="6154"/>
    <cellStyle name="60% - Акцент5 4 6" xfId="6155"/>
    <cellStyle name="60% - Акцент5 4 7" xfId="6156"/>
    <cellStyle name="60% - Акцент5 4 8" xfId="6157"/>
    <cellStyle name="60% - Акцент5 4 9" xfId="6158"/>
    <cellStyle name="60% - Акцент5 5" xfId="870"/>
    <cellStyle name="60% - Акцент5 5 10" xfId="6159"/>
    <cellStyle name="60% - Акцент5 5 11" xfId="6160"/>
    <cellStyle name="60% - Акцент5 5 12" xfId="6161"/>
    <cellStyle name="60% - Акцент5 5 13" xfId="6162"/>
    <cellStyle name="60% - Акцент5 5 14" xfId="6163"/>
    <cellStyle name="60% - Акцент5 5 2" xfId="871"/>
    <cellStyle name="60% - Акцент5 5 3" xfId="872"/>
    <cellStyle name="60% - Акцент5 5 4" xfId="6164"/>
    <cellStyle name="60% - Акцент5 5 5" xfId="6165"/>
    <cellStyle name="60% - Акцент5 5 6" xfId="6166"/>
    <cellStyle name="60% - Акцент5 5 7" xfId="6167"/>
    <cellStyle name="60% - Акцент5 5 8" xfId="6168"/>
    <cellStyle name="60% - Акцент5 5 9" xfId="6169"/>
    <cellStyle name="60% - Акцент5 6" xfId="873"/>
    <cellStyle name="60% - Акцент5 6 10" xfId="6170"/>
    <cellStyle name="60% - Акцент5 6 11" xfId="6171"/>
    <cellStyle name="60% - Акцент5 6 12" xfId="6172"/>
    <cellStyle name="60% - Акцент5 6 13" xfId="6173"/>
    <cellStyle name="60% - Акцент5 6 14" xfId="6174"/>
    <cellStyle name="60% - Акцент5 6 2" xfId="874"/>
    <cellStyle name="60% - Акцент5 6 3" xfId="875"/>
    <cellStyle name="60% - Акцент5 6 4" xfId="6175"/>
    <cellStyle name="60% - Акцент5 6 5" xfId="6176"/>
    <cellStyle name="60% - Акцент5 6 6" xfId="6177"/>
    <cellStyle name="60% - Акцент5 6 7" xfId="6178"/>
    <cellStyle name="60% - Акцент5 6 8" xfId="6179"/>
    <cellStyle name="60% - Акцент5 6 9" xfId="6180"/>
    <cellStyle name="60% - Акцент5 7" xfId="876"/>
    <cellStyle name="60% - Акцент5 7 10" xfId="6181"/>
    <cellStyle name="60% - Акцент5 7 11" xfId="6182"/>
    <cellStyle name="60% - Акцент5 7 12" xfId="6183"/>
    <cellStyle name="60% - Акцент5 7 13" xfId="6184"/>
    <cellStyle name="60% - Акцент5 7 14" xfId="6185"/>
    <cellStyle name="60% - Акцент5 7 2" xfId="877"/>
    <cellStyle name="60% - Акцент5 7 3" xfId="878"/>
    <cellStyle name="60% - Акцент5 7 4" xfId="6186"/>
    <cellStyle name="60% - Акцент5 7 5" xfId="6187"/>
    <cellStyle name="60% - Акцент5 7 6" xfId="6188"/>
    <cellStyle name="60% - Акцент5 7 7" xfId="6189"/>
    <cellStyle name="60% - Акцент5 7 8" xfId="6190"/>
    <cellStyle name="60% - Акцент5 7 9" xfId="6191"/>
    <cellStyle name="60% - Акцент5 8" xfId="879"/>
    <cellStyle name="60% - Акцент5 8 10" xfId="6192"/>
    <cellStyle name="60% - Акцент5 8 11" xfId="6193"/>
    <cellStyle name="60% - Акцент5 8 12" xfId="6194"/>
    <cellStyle name="60% - Акцент5 8 13" xfId="6195"/>
    <cellStyle name="60% - Акцент5 8 14" xfId="6196"/>
    <cellStyle name="60% - Акцент5 8 2" xfId="880"/>
    <cellStyle name="60% - Акцент5 8 3" xfId="881"/>
    <cellStyle name="60% - Акцент5 8 4" xfId="6197"/>
    <cellStyle name="60% - Акцент5 8 5" xfId="6198"/>
    <cellStyle name="60% - Акцент5 8 6" xfId="6199"/>
    <cellStyle name="60% - Акцент5 8 7" xfId="6200"/>
    <cellStyle name="60% - Акцент5 8 8" xfId="6201"/>
    <cellStyle name="60% - Акцент5 8 9" xfId="6202"/>
    <cellStyle name="60% - Акцент5 9" xfId="882"/>
    <cellStyle name="60% - Акцент5 9 10" xfId="6203"/>
    <cellStyle name="60% - Акцент5 9 11" xfId="6204"/>
    <cellStyle name="60% - Акцент5 9 12" xfId="6205"/>
    <cellStyle name="60% - Акцент5 9 13" xfId="6206"/>
    <cellStyle name="60% - Акцент5 9 14" xfId="6207"/>
    <cellStyle name="60% - Акцент5 9 2" xfId="883"/>
    <cellStyle name="60% - Акцент5 9 3" xfId="884"/>
    <cellStyle name="60% - Акцент5 9 4" xfId="6208"/>
    <cellStyle name="60% - Акцент5 9 5" xfId="6209"/>
    <cellStyle name="60% - Акцент5 9 6" xfId="6210"/>
    <cellStyle name="60% - Акцент5 9 7" xfId="6211"/>
    <cellStyle name="60% - Акцент5 9 8" xfId="6212"/>
    <cellStyle name="60% - Акцент5 9 9" xfId="6213"/>
    <cellStyle name="60% - Акцент6 10" xfId="885"/>
    <cellStyle name="60% - Акцент6 10 10" xfId="6214"/>
    <cellStyle name="60% - Акцент6 10 11" xfId="6215"/>
    <cellStyle name="60% - Акцент6 10 12" xfId="6216"/>
    <cellStyle name="60% - Акцент6 10 13" xfId="6217"/>
    <cellStyle name="60% - Акцент6 10 14" xfId="6218"/>
    <cellStyle name="60% - Акцент6 10 2" xfId="886"/>
    <cellStyle name="60% - Акцент6 10 3" xfId="887"/>
    <cellStyle name="60% - Акцент6 10 4" xfId="6219"/>
    <cellStyle name="60% - Акцент6 10 5" xfId="6220"/>
    <cellStyle name="60% - Акцент6 10 6" xfId="6221"/>
    <cellStyle name="60% - Акцент6 10 7" xfId="6222"/>
    <cellStyle name="60% - Акцент6 10 8" xfId="6223"/>
    <cellStyle name="60% - Акцент6 10 9" xfId="6224"/>
    <cellStyle name="60% - Акцент6 11" xfId="888"/>
    <cellStyle name="60% - Акцент6 11 10" xfId="6225"/>
    <cellStyle name="60% - Акцент6 11 11" xfId="6226"/>
    <cellStyle name="60% - Акцент6 11 12" xfId="6227"/>
    <cellStyle name="60% - Акцент6 11 13" xfId="6228"/>
    <cellStyle name="60% - Акцент6 11 14" xfId="6229"/>
    <cellStyle name="60% - Акцент6 11 2" xfId="889"/>
    <cellStyle name="60% - Акцент6 11 3" xfId="890"/>
    <cellStyle name="60% - Акцент6 11 4" xfId="6230"/>
    <cellStyle name="60% - Акцент6 11 5" xfId="6231"/>
    <cellStyle name="60% - Акцент6 11 6" xfId="6232"/>
    <cellStyle name="60% - Акцент6 11 7" xfId="6233"/>
    <cellStyle name="60% - Акцент6 11 8" xfId="6234"/>
    <cellStyle name="60% - Акцент6 11 9" xfId="6235"/>
    <cellStyle name="60% - Акцент6 12" xfId="891"/>
    <cellStyle name="60% - Акцент6 12 10" xfId="6236"/>
    <cellStyle name="60% - Акцент6 12 11" xfId="6237"/>
    <cellStyle name="60% - Акцент6 12 12" xfId="6238"/>
    <cellStyle name="60% - Акцент6 12 13" xfId="6239"/>
    <cellStyle name="60% - Акцент6 12 14" xfId="6240"/>
    <cellStyle name="60% - Акцент6 12 2" xfId="892"/>
    <cellStyle name="60% - Акцент6 12 3" xfId="893"/>
    <cellStyle name="60% - Акцент6 12 4" xfId="6241"/>
    <cellStyle name="60% - Акцент6 12 5" xfId="6242"/>
    <cellStyle name="60% - Акцент6 12 6" xfId="6243"/>
    <cellStyle name="60% - Акцент6 12 7" xfId="6244"/>
    <cellStyle name="60% - Акцент6 12 8" xfId="6245"/>
    <cellStyle name="60% - Акцент6 12 9" xfId="6246"/>
    <cellStyle name="60% - Акцент6 13" xfId="894"/>
    <cellStyle name="60% - Акцент6 13 10" xfId="6247"/>
    <cellStyle name="60% - Акцент6 13 11" xfId="6248"/>
    <cellStyle name="60% - Акцент6 13 12" xfId="6249"/>
    <cellStyle name="60% - Акцент6 13 13" xfId="6250"/>
    <cellStyle name="60% - Акцент6 13 14" xfId="6251"/>
    <cellStyle name="60% - Акцент6 13 2" xfId="895"/>
    <cellStyle name="60% - Акцент6 13 3" xfId="896"/>
    <cellStyle name="60% - Акцент6 13 4" xfId="6252"/>
    <cellStyle name="60% - Акцент6 13 5" xfId="6253"/>
    <cellStyle name="60% - Акцент6 13 6" xfId="6254"/>
    <cellStyle name="60% - Акцент6 13 7" xfId="6255"/>
    <cellStyle name="60% - Акцент6 13 8" xfId="6256"/>
    <cellStyle name="60% - Акцент6 13 9" xfId="6257"/>
    <cellStyle name="60% - Акцент6 14" xfId="897"/>
    <cellStyle name="60% - Акцент6 14 10" xfId="6258"/>
    <cellStyle name="60% - Акцент6 14 11" xfId="6259"/>
    <cellStyle name="60% - Акцент6 14 12" xfId="6260"/>
    <cellStyle name="60% - Акцент6 14 13" xfId="6261"/>
    <cellStyle name="60% - Акцент6 14 14" xfId="6262"/>
    <cellStyle name="60% - Акцент6 14 2" xfId="898"/>
    <cellStyle name="60% - Акцент6 14 3" xfId="899"/>
    <cellStyle name="60% - Акцент6 14 4" xfId="6263"/>
    <cellStyle name="60% - Акцент6 14 5" xfId="6264"/>
    <cellStyle name="60% - Акцент6 14 6" xfId="6265"/>
    <cellStyle name="60% - Акцент6 14 7" xfId="6266"/>
    <cellStyle name="60% - Акцент6 14 8" xfId="6267"/>
    <cellStyle name="60% - Акцент6 14 9" xfId="6268"/>
    <cellStyle name="60% - Акцент6 15" xfId="900"/>
    <cellStyle name="60% - Акцент6 15 10" xfId="6269"/>
    <cellStyle name="60% - Акцент6 15 11" xfId="6270"/>
    <cellStyle name="60% - Акцент6 15 12" xfId="6271"/>
    <cellStyle name="60% - Акцент6 15 13" xfId="6272"/>
    <cellStyle name="60% - Акцент6 15 14" xfId="6273"/>
    <cellStyle name="60% - Акцент6 15 2" xfId="901"/>
    <cellStyle name="60% - Акцент6 15 3" xfId="902"/>
    <cellStyle name="60% - Акцент6 15 4" xfId="6274"/>
    <cellStyle name="60% - Акцент6 15 5" xfId="6275"/>
    <cellStyle name="60% - Акцент6 15 6" xfId="6276"/>
    <cellStyle name="60% - Акцент6 15 7" xfId="6277"/>
    <cellStyle name="60% - Акцент6 15 8" xfId="6278"/>
    <cellStyle name="60% - Акцент6 15 9" xfId="6279"/>
    <cellStyle name="60% - Акцент6 16" xfId="903"/>
    <cellStyle name="60% - Акцент6 16 10" xfId="6280"/>
    <cellStyle name="60% - Акцент6 16 11" xfId="6281"/>
    <cellStyle name="60% - Акцент6 16 12" xfId="6282"/>
    <cellStyle name="60% - Акцент6 16 13" xfId="6283"/>
    <cellStyle name="60% - Акцент6 16 14" xfId="6284"/>
    <cellStyle name="60% - Акцент6 16 2" xfId="904"/>
    <cellStyle name="60% - Акцент6 16 3" xfId="905"/>
    <cellStyle name="60% - Акцент6 16 4" xfId="6285"/>
    <cellStyle name="60% - Акцент6 16 5" xfId="6286"/>
    <cellStyle name="60% - Акцент6 16 6" xfId="6287"/>
    <cellStyle name="60% - Акцент6 16 7" xfId="6288"/>
    <cellStyle name="60% - Акцент6 16 8" xfId="6289"/>
    <cellStyle name="60% - Акцент6 16 9" xfId="6290"/>
    <cellStyle name="60% - Акцент6 17" xfId="906"/>
    <cellStyle name="60% - Акцент6 17 10" xfId="6291"/>
    <cellStyle name="60% - Акцент6 17 11" xfId="6292"/>
    <cellStyle name="60% - Акцент6 17 12" xfId="6293"/>
    <cellStyle name="60% - Акцент6 17 13" xfId="6294"/>
    <cellStyle name="60% - Акцент6 17 14" xfId="6295"/>
    <cellStyle name="60% - Акцент6 17 2" xfId="907"/>
    <cellStyle name="60% - Акцент6 17 3" xfId="908"/>
    <cellStyle name="60% - Акцент6 17 4" xfId="6296"/>
    <cellStyle name="60% - Акцент6 17 5" xfId="6297"/>
    <cellStyle name="60% - Акцент6 17 6" xfId="6298"/>
    <cellStyle name="60% - Акцент6 17 7" xfId="6299"/>
    <cellStyle name="60% - Акцент6 17 8" xfId="6300"/>
    <cellStyle name="60% - Акцент6 17 9" xfId="6301"/>
    <cellStyle name="60% - Акцент6 18" xfId="909"/>
    <cellStyle name="60% - Акцент6 18 2" xfId="910"/>
    <cellStyle name="60% - Акцент6 19" xfId="911"/>
    <cellStyle name="60% - Акцент6 19 2" xfId="912"/>
    <cellStyle name="60% - Акцент6 2" xfId="913"/>
    <cellStyle name="60% - Акцент6 2 10" xfId="6302"/>
    <cellStyle name="60% - Акцент6 2 11" xfId="6303"/>
    <cellStyle name="60% - Акцент6 2 12" xfId="6304"/>
    <cellStyle name="60% - Акцент6 2 13" xfId="6305"/>
    <cellStyle name="60% - Акцент6 2 14" xfId="6306"/>
    <cellStyle name="60% - Акцент6 2 2" xfId="914"/>
    <cellStyle name="60% - Акцент6 2 3" xfId="915"/>
    <cellStyle name="60% - Акцент6 2 4" xfId="6307"/>
    <cellStyle name="60% - Акцент6 2 5" xfId="6308"/>
    <cellStyle name="60% - Акцент6 2 6" xfId="6309"/>
    <cellStyle name="60% - Акцент6 2 7" xfId="6310"/>
    <cellStyle name="60% - Акцент6 2 8" xfId="6311"/>
    <cellStyle name="60% - Акцент6 2 9" xfId="6312"/>
    <cellStyle name="60% - Акцент6 3" xfId="916"/>
    <cellStyle name="60% - Акцент6 3 10" xfId="6313"/>
    <cellStyle name="60% - Акцент6 3 11" xfId="6314"/>
    <cellStyle name="60% - Акцент6 3 12" xfId="6315"/>
    <cellStyle name="60% - Акцент6 3 13" xfId="6316"/>
    <cellStyle name="60% - Акцент6 3 14" xfId="6317"/>
    <cellStyle name="60% - Акцент6 3 2" xfId="917"/>
    <cellStyle name="60% - Акцент6 3 3" xfId="918"/>
    <cellStyle name="60% - Акцент6 3 4" xfId="6318"/>
    <cellStyle name="60% - Акцент6 3 5" xfId="6319"/>
    <cellStyle name="60% - Акцент6 3 6" xfId="6320"/>
    <cellStyle name="60% - Акцент6 3 7" xfId="6321"/>
    <cellStyle name="60% - Акцент6 3 8" xfId="6322"/>
    <cellStyle name="60% - Акцент6 3 9" xfId="6323"/>
    <cellStyle name="60% - Акцент6 4" xfId="919"/>
    <cellStyle name="60% - Акцент6 4 10" xfId="6325"/>
    <cellStyle name="60% - Акцент6 4 11" xfId="6326"/>
    <cellStyle name="60% - Акцент6 4 12" xfId="6327"/>
    <cellStyle name="60% - Акцент6 4 13" xfId="6328"/>
    <cellStyle name="60% - Акцент6 4 14" xfId="6329"/>
    <cellStyle name="60% - Акцент6 4 2" xfId="920"/>
    <cellStyle name="60% - Акцент6 4 2 2" xfId="6330"/>
    <cellStyle name="60% - Акцент6 4 3" xfId="921"/>
    <cellStyle name="60% - Акцент6 4 3 2" xfId="6331"/>
    <cellStyle name="60% - Акцент6 4 4" xfId="6324"/>
    <cellStyle name="60% - Акцент6 4 5" xfId="6332"/>
    <cellStyle name="60% - Акцент6 4 6" xfId="6333"/>
    <cellStyle name="60% - Акцент6 4 7" xfId="6334"/>
    <cellStyle name="60% - Акцент6 4 8" xfId="6335"/>
    <cellStyle name="60% - Акцент6 4 9" xfId="6336"/>
    <cellStyle name="60% - Акцент6 5" xfId="922"/>
    <cellStyle name="60% - Акцент6 5 10" xfId="6338"/>
    <cellStyle name="60% - Акцент6 5 11" xfId="6339"/>
    <cellStyle name="60% - Акцент6 5 12" xfId="6340"/>
    <cellStyle name="60% - Акцент6 5 13" xfId="6341"/>
    <cellStyle name="60% - Акцент6 5 14" xfId="6342"/>
    <cellStyle name="60% - Акцент6 5 2" xfId="923"/>
    <cellStyle name="60% - Акцент6 5 2 2" xfId="6343"/>
    <cellStyle name="60% - Акцент6 5 3" xfId="924"/>
    <cellStyle name="60% - Акцент6 5 3 2" xfId="6344"/>
    <cellStyle name="60% - Акцент6 5 4" xfId="6337"/>
    <cellStyle name="60% - Акцент6 5 5" xfId="6345"/>
    <cellStyle name="60% - Акцент6 5 6" xfId="6346"/>
    <cellStyle name="60% - Акцент6 5 7" xfId="6347"/>
    <cellStyle name="60% - Акцент6 5 8" xfId="6348"/>
    <cellStyle name="60% - Акцент6 5 9" xfId="6349"/>
    <cellStyle name="60% - Акцент6 6" xfId="925"/>
    <cellStyle name="60% - Акцент6 6 10" xfId="6351"/>
    <cellStyle name="60% - Акцент6 6 11" xfId="6352"/>
    <cellStyle name="60% - Акцент6 6 12" xfId="6353"/>
    <cellStyle name="60% - Акцент6 6 13" xfId="6354"/>
    <cellStyle name="60% - Акцент6 6 14" xfId="6355"/>
    <cellStyle name="60% - Акцент6 6 2" xfId="926"/>
    <cellStyle name="60% - Акцент6 6 2 2" xfId="6356"/>
    <cellStyle name="60% - Акцент6 6 3" xfId="927"/>
    <cellStyle name="60% - Акцент6 6 3 2" xfId="6357"/>
    <cellStyle name="60% - Акцент6 6 4" xfId="6350"/>
    <cellStyle name="60% - Акцент6 6 5" xfId="6358"/>
    <cellStyle name="60% - Акцент6 6 6" xfId="6359"/>
    <cellStyle name="60% - Акцент6 6 7" xfId="6360"/>
    <cellStyle name="60% - Акцент6 6 8" xfId="6361"/>
    <cellStyle name="60% - Акцент6 6 9" xfId="6362"/>
    <cellStyle name="60% - Акцент6 7" xfId="928"/>
    <cellStyle name="60% - Акцент6 7 10" xfId="6364"/>
    <cellStyle name="60% - Акцент6 7 11" xfId="6365"/>
    <cellStyle name="60% - Акцент6 7 12" xfId="6366"/>
    <cellStyle name="60% - Акцент6 7 13" xfId="6367"/>
    <cellStyle name="60% - Акцент6 7 14" xfId="6368"/>
    <cellStyle name="60% - Акцент6 7 2" xfId="929"/>
    <cellStyle name="60% - Акцент6 7 2 2" xfId="6369"/>
    <cellStyle name="60% - Акцент6 7 3" xfId="930"/>
    <cellStyle name="60% - Акцент6 7 3 2" xfId="6370"/>
    <cellStyle name="60% - Акцент6 7 4" xfId="6363"/>
    <cellStyle name="60% - Акцент6 7 5" xfId="6371"/>
    <cellStyle name="60% - Акцент6 7 6" xfId="6372"/>
    <cellStyle name="60% - Акцент6 7 7" xfId="6373"/>
    <cellStyle name="60% - Акцент6 7 8" xfId="6374"/>
    <cellStyle name="60% - Акцент6 7 9" xfId="6375"/>
    <cellStyle name="60% - Акцент6 8" xfId="931"/>
    <cellStyle name="60% - Акцент6 8 10" xfId="6377"/>
    <cellStyle name="60% - Акцент6 8 11" xfId="6378"/>
    <cellStyle name="60% - Акцент6 8 12" xfId="6379"/>
    <cellStyle name="60% - Акцент6 8 13" xfId="6380"/>
    <cellStyle name="60% - Акцент6 8 14" xfId="6381"/>
    <cellStyle name="60% - Акцент6 8 2" xfId="932"/>
    <cellStyle name="60% - Акцент6 8 2 2" xfId="6382"/>
    <cellStyle name="60% - Акцент6 8 3" xfId="933"/>
    <cellStyle name="60% - Акцент6 8 3 2" xfId="6383"/>
    <cellStyle name="60% - Акцент6 8 4" xfId="6376"/>
    <cellStyle name="60% - Акцент6 8 5" xfId="6384"/>
    <cellStyle name="60% - Акцент6 8 6" xfId="6385"/>
    <cellStyle name="60% - Акцент6 8 7" xfId="6386"/>
    <cellStyle name="60% - Акцент6 8 8" xfId="6387"/>
    <cellStyle name="60% - Акцент6 8 9" xfId="6388"/>
    <cellStyle name="60% - Акцент6 9" xfId="934"/>
    <cellStyle name="60% - Акцент6 9 10" xfId="6390"/>
    <cellStyle name="60% - Акцент6 9 11" xfId="6391"/>
    <cellStyle name="60% - Акцент6 9 12" xfId="6392"/>
    <cellStyle name="60% - Акцент6 9 13" xfId="6393"/>
    <cellStyle name="60% - Акцент6 9 14" xfId="6394"/>
    <cellStyle name="60% - Акцент6 9 2" xfId="935"/>
    <cellStyle name="60% - Акцент6 9 2 2" xfId="6395"/>
    <cellStyle name="60% - Акцент6 9 3" xfId="936"/>
    <cellStyle name="60% - Акцент6 9 3 2" xfId="6396"/>
    <cellStyle name="60% - Акцент6 9 4" xfId="6389"/>
    <cellStyle name="60% - Акцент6 9 5" xfId="6397"/>
    <cellStyle name="60% - Акцент6 9 6" xfId="6398"/>
    <cellStyle name="60% - Акцент6 9 7" xfId="6399"/>
    <cellStyle name="60% - Акцент6 9 8" xfId="6400"/>
    <cellStyle name="60% - Акцент6 9 9" xfId="6401"/>
    <cellStyle name="Акцент1 10" xfId="937"/>
    <cellStyle name="Акцент1 10 10" xfId="6403"/>
    <cellStyle name="Акцент1 10 11" xfId="6404"/>
    <cellStyle name="Акцент1 10 12" xfId="6405"/>
    <cellStyle name="Акцент1 10 13" xfId="6406"/>
    <cellStyle name="Акцент1 10 14" xfId="6407"/>
    <cellStyle name="Акцент1 10 2" xfId="938"/>
    <cellStyle name="Акцент1 10 2 2" xfId="6408"/>
    <cellStyle name="Акцент1 10 3" xfId="939"/>
    <cellStyle name="Акцент1 10 3 2" xfId="6409"/>
    <cellStyle name="Акцент1 10 4" xfId="6402"/>
    <cellStyle name="Акцент1 10 5" xfId="6410"/>
    <cellStyle name="Акцент1 10 6" xfId="6411"/>
    <cellStyle name="Акцент1 10 7" xfId="6412"/>
    <cellStyle name="Акцент1 10 8" xfId="6413"/>
    <cellStyle name="Акцент1 10 9" xfId="6414"/>
    <cellStyle name="Акцент1 11" xfId="940"/>
    <cellStyle name="Акцент1 11 10" xfId="6416"/>
    <cellStyle name="Акцент1 11 11" xfId="6417"/>
    <cellStyle name="Акцент1 11 12" xfId="6418"/>
    <cellStyle name="Акцент1 11 13" xfId="6419"/>
    <cellStyle name="Акцент1 11 14" xfId="6420"/>
    <cellStyle name="Акцент1 11 2" xfId="941"/>
    <cellStyle name="Акцент1 11 2 2" xfId="6421"/>
    <cellStyle name="Акцент1 11 3" xfId="942"/>
    <cellStyle name="Акцент1 11 3 2" xfId="6422"/>
    <cellStyle name="Акцент1 11 4" xfId="6415"/>
    <cellStyle name="Акцент1 11 5" xfId="6423"/>
    <cellStyle name="Акцент1 11 6" xfId="6424"/>
    <cellStyle name="Акцент1 11 7" xfId="6425"/>
    <cellStyle name="Акцент1 11 8" xfId="6426"/>
    <cellStyle name="Акцент1 11 9" xfId="6427"/>
    <cellStyle name="Акцент1 12" xfId="943"/>
    <cellStyle name="Акцент1 12 10" xfId="6429"/>
    <cellStyle name="Акцент1 12 11" xfId="6430"/>
    <cellStyle name="Акцент1 12 12" xfId="6431"/>
    <cellStyle name="Акцент1 12 13" xfId="6432"/>
    <cellStyle name="Акцент1 12 14" xfId="6433"/>
    <cellStyle name="Акцент1 12 2" xfId="944"/>
    <cellStyle name="Акцент1 12 2 2" xfId="6434"/>
    <cellStyle name="Акцент1 12 3" xfId="945"/>
    <cellStyle name="Акцент1 12 3 2" xfId="6435"/>
    <cellStyle name="Акцент1 12 4" xfId="6428"/>
    <cellStyle name="Акцент1 12 5" xfId="6436"/>
    <cellStyle name="Акцент1 12 6" xfId="6437"/>
    <cellStyle name="Акцент1 12 7" xfId="6438"/>
    <cellStyle name="Акцент1 12 8" xfId="6439"/>
    <cellStyle name="Акцент1 12 9" xfId="6440"/>
    <cellStyle name="Акцент1 13" xfId="946"/>
    <cellStyle name="Акцент1 13 10" xfId="6442"/>
    <cellStyle name="Акцент1 13 11" xfId="6443"/>
    <cellStyle name="Акцент1 13 12" xfId="6444"/>
    <cellStyle name="Акцент1 13 13" xfId="6445"/>
    <cellStyle name="Акцент1 13 14" xfId="6446"/>
    <cellStyle name="Акцент1 13 2" xfId="947"/>
    <cellStyle name="Акцент1 13 2 2" xfId="6447"/>
    <cellStyle name="Акцент1 13 3" xfId="948"/>
    <cellStyle name="Акцент1 13 3 2" xfId="6448"/>
    <cellStyle name="Акцент1 13 4" xfId="6441"/>
    <cellStyle name="Акцент1 13 5" xfId="6449"/>
    <cellStyle name="Акцент1 13 6" xfId="6450"/>
    <cellStyle name="Акцент1 13 7" xfId="6451"/>
    <cellStyle name="Акцент1 13 8" xfId="6452"/>
    <cellStyle name="Акцент1 13 9" xfId="6453"/>
    <cellStyle name="Акцент1 14" xfId="949"/>
    <cellStyle name="Акцент1 14 10" xfId="6455"/>
    <cellStyle name="Акцент1 14 11" xfId="6456"/>
    <cellStyle name="Акцент1 14 12" xfId="6457"/>
    <cellStyle name="Акцент1 14 13" xfId="6458"/>
    <cellStyle name="Акцент1 14 14" xfId="6459"/>
    <cellStyle name="Акцент1 14 2" xfId="950"/>
    <cellStyle name="Акцент1 14 2 2" xfId="6460"/>
    <cellStyle name="Акцент1 14 3" xfId="951"/>
    <cellStyle name="Акцент1 14 3 2" xfId="6461"/>
    <cellStyle name="Акцент1 14 4" xfId="6454"/>
    <cellStyle name="Акцент1 14 5" xfId="6462"/>
    <cellStyle name="Акцент1 14 6" xfId="6463"/>
    <cellStyle name="Акцент1 14 7" xfId="6464"/>
    <cellStyle name="Акцент1 14 8" xfId="6465"/>
    <cellStyle name="Акцент1 14 9" xfId="6466"/>
    <cellStyle name="Акцент1 15" xfId="952"/>
    <cellStyle name="Акцент1 15 10" xfId="6468"/>
    <cellStyle name="Акцент1 15 11" xfId="6469"/>
    <cellStyle name="Акцент1 15 12" xfId="6470"/>
    <cellStyle name="Акцент1 15 13" xfId="6471"/>
    <cellStyle name="Акцент1 15 14" xfId="6472"/>
    <cellStyle name="Акцент1 15 2" xfId="953"/>
    <cellStyle name="Акцент1 15 2 2" xfId="6473"/>
    <cellStyle name="Акцент1 15 3" xfId="954"/>
    <cellStyle name="Акцент1 15 3 2" xfId="6474"/>
    <cellStyle name="Акцент1 15 4" xfId="6467"/>
    <cellStyle name="Акцент1 15 5" xfId="6475"/>
    <cellStyle name="Акцент1 15 6" xfId="6476"/>
    <cellStyle name="Акцент1 15 7" xfId="6477"/>
    <cellStyle name="Акцент1 15 8" xfId="6478"/>
    <cellStyle name="Акцент1 15 9" xfId="6479"/>
    <cellStyle name="Акцент1 16" xfId="955"/>
    <cellStyle name="Акцент1 16 10" xfId="6481"/>
    <cellStyle name="Акцент1 16 11" xfId="6482"/>
    <cellStyle name="Акцент1 16 12" xfId="6483"/>
    <cellStyle name="Акцент1 16 13" xfId="6484"/>
    <cellStyle name="Акцент1 16 14" xfId="6485"/>
    <cellStyle name="Акцент1 16 2" xfId="956"/>
    <cellStyle name="Акцент1 16 2 2" xfId="6486"/>
    <cellStyle name="Акцент1 16 3" xfId="957"/>
    <cellStyle name="Акцент1 16 3 2" xfId="6487"/>
    <cellStyle name="Акцент1 16 4" xfId="6480"/>
    <cellStyle name="Акцент1 16 5" xfId="6488"/>
    <cellStyle name="Акцент1 16 6" xfId="6489"/>
    <cellStyle name="Акцент1 16 7" xfId="6490"/>
    <cellStyle name="Акцент1 16 8" xfId="6491"/>
    <cellStyle name="Акцент1 16 9" xfId="6492"/>
    <cellStyle name="Акцент1 17" xfId="958"/>
    <cellStyle name="Акцент1 17 10" xfId="6494"/>
    <cellStyle name="Акцент1 17 11" xfId="6495"/>
    <cellStyle name="Акцент1 17 12" xfId="6496"/>
    <cellStyle name="Акцент1 17 13" xfId="6497"/>
    <cellStyle name="Акцент1 17 14" xfId="6498"/>
    <cellStyle name="Акцент1 17 2" xfId="959"/>
    <cellStyle name="Акцент1 17 2 2" xfId="6499"/>
    <cellStyle name="Акцент1 17 3" xfId="960"/>
    <cellStyle name="Акцент1 17 3 2" xfId="6500"/>
    <cellStyle name="Акцент1 17 4" xfId="6493"/>
    <cellStyle name="Акцент1 17 5" xfId="6501"/>
    <cellStyle name="Акцент1 17 6" xfId="6502"/>
    <cellStyle name="Акцент1 17 7" xfId="6503"/>
    <cellStyle name="Акцент1 17 8" xfId="6504"/>
    <cellStyle name="Акцент1 17 9" xfId="6505"/>
    <cellStyle name="Акцент1 18" xfId="961"/>
    <cellStyle name="Акцент1 18 2" xfId="962"/>
    <cellStyle name="Акцент1 18 2 2" xfId="6507"/>
    <cellStyle name="Акцент1 18 3" xfId="6506"/>
    <cellStyle name="Акцент1 19" xfId="963"/>
    <cellStyle name="Акцент1 19 2" xfId="964"/>
    <cellStyle name="Акцент1 19 2 2" xfId="6509"/>
    <cellStyle name="Акцент1 19 3" xfId="6508"/>
    <cellStyle name="Акцент1 2" xfId="965"/>
    <cellStyle name="Акцент1 2 10" xfId="6511"/>
    <cellStyle name="Акцент1 2 11" xfId="6512"/>
    <cellStyle name="Акцент1 2 12" xfId="6513"/>
    <cellStyle name="Акцент1 2 13" xfId="6514"/>
    <cellStyle name="Акцент1 2 14" xfId="6515"/>
    <cellStyle name="Акцент1 2 2" xfId="966"/>
    <cellStyle name="Акцент1 2 2 2" xfId="6516"/>
    <cellStyle name="Акцент1 2 3" xfId="967"/>
    <cellStyle name="Акцент1 2 3 2" xfId="6517"/>
    <cellStyle name="Акцент1 2 4" xfId="6510"/>
    <cellStyle name="Акцент1 2 5" xfId="6518"/>
    <cellStyle name="Акцент1 2 6" xfId="6519"/>
    <cellStyle name="Акцент1 2 7" xfId="6520"/>
    <cellStyle name="Акцент1 2 8" xfId="6521"/>
    <cellStyle name="Акцент1 2 9" xfId="6522"/>
    <cellStyle name="Акцент1 3" xfId="968"/>
    <cellStyle name="Акцент1 3 10" xfId="6524"/>
    <cellStyle name="Акцент1 3 11" xfId="6525"/>
    <cellStyle name="Акцент1 3 12" xfId="6526"/>
    <cellStyle name="Акцент1 3 13" xfId="6527"/>
    <cellStyle name="Акцент1 3 14" xfId="6528"/>
    <cellStyle name="Акцент1 3 2" xfId="969"/>
    <cellStyle name="Акцент1 3 2 2" xfId="6529"/>
    <cellStyle name="Акцент1 3 3" xfId="970"/>
    <cellStyle name="Акцент1 3 3 2" xfId="6530"/>
    <cellStyle name="Акцент1 3 4" xfId="6523"/>
    <cellStyle name="Акцент1 3 5" xfId="6531"/>
    <cellStyle name="Акцент1 3 6" xfId="6532"/>
    <cellStyle name="Акцент1 3 7" xfId="6533"/>
    <cellStyle name="Акцент1 3 8" xfId="6534"/>
    <cellStyle name="Акцент1 3 9" xfId="6535"/>
    <cellStyle name="Акцент1 4" xfId="971"/>
    <cellStyle name="Акцент1 4 10" xfId="6537"/>
    <cellStyle name="Акцент1 4 11" xfId="6538"/>
    <cellStyle name="Акцент1 4 12" xfId="6539"/>
    <cellStyle name="Акцент1 4 13" xfId="6540"/>
    <cellStyle name="Акцент1 4 14" xfId="6541"/>
    <cellStyle name="Акцент1 4 2" xfId="972"/>
    <cellStyle name="Акцент1 4 2 2" xfId="6542"/>
    <cellStyle name="Акцент1 4 3" xfId="973"/>
    <cellStyle name="Акцент1 4 3 2" xfId="6543"/>
    <cellStyle name="Акцент1 4 4" xfId="6536"/>
    <cellStyle name="Акцент1 4 5" xfId="6544"/>
    <cellStyle name="Акцент1 4 6" xfId="6545"/>
    <cellStyle name="Акцент1 4 7" xfId="6546"/>
    <cellStyle name="Акцент1 4 8" xfId="6547"/>
    <cellStyle name="Акцент1 4 9" xfId="6548"/>
    <cellStyle name="Акцент1 5" xfId="974"/>
    <cellStyle name="Акцент1 5 10" xfId="6550"/>
    <cellStyle name="Акцент1 5 11" xfId="6551"/>
    <cellStyle name="Акцент1 5 12" xfId="6552"/>
    <cellStyle name="Акцент1 5 13" xfId="6553"/>
    <cellStyle name="Акцент1 5 14" xfId="6554"/>
    <cellStyle name="Акцент1 5 2" xfId="975"/>
    <cellStyle name="Акцент1 5 2 2" xfId="6555"/>
    <cellStyle name="Акцент1 5 3" xfId="976"/>
    <cellStyle name="Акцент1 5 3 2" xfId="6556"/>
    <cellStyle name="Акцент1 5 4" xfId="6549"/>
    <cellStyle name="Акцент1 5 5" xfId="6557"/>
    <cellStyle name="Акцент1 5 6" xfId="6558"/>
    <cellStyle name="Акцент1 5 7" xfId="6559"/>
    <cellStyle name="Акцент1 5 8" xfId="6560"/>
    <cellStyle name="Акцент1 5 9" xfId="6561"/>
    <cellStyle name="Акцент1 6" xfId="977"/>
    <cellStyle name="Акцент1 6 10" xfId="6563"/>
    <cellStyle name="Акцент1 6 11" xfId="6564"/>
    <cellStyle name="Акцент1 6 12" xfId="6565"/>
    <cellStyle name="Акцент1 6 13" xfId="6566"/>
    <cellStyle name="Акцент1 6 14" xfId="6567"/>
    <cellStyle name="Акцент1 6 2" xfId="978"/>
    <cellStyle name="Акцент1 6 2 2" xfId="6568"/>
    <cellStyle name="Акцент1 6 3" xfId="979"/>
    <cellStyle name="Акцент1 6 3 2" xfId="6569"/>
    <cellStyle name="Акцент1 6 4" xfId="6562"/>
    <cellStyle name="Акцент1 6 5" xfId="6570"/>
    <cellStyle name="Акцент1 6 6" xfId="6571"/>
    <cellStyle name="Акцент1 6 7" xfId="6572"/>
    <cellStyle name="Акцент1 6 8" xfId="6573"/>
    <cellStyle name="Акцент1 6 9" xfId="6574"/>
    <cellStyle name="Акцент1 7" xfId="980"/>
    <cellStyle name="Акцент1 7 10" xfId="6576"/>
    <cellStyle name="Акцент1 7 11" xfId="6577"/>
    <cellStyle name="Акцент1 7 12" xfId="6578"/>
    <cellStyle name="Акцент1 7 13" xfId="6579"/>
    <cellStyle name="Акцент1 7 14" xfId="6580"/>
    <cellStyle name="Акцент1 7 2" xfId="981"/>
    <cellStyle name="Акцент1 7 2 2" xfId="6581"/>
    <cellStyle name="Акцент1 7 3" xfId="982"/>
    <cellStyle name="Акцент1 7 3 2" xfId="6582"/>
    <cellStyle name="Акцент1 7 4" xfId="6575"/>
    <cellStyle name="Акцент1 7 5" xfId="6583"/>
    <cellStyle name="Акцент1 7 6" xfId="6584"/>
    <cellStyle name="Акцент1 7 7" xfId="6585"/>
    <cellStyle name="Акцент1 7 8" xfId="6586"/>
    <cellStyle name="Акцент1 7 9" xfId="6587"/>
    <cellStyle name="Акцент1 8" xfId="983"/>
    <cellStyle name="Акцент1 8 10" xfId="6589"/>
    <cellStyle name="Акцент1 8 11" xfId="6590"/>
    <cellStyle name="Акцент1 8 12" xfId="6591"/>
    <cellStyle name="Акцент1 8 13" xfId="6592"/>
    <cellStyle name="Акцент1 8 14" xfId="6593"/>
    <cellStyle name="Акцент1 8 2" xfId="984"/>
    <cellStyle name="Акцент1 8 2 2" xfId="6594"/>
    <cellStyle name="Акцент1 8 3" xfId="985"/>
    <cellStyle name="Акцент1 8 3 2" xfId="6595"/>
    <cellStyle name="Акцент1 8 4" xfId="6588"/>
    <cellStyle name="Акцент1 8 5" xfId="6596"/>
    <cellStyle name="Акцент1 8 6" xfId="6597"/>
    <cellStyle name="Акцент1 8 7" xfId="6598"/>
    <cellStyle name="Акцент1 8 8" xfId="6599"/>
    <cellStyle name="Акцент1 8 9" xfId="6600"/>
    <cellStyle name="Акцент1 9" xfId="986"/>
    <cellStyle name="Акцент1 9 10" xfId="6602"/>
    <cellStyle name="Акцент1 9 11" xfId="6603"/>
    <cellStyle name="Акцент1 9 12" xfId="6604"/>
    <cellStyle name="Акцент1 9 13" xfId="6605"/>
    <cellStyle name="Акцент1 9 14" xfId="6606"/>
    <cellStyle name="Акцент1 9 2" xfId="987"/>
    <cellStyle name="Акцент1 9 2 2" xfId="6607"/>
    <cellStyle name="Акцент1 9 3" xfId="988"/>
    <cellStyle name="Акцент1 9 3 2" xfId="6608"/>
    <cellStyle name="Акцент1 9 4" xfId="6601"/>
    <cellStyle name="Акцент1 9 5" xfId="6609"/>
    <cellStyle name="Акцент1 9 6" xfId="6610"/>
    <cellStyle name="Акцент1 9 7" xfId="6611"/>
    <cellStyle name="Акцент1 9 8" xfId="6612"/>
    <cellStyle name="Акцент1 9 9" xfId="6613"/>
    <cellStyle name="Акцент2 10" xfId="989"/>
    <cellStyle name="Акцент2 10 10" xfId="6615"/>
    <cellStyle name="Акцент2 10 11" xfId="6616"/>
    <cellStyle name="Акцент2 10 12" xfId="6617"/>
    <cellStyle name="Акцент2 10 13" xfId="6618"/>
    <cellStyle name="Акцент2 10 14" xfId="6619"/>
    <cellStyle name="Акцент2 10 2" xfId="990"/>
    <cellStyle name="Акцент2 10 2 2" xfId="6620"/>
    <cellStyle name="Акцент2 10 3" xfId="991"/>
    <cellStyle name="Акцент2 10 3 2" xfId="6621"/>
    <cellStyle name="Акцент2 10 4" xfId="6614"/>
    <cellStyle name="Акцент2 10 5" xfId="6622"/>
    <cellStyle name="Акцент2 10 6" xfId="6623"/>
    <cellStyle name="Акцент2 10 7" xfId="6624"/>
    <cellStyle name="Акцент2 10 8" xfId="6625"/>
    <cellStyle name="Акцент2 10 9" xfId="6626"/>
    <cellStyle name="Акцент2 11" xfId="992"/>
    <cellStyle name="Акцент2 11 10" xfId="6628"/>
    <cellStyle name="Акцент2 11 11" xfId="6629"/>
    <cellStyle name="Акцент2 11 12" xfId="6630"/>
    <cellStyle name="Акцент2 11 13" xfId="6631"/>
    <cellStyle name="Акцент2 11 14" xfId="6632"/>
    <cellStyle name="Акцент2 11 2" xfId="993"/>
    <cellStyle name="Акцент2 11 2 2" xfId="6633"/>
    <cellStyle name="Акцент2 11 3" xfId="994"/>
    <cellStyle name="Акцент2 11 3 2" xfId="6634"/>
    <cellStyle name="Акцент2 11 4" xfId="6627"/>
    <cellStyle name="Акцент2 11 5" xfId="6635"/>
    <cellStyle name="Акцент2 11 6" xfId="6636"/>
    <cellStyle name="Акцент2 11 7" xfId="6637"/>
    <cellStyle name="Акцент2 11 8" xfId="6638"/>
    <cellStyle name="Акцент2 11 9" xfId="6639"/>
    <cellStyle name="Акцент2 12" xfId="995"/>
    <cellStyle name="Акцент2 12 10" xfId="6641"/>
    <cellStyle name="Акцент2 12 11" xfId="6642"/>
    <cellStyle name="Акцент2 12 12" xfId="6643"/>
    <cellStyle name="Акцент2 12 13" xfId="6644"/>
    <cellStyle name="Акцент2 12 14" xfId="6645"/>
    <cellStyle name="Акцент2 12 2" xfId="996"/>
    <cellStyle name="Акцент2 12 2 2" xfId="6646"/>
    <cellStyle name="Акцент2 12 3" xfId="997"/>
    <cellStyle name="Акцент2 12 3 2" xfId="6647"/>
    <cellStyle name="Акцент2 12 4" xfId="6640"/>
    <cellStyle name="Акцент2 12 5" xfId="6648"/>
    <cellStyle name="Акцент2 12 6" xfId="6649"/>
    <cellStyle name="Акцент2 12 7" xfId="6650"/>
    <cellStyle name="Акцент2 12 8" xfId="6651"/>
    <cellStyle name="Акцент2 12 9" xfId="6652"/>
    <cellStyle name="Акцент2 13" xfId="998"/>
    <cellStyle name="Акцент2 13 10" xfId="6654"/>
    <cellStyle name="Акцент2 13 11" xfId="6655"/>
    <cellStyle name="Акцент2 13 12" xfId="6656"/>
    <cellStyle name="Акцент2 13 13" xfId="6657"/>
    <cellStyle name="Акцент2 13 14" xfId="6658"/>
    <cellStyle name="Акцент2 13 2" xfId="999"/>
    <cellStyle name="Акцент2 13 2 2" xfId="6659"/>
    <cellStyle name="Акцент2 13 3" xfId="1000"/>
    <cellStyle name="Акцент2 13 3 2" xfId="6660"/>
    <cellStyle name="Акцент2 13 4" xfId="6653"/>
    <cellStyle name="Акцент2 13 5" xfId="6661"/>
    <cellStyle name="Акцент2 13 6" xfId="6662"/>
    <cellStyle name="Акцент2 13 7" xfId="6663"/>
    <cellStyle name="Акцент2 13 8" xfId="6664"/>
    <cellStyle name="Акцент2 13 9" xfId="6665"/>
    <cellStyle name="Акцент2 14" xfId="1001"/>
    <cellStyle name="Акцент2 14 10" xfId="6667"/>
    <cellStyle name="Акцент2 14 11" xfId="6668"/>
    <cellStyle name="Акцент2 14 12" xfId="6669"/>
    <cellStyle name="Акцент2 14 13" xfId="6670"/>
    <cellStyle name="Акцент2 14 14" xfId="6671"/>
    <cellStyle name="Акцент2 14 2" xfId="1002"/>
    <cellStyle name="Акцент2 14 2 2" xfId="6672"/>
    <cellStyle name="Акцент2 14 3" xfId="1003"/>
    <cellStyle name="Акцент2 14 3 2" xfId="6673"/>
    <cellStyle name="Акцент2 14 4" xfId="6666"/>
    <cellStyle name="Акцент2 14 5" xfId="6674"/>
    <cellStyle name="Акцент2 14 6" xfId="6675"/>
    <cellStyle name="Акцент2 14 7" xfId="6676"/>
    <cellStyle name="Акцент2 14 8" xfId="6677"/>
    <cellStyle name="Акцент2 14 9" xfId="6678"/>
    <cellStyle name="Акцент2 15" xfId="1004"/>
    <cellStyle name="Акцент2 15 10" xfId="6680"/>
    <cellStyle name="Акцент2 15 11" xfId="6681"/>
    <cellStyle name="Акцент2 15 12" xfId="6682"/>
    <cellStyle name="Акцент2 15 13" xfId="6683"/>
    <cellStyle name="Акцент2 15 14" xfId="6684"/>
    <cellStyle name="Акцент2 15 2" xfId="1005"/>
    <cellStyle name="Акцент2 15 2 2" xfId="6685"/>
    <cellStyle name="Акцент2 15 3" xfId="1006"/>
    <cellStyle name="Акцент2 15 3 2" xfId="6686"/>
    <cellStyle name="Акцент2 15 4" xfId="6679"/>
    <cellStyle name="Акцент2 15 5" xfId="6687"/>
    <cellStyle name="Акцент2 15 6" xfId="6688"/>
    <cellStyle name="Акцент2 15 7" xfId="6689"/>
    <cellStyle name="Акцент2 15 8" xfId="6690"/>
    <cellStyle name="Акцент2 15 9" xfId="6691"/>
    <cellStyle name="Акцент2 16" xfId="1007"/>
    <cellStyle name="Акцент2 16 10" xfId="6693"/>
    <cellStyle name="Акцент2 16 11" xfId="6694"/>
    <cellStyle name="Акцент2 16 12" xfId="6695"/>
    <cellStyle name="Акцент2 16 13" xfId="6696"/>
    <cellStyle name="Акцент2 16 14" xfId="6697"/>
    <cellStyle name="Акцент2 16 2" xfId="1008"/>
    <cellStyle name="Акцент2 16 2 2" xfId="6698"/>
    <cellStyle name="Акцент2 16 3" xfId="1009"/>
    <cellStyle name="Акцент2 16 3 2" xfId="6699"/>
    <cellStyle name="Акцент2 16 4" xfId="6692"/>
    <cellStyle name="Акцент2 16 5" xfId="6700"/>
    <cellStyle name="Акцент2 16 6" xfId="6701"/>
    <cellStyle name="Акцент2 16 7" xfId="6702"/>
    <cellStyle name="Акцент2 16 8" xfId="6703"/>
    <cellStyle name="Акцент2 16 9" xfId="6704"/>
    <cellStyle name="Акцент2 17" xfId="1010"/>
    <cellStyle name="Акцент2 17 10" xfId="6706"/>
    <cellStyle name="Акцент2 17 11" xfId="6707"/>
    <cellStyle name="Акцент2 17 12" xfId="6708"/>
    <cellStyle name="Акцент2 17 13" xfId="6709"/>
    <cellStyle name="Акцент2 17 14" xfId="6710"/>
    <cellStyle name="Акцент2 17 2" xfId="1011"/>
    <cellStyle name="Акцент2 17 2 2" xfId="6711"/>
    <cellStyle name="Акцент2 17 3" xfId="1012"/>
    <cellStyle name="Акцент2 17 3 2" xfId="6712"/>
    <cellStyle name="Акцент2 17 4" xfId="6705"/>
    <cellStyle name="Акцент2 17 5" xfId="6713"/>
    <cellStyle name="Акцент2 17 6" xfId="6714"/>
    <cellStyle name="Акцент2 17 7" xfId="6715"/>
    <cellStyle name="Акцент2 17 8" xfId="6716"/>
    <cellStyle name="Акцент2 17 9" xfId="6717"/>
    <cellStyle name="Акцент2 18" xfId="1013"/>
    <cellStyle name="Акцент2 18 2" xfId="1014"/>
    <cellStyle name="Акцент2 18 2 2" xfId="6719"/>
    <cellStyle name="Акцент2 18 3" xfId="6718"/>
    <cellStyle name="Акцент2 19" xfId="1015"/>
    <cellStyle name="Акцент2 19 2" xfId="1016"/>
    <cellStyle name="Акцент2 19 2 2" xfId="6721"/>
    <cellStyle name="Акцент2 19 3" xfId="6720"/>
    <cellStyle name="Акцент2 2" xfId="1017"/>
    <cellStyle name="Акцент2 2 10" xfId="6723"/>
    <cellStyle name="Акцент2 2 11" xfId="6724"/>
    <cellStyle name="Акцент2 2 12" xfId="6725"/>
    <cellStyle name="Акцент2 2 13" xfId="6726"/>
    <cellStyle name="Акцент2 2 14" xfId="6727"/>
    <cellStyle name="Акцент2 2 2" xfId="1018"/>
    <cellStyle name="Акцент2 2 2 2" xfId="6728"/>
    <cellStyle name="Акцент2 2 3" xfId="1019"/>
    <cellStyle name="Акцент2 2 3 2" xfId="6729"/>
    <cellStyle name="Акцент2 2 4" xfId="6722"/>
    <cellStyle name="Акцент2 2 5" xfId="6730"/>
    <cellStyle name="Акцент2 2 6" xfId="6731"/>
    <cellStyle name="Акцент2 2 7" xfId="6732"/>
    <cellStyle name="Акцент2 2 8" xfId="6733"/>
    <cellStyle name="Акцент2 2 9" xfId="6734"/>
    <cellStyle name="Акцент2 3" xfId="1020"/>
    <cellStyle name="Акцент2 3 10" xfId="6736"/>
    <cellStyle name="Акцент2 3 11" xfId="6737"/>
    <cellStyle name="Акцент2 3 12" xfId="6738"/>
    <cellStyle name="Акцент2 3 13" xfId="6739"/>
    <cellStyle name="Акцент2 3 14" xfId="6740"/>
    <cellStyle name="Акцент2 3 2" xfId="1021"/>
    <cellStyle name="Акцент2 3 2 2" xfId="6741"/>
    <cellStyle name="Акцент2 3 3" xfId="1022"/>
    <cellStyle name="Акцент2 3 3 2" xfId="6742"/>
    <cellStyle name="Акцент2 3 4" xfId="6735"/>
    <cellStyle name="Акцент2 3 5" xfId="6743"/>
    <cellStyle name="Акцент2 3 6" xfId="6744"/>
    <cellStyle name="Акцент2 3 7" xfId="6745"/>
    <cellStyle name="Акцент2 3 8" xfId="6746"/>
    <cellStyle name="Акцент2 3 9" xfId="6747"/>
    <cellStyle name="Акцент2 4" xfId="1023"/>
    <cellStyle name="Акцент2 4 10" xfId="6749"/>
    <cellStyle name="Акцент2 4 11" xfId="6750"/>
    <cellStyle name="Акцент2 4 12" xfId="6751"/>
    <cellStyle name="Акцент2 4 13" xfId="6752"/>
    <cellStyle name="Акцент2 4 14" xfId="6753"/>
    <cellStyle name="Акцент2 4 2" xfId="1024"/>
    <cellStyle name="Акцент2 4 2 2" xfId="6754"/>
    <cellStyle name="Акцент2 4 3" xfId="1025"/>
    <cellStyle name="Акцент2 4 3 2" xfId="6755"/>
    <cellStyle name="Акцент2 4 4" xfId="6748"/>
    <cellStyle name="Акцент2 4 5" xfId="6756"/>
    <cellStyle name="Акцент2 4 6" xfId="6757"/>
    <cellStyle name="Акцент2 4 7" xfId="6758"/>
    <cellStyle name="Акцент2 4 8" xfId="6759"/>
    <cellStyle name="Акцент2 4 9" xfId="6760"/>
    <cellStyle name="Акцент2 5" xfId="1026"/>
    <cellStyle name="Акцент2 5 10" xfId="6762"/>
    <cellStyle name="Акцент2 5 11" xfId="6763"/>
    <cellStyle name="Акцент2 5 12" xfId="6764"/>
    <cellStyle name="Акцент2 5 13" xfId="6765"/>
    <cellStyle name="Акцент2 5 14" xfId="6766"/>
    <cellStyle name="Акцент2 5 2" xfId="1027"/>
    <cellStyle name="Акцент2 5 2 2" xfId="6767"/>
    <cellStyle name="Акцент2 5 3" xfId="1028"/>
    <cellStyle name="Акцент2 5 3 2" xfId="6768"/>
    <cellStyle name="Акцент2 5 4" xfId="6761"/>
    <cellStyle name="Акцент2 5 5" xfId="6769"/>
    <cellStyle name="Акцент2 5 6" xfId="6770"/>
    <cellStyle name="Акцент2 5 7" xfId="6771"/>
    <cellStyle name="Акцент2 5 8" xfId="6772"/>
    <cellStyle name="Акцент2 5 9" xfId="6773"/>
    <cellStyle name="Акцент2 6" xfId="1029"/>
    <cellStyle name="Акцент2 6 10" xfId="6775"/>
    <cellStyle name="Акцент2 6 11" xfId="6776"/>
    <cellStyle name="Акцент2 6 12" xfId="6777"/>
    <cellStyle name="Акцент2 6 13" xfId="6778"/>
    <cellStyle name="Акцент2 6 14" xfId="6779"/>
    <cellStyle name="Акцент2 6 2" xfId="1030"/>
    <cellStyle name="Акцент2 6 2 2" xfId="6780"/>
    <cellStyle name="Акцент2 6 3" xfId="1031"/>
    <cellStyle name="Акцент2 6 3 2" xfId="6781"/>
    <cellStyle name="Акцент2 6 4" xfId="6774"/>
    <cellStyle name="Акцент2 6 5" xfId="6782"/>
    <cellStyle name="Акцент2 6 6" xfId="6783"/>
    <cellStyle name="Акцент2 6 7" xfId="6784"/>
    <cellStyle name="Акцент2 6 8" xfId="6785"/>
    <cellStyle name="Акцент2 6 9" xfId="6786"/>
    <cellStyle name="Акцент2 7" xfId="1032"/>
    <cellStyle name="Акцент2 7 10" xfId="6788"/>
    <cellStyle name="Акцент2 7 11" xfId="6789"/>
    <cellStyle name="Акцент2 7 12" xfId="6790"/>
    <cellStyle name="Акцент2 7 13" xfId="6791"/>
    <cellStyle name="Акцент2 7 14" xfId="6792"/>
    <cellStyle name="Акцент2 7 2" xfId="1033"/>
    <cellStyle name="Акцент2 7 2 2" xfId="6793"/>
    <cellStyle name="Акцент2 7 3" xfId="1034"/>
    <cellStyle name="Акцент2 7 3 2" xfId="6794"/>
    <cellStyle name="Акцент2 7 4" xfId="6787"/>
    <cellStyle name="Акцент2 7 5" xfId="6795"/>
    <cellStyle name="Акцент2 7 6" xfId="6796"/>
    <cellStyle name="Акцент2 7 7" xfId="6797"/>
    <cellStyle name="Акцент2 7 8" xfId="6798"/>
    <cellStyle name="Акцент2 7 9" xfId="6799"/>
    <cellStyle name="Акцент2 8" xfId="1035"/>
    <cellStyle name="Акцент2 8 10" xfId="6801"/>
    <cellStyle name="Акцент2 8 11" xfId="6802"/>
    <cellStyle name="Акцент2 8 12" xfId="6803"/>
    <cellStyle name="Акцент2 8 13" xfId="6804"/>
    <cellStyle name="Акцент2 8 14" xfId="6805"/>
    <cellStyle name="Акцент2 8 2" xfId="1036"/>
    <cellStyle name="Акцент2 8 2 2" xfId="6806"/>
    <cellStyle name="Акцент2 8 3" xfId="1037"/>
    <cellStyle name="Акцент2 8 3 2" xfId="6807"/>
    <cellStyle name="Акцент2 8 4" xfId="6800"/>
    <cellStyle name="Акцент2 8 5" xfId="6808"/>
    <cellStyle name="Акцент2 8 6" xfId="6809"/>
    <cellStyle name="Акцент2 8 7" xfId="6810"/>
    <cellStyle name="Акцент2 8 8" xfId="6811"/>
    <cellStyle name="Акцент2 8 9" xfId="6812"/>
    <cellStyle name="Акцент2 9" xfId="1038"/>
    <cellStyle name="Акцент2 9 10" xfId="6814"/>
    <cellStyle name="Акцент2 9 11" xfId="6815"/>
    <cellStyle name="Акцент2 9 12" xfId="6816"/>
    <cellStyle name="Акцент2 9 13" xfId="6817"/>
    <cellStyle name="Акцент2 9 14" xfId="6818"/>
    <cellStyle name="Акцент2 9 2" xfId="1039"/>
    <cellStyle name="Акцент2 9 2 2" xfId="6819"/>
    <cellStyle name="Акцент2 9 3" xfId="1040"/>
    <cellStyle name="Акцент2 9 3 2" xfId="6820"/>
    <cellStyle name="Акцент2 9 4" xfId="6813"/>
    <cellStyle name="Акцент2 9 5" xfId="6821"/>
    <cellStyle name="Акцент2 9 6" xfId="6822"/>
    <cellStyle name="Акцент2 9 7" xfId="6823"/>
    <cellStyle name="Акцент2 9 8" xfId="6824"/>
    <cellStyle name="Акцент2 9 9" xfId="6825"/>
    <cellStyle name="Акцент3 10" xfId="1041"/>
    <cellStyle name="Акцент3 10 10" xfId="6827"/>
    <cellStyle name="Акцент3 10 11" xfId="6828"/>
    <cellStyle name="Акцент3 10 12" xfId="6829"/>
    <cellStyle name="Акцент3 10 13" xfId="6830"/>
    <cellStyle name="Акцент3 10 14" xfId="6831"/>
    <cellStyle name="Акцент3 10 2" xfId="1042"/>
    <cellStyle name="Акцент3 10 2 2" xfId="6832"/>
    <cellStyle name="Акцент3 10 3" xfId="1043"/>
    <cellStyle name="Акцент3 10 3 2" xfId="6833"/>
    <cellStyle name="Акцент3 10 4" xfId="6826"/>
    <cellStyle name="Акцент3 10 5" xfId="6834"/>
    <cellStyle name="Акцент3 10 6" xfId="6835"/>
    <cellStyle name="Акцент3 10 7" xfId="6836"/>
    <cellStyle name="Акцент3 10 8" xfId="6837"/>
    <cellStyle name="Акцент3 10 9" xfId="6838"/>
    <cellStyle name="Акцент3 11" xfId="1044"/>
    <cellStyle name="Акцент3 11 10" xfId="6840"/>
    <cellStyle name="Акцент3 11 11" xfId="6841"/>
    <cellStyle name="Акцент3 11 12" xfId="6842"/>
    <cellStyle name="Акцент3 11 13" xfId="6843"/>
    <cellStyle name="Акцент3 11 14" xfId="6844"/>
    <cellStyle name="Акцент3 11 2" xfId="1045"/>
    <cellStyle name="Акцент3 11 2 2" xfId="6845"/>
    <cellStyle name="Акцент3 11 3" xfId="1046"/>
    <cellStyle name="Акцент3 11 3 2" xfId="6846"/>
    <cellStyle name="Акцент3 11 4" xfId="6839"/>
    <cellStyle name="Акцент3 11 5" xfId="6847"/>
    <cellStyle name="Акцент3 11 6" xfId="6848"/>
    <cellStyle name="Акцент3 11 7" xfId="6849"/>
    <cellStyle name="Акцент3 11 8" xfId="6850"/>
    <cellStyle name="Акцент3 11 9" xfId="6851"/>
    <cellStyle name="Акцент3 12" xfId="1047"/>
    <cellStyle name="Акцент3 12 10" xfId="6853"/>
    <cellStyle name="Акцент3 12 11" xfId="6854"/>
    <cellStyle name="Акцент3 12 12" xfId="6855"/>
    <cellStyle name="Акцент3 12 13" xfId="6856"/>
    <cellStyle name="Акцент3 12 14" xfId="6857"/>
    <cellStyle name="Акцент3 12 2" xfId="1048"/>
    <cellStyle name="Акцент3 12 2 2" xfId="6858"/>
    <cellStyle name="Акцент3 12 3" xfId="1049"/>
    <cellStyle name="Акцент3 12 3 2" xfId="6859"/>
    <cellStyle name="Акцент3 12 4" xfId="6852"/>
    <cellStyle name="Акцент3 12 5" xfId="6860"/>
    <cellStyle name="Акцент3 12 6" xfId="6861"/>
    <cellStyle name="Акцент3 12 7" xfId="6862"/>
    <cellStyle name="Акцент3 12 8" xfId="6863"/>
    <cellStyle name="Акцент3 12 9" xfId="6864"/>
    <cellStyle name="Акцент3 13" xfId="1050"/>
    <cellStyle name="Акцент3 13 10" xfId="6866"/>
    <cellStyle name="Акцент3 13 11" xfId="6867"/>
    <cellStyle name="Акцент3 13 12" xfId="6868"/>
    <cellStyle name="Акцент3 13 13" xfId="6869"/>
    <cellStyle name="Акцент3 13 14" xfId="6870"/>
    <cellStyle name="Акцент3 13 2" xfId="1051"/>
    <cellStyle name="Акцент3 13 2 2" xfId="6871"/>
    <cellStyle name="Акцент3 13 3" xfId="1052"/>
    <cellStyle name="Акцент3 13 3 2" xfId="6872"/>
    <cellStyle name="Акцент3 13 4" xfId="6865"/>
    <cellStyle name="Акцент3 13 5" xfId="6873"/>
    <cellStyle name="Акцент3 13 6" xfId="6874"/>
    <cellStyle name="Акцент3 13 7" xfId="6875"/>
    <cellStyle name="Акцент3 13 8" xfId="6876"/>
    <cellStyle name="Акцент3 13 9" xfId="6877"/>
    <cellStyle name="Акцент3 14" xfId="1053"/>
    <cellStyle name="Акцент3 14 10" xfId="6879"/>
    <cellStyle name="Акцент3 14 11" xfId="6880"/>
    <cellStyle name="Акцент3 14 12" xfId="6881"/>
    <cellStyle name="Акцент3 14 13" xfId="6882"/>
    <cellStyle name="Акцент3 14 14" xfId="6883"/>
    <cellStyle name="Акцент3 14 2" xfId="1054"/>
    <cellStyle name="Акцент3 14 2 2" xfId="6884"/>
    <cellStyle name="Акцент3 14 3" xfId="1055"/>
    <cellStyle name="Акцент3 14 3 2" xfId="6885"/>
    <cellStyle name="Акцент3 14 4" xfId="6878"/>
    <cellStyle name="Акцент3 14 5" xfId="6886"/>
    <cellStyle name="Акцент3 14 6" xfId="6887"/>
    <cellStyle name="Акцент3 14 7" xfId="6888"/>
    <cellStyle name="Акцент3 14 8" xfId="6889"/>
    <cellStyle name="Акцент3 14 9" xfId="6890"/>
    <cellStyle name="Акцент3 15" xfId="1056"/>
    <cellStyle name="Акцент3 15 10" xfId="6892"/>
    <cellStyle name="Акцент3 15 11" xfId="6893"/>
    <cellStyle name="Акцент3 15 12" xfId="6894"/>
    <cellStyle name="Акцент3 15 13" xfId="6895"/>
    <cellStyle name="Акцент3 15 14" xfId="6896"/>
    <cellStyle name="Акцент3 15 2" xfId="1057"/>
    <cellStyle name="Акцент3 15 2 2" xfId="6897"/>
    <cellStyle name="Акцент3 15 3" xfId="1058"/>
    <cellStyle name="Акцент3 15 3 2" xfId="6898"/>
    <cellStyle name="Акцент3 15 4" xfId="6891"/>
    <cellStyle name="Акцент3 15 5" xfId="6899"/>
    <cellStyle name="Акцент3 15 6" xfId="6900"/>
    <cellStyle name="Акцент3 15 7" xfId="6901"/>
    <cellStyle name="Акцент3 15 8" xfId="6902"/>
    <cellStyle name="Акцент3 15 9" xfId="6903"/>
    <cellStyle name="Акцент3 16" xfId="1059"/>
    <cellStyle name="Акцент3 16 10" xfId="6905"/>
    <cellStyle name="Акцент3 16 11" xfId="6906"/>
    <cellStyle name="Акцент3 16 12" xfId="6907"/>
    <cellStyle name="Акцент3 16 13" xfId="6908"/>
    <cellStyle name="Акцент3 16 14" xfId="6909"/>
    <cellStyle name="Акцент3 16 2" xfId="1060"/>
    <cellStyle name="Акцент3 16 2 2" xfId="6910"/>
    <cellStyle name="Акцент3 16 3" xfId="1061"/>
    <cellStyle name="Акцент3 16 3 2" xfId="6911"/>
    <cellStyle name="Акцент3 16 4" xfId="6904"/>
    <cellStyle name="Акцент3 16 5" xfId="6912"/>
    <cellStyle name="Акцент3 16 6" xfId="6913"/>
    <cellStyle name="Акцент3 16 7" xfId="6914"/>
    <cellStyle name="Акцент3 16 8" xfId="6915"/>
    <cellStyle name="Акцент3 16 9" xfId="6916"/>
    <cellStyle name="Акцент3 17" xfId="1062"/>
    <cellStyle name="Акцент3 17 10" xfId="6918"/>
    <cellStyle name="Акцент3 17 11" xfId="6919"/>
    <cellStyle name="Акцент3 17 12" xfId="6920"/>
    <cellStyle name="Акцент3 17 13" xfId="6921"/>
    <cellStyle name="Акцент3 17 14" xfId="6922"/>
    <cellStyle name="Акцент3 17 2" xfId="1063"/>
    <cellStyle name="Акцент3 17 2 2" xfId="6923"/>
    <cellStyle name="Акцент3 17 3" xfId="1064"/>
    <cellStyle name="Акцент3 17 3 2" xfId="6924"/>
    <cellStyle name="Акцент3 17 4" xfId="6917"/>
    <cellStyle name="Акцент3 17 5" xfId="6925"/>
    <cellStyle name="Акцент3 17 6" xfId="6926"/>
    <cellStyle name="Акцент3 17 7" xfId="6927"/>
    <cellStyle name="Акцент3 17 8" xfId="6928"/>
    <cellStyle name="Акцент3 17 9" xfId="6929"/>
    <cellStyle name="Акцент3 18" xfId="1065"/>
    <cellStyle name="Акцент3 18 2" xfId="1066"/>
    <cellStyle name="Акцент3 18 2 2" xfId="6931"/>
    <cellStyle name="Акцент3 18 3" xfId="6930"/>
    <cellStyle name="Акцент3 19" xfId="1067"/>
    <cellStyle name="Акцент3 19 2" xfId="1068"/>
    <cellStyle name="Акцент3 19 2 2" xfId="6933"/>
    <cellStyle name="Акцент3 19 3" xfId="6932"/>
    <cellStyle name="Акцент3 2" xfId="1069"/>
    <cellStyle name="Акцент3 2 10" xfId="6935"/>
    <cellStyle name="Акцент3 2 11" xfId="6936"/>
    <cellStyle name="Акцент3 2 12" xfId="6937"/>
    <cellStyle name="Акцент3 2 13" xfId="6938"/>
    <cellStyle name="Акцент3 2 14" xfId="6939"/>
    <cellStyle name="Акцент3 2 2" xfId="1070"/>
    <cellStyle name="Акцент3 2 2 2" xfId="6940"/>
    <cellStyle name="Акцент3 2 3" xfId="1071"/>
    <cellStyle name="Акцент3 2 3 2" xfId="6941"/>
    <cellStyle name="Акцент3 2 4" xfId="6934"/>
    <cellStyle name="Акцент3 2 5" xfId="6942"/>
    <cellStyle name="Акцент3 2 6" xfId="6943"/>
    <cellStyle name="Акцент3 2 7" xfId="6944"/>
    <cellStyle name="Акцент3 2 8" xfId="6945"/>
    <cellStyle name="Акцент3 2 9" xfId="6946"/>
    <cellStyle name="Акцент3 3" xfId="1072"/>
    <cellStyle name="Акцент3 3 10" xfId="6948"/>
    <cellStyle name="Акцент3 3 11" xfId="6949"/>
    <cellStyle name="Акцент3 3 12" xfId="6950"/>
    <cellStyle name="Акцент3 3 13" xfId="6951"/>
    <cellStyle name="Акцент3 3 14" xfId="6952"/>
    <cellStyle name="Акцент3 3 2" xfId="1073"/>
    <cellStyle name="Акцент3 3 2 2" xfId="6953"/>
    <cellStyle name="Акцент3 3 3" xfId="1074"/>
    <cellStyle name="Акцент3 3 3 2" xfId="6954"/>
    <cellStyle name="Акцент3 3 4" xfId="6947"/>
    <cellStyle name="Акцент3 3 5" xfId="6955"/>
    <cellStyle name="Акцент3 3 6" xfId="6956"/>
    <cellStyle name="Акцент3 3 7" xfId="6957"/>
    <cellStyle name="Акцент3 3 8" xfId="6958"/>
    <cellStyle name="Акцент3 3 9" xfId="6959"/>
    <cellStyle name="Акцент3 4" xfId="1075"/>
    <cellStyle name="Акцент3 4 10" xfId="6961"/>
    <cellStyle name="Акцент3 4 11" xfId="6962"/>
    <cellStyle name="Акцент3 4 12" xfId="6963"/>
    <cellStyle name="Акцент3 4 13" xfId="6964"/>
    <cellStyle name="Акцент3 4 14" xfId="6965"/>
    <cellStyle name="Акцент3 4 2" xfId="1076"/>
    <cellStyle name="Акцент3 4 2 2" xfId="6966"/>
    <cellStyle name="Акцент3 4 3" xfId="1077"/>
    <cellStyle name="Акцент3 4 3 2" xfId="6967"/>
    <cellStyle name="Акцент3 4 4" xfId="6960"/>
    <cellStyle name="Акцент3 4 5" xfId="6968"/>
    <cellStyle name="Акцент3 4 6" xfId="6969"/>
    <cellStyle name="Акцент3 4 7" xfId="6970"/>
    <cellStyle name="Акцент3 4 8" xfId="6971"/>
    <cellStyle name="Акцент3 4 9" xfId="6972"/>
    <cellStyle name="Акцент3 5" xfId="1078"/>
    <cellStyle name="Акцент3 5 10" xfId="6974"/>
    <cellStyle name="Акцент3 5 11" xfId="6975"/>
    <cellStyle name="Акцент3 5 12" xfId="6976"/>
    <cellStyle name="Акцент3 5 13" xfId="6977"/>
    <cellStyle name="Акцент3 5 14" xfId="6978"/>
    <cellStyle name="Акцент3 5 2" xfId="1079"/>
    <cellStyle name="Акцент3 5 2 2" xfId="6979"/>
    <cellStyle name="Акцент3 5 3" xfId="1080"/>
    <cellStyle name="Акцент3 5 3 2" xfId="6980"/>
    <cellStyle name="Акцент3 5 4" xfId="6973"/>
    <cellStyle name="Акцент3 5 5" xfId="6981"/>
    <cellStyle name="Акцент3 5 6" xfId="6982"/>
    <cellStyle name="Акцент3 5 7" xfId="6983"/>
    <cellStyle name="Акцент3 5 8" xfId="6984"/>
    <cellStyle name="Акцент3 5 9" xfId="6985"/>
    <cellStyle name="Акцент3 6" xfId="1081"/>
    <cellStyle name="Акцент3 6 10" xfId="6987"/>
    <cellStyle name="Акцент3 6 11" xfId="6988"/>
    <cellStyle name="Акцент3 6 12" xfId="6989"/>
    <cellStyle name="Акцент3 6 13" xfId="6990"/>
    <cellStyle name="Акцент3 6 14" xfId="6991"/>
    <cellStyle name="Акцент3 6 2" xfId="1082"/>
    <cellStyle name="Акцент3 6 2 2" xfId="6992"/>
    <cellStyle name="Акцент3 6 3" xfId="1083"/>
    <cellStyle name="Акцент3 6 3 2" xfId="6993"/>
    <cellStyle name="Акцент3 6 4" xfId="6986"/>
    <cellStyle name="Акцент3 6 5" xfId="6994"/>
    <cellStyle name="Акцент3 6 6" xfId="6995"/>
    <cellStyle name="Акцент3 6 7" xfId="6996"/>
    <cellStyle name="Акцент3 6 8" xfId="6997"/>
    <cellStyle name="Акцент3 6 9" xfId="6998"/>
    <cellStyle name="Акцент3 7" xfId="1084"/>
    <cellStyle name="Акцент3 7 10" xfId="7000"/>
    <cellStyle name="Акцент3 7 11" xfId="7001"/>
    <cellStyle name="Акцент3 7 12" xfId="7002"/>
    <cellStyle name="Акцент3 7 13" xfId="7003"/>
    <cellStyle name="Акцент3 7 14" xfId="7004"/>
    <cellStyle name="Акцент3 7 2" xfId="1085"/>
    <cellStyle name="Акцент3 7 2 2" xfId="7005"/>
    <cellStyle name="Акцент3 7 3" xfId="1086"/>
    <cellStyle name="Акцент3 7 3 2" xfId="7006"/>
    <cellStyle name="Акцент3 7 4" xfId="6999"/>
    <cellStyle name="Акцент3 7 5" xfId="7007"/>
    <cellStyle name="Акцент3 7 6" xfId="7008"/>
    <cellStyle name="Акцент3 7 7" xfId="7009"/>
    <cellStyle name="Акцент3 7 8" xfId="7010"/>
    <cellStyle name="Акцент3 7 9" xfId="7011"/>
    <cellStyle name="Акцент3 8" xfId="1087"/>
    <cellStyle name="Акцент3 8 10" xfId="7013"/>
    <cellStyle name="Акцент3 8 11" xfId="7014"/>
    <cellStyle name="Акцент3 8 12" xfId="7015"/>
    <cellStyle name="Акцент3 8 13" xfId="7016"/>
    <cellStyle name="Акцент3 8 14" xfId="7017"/>
    <cellStyle name="Акцент3 8 2" xfId="1088"/>
    <cellStyle name="Акцент3 8 2 2" xfId="7018"/>
    <cellStyle name="Акцент3 8 3" xfId="1089"/>
    <cellStyle name="Акцент3 8 3 2" xfId="7019"/>
    <cellStyle name="Акцент3 8 4" xfId="7012"/>
    <cellStyle name="Акцент3 8 5" xfId="7020"/>
    <cellStyle name="Акцент3 8 6" xfId="7021"/>
    <cellStyle name="Акцент3 8 7" xfId="7022"/>
    <cellStyle name="Акцент3 8 8" xfId="7023"/>
    <cellStyle name="Акцент3 8 9" xfId="7024"/>
    <cellStyle name="Акцент3 9" xfId="1090"/>
    <cellStyle name="Акцент3 9 10" xfId="7026"/>
    <cellStyle name="Акцент3 9 11" xfId="7027"/>
    <cellStyle name="Акцент3 9 12" xfId="7028"/>
    <cellStyle name="Акцент3 9 13" xfId="7029"/>
    <cellStyle name="Акцент3 9 14" xfId="7030"/>
    <cellStyle name="Акцент3 9 2" xfId="1091"/>
    <cellStyle name="Акцент3 9 2 2" xfId="7031"/>
    <cellStyle name="Акцент3 9 3" xfId="1092"/>
    <cellStyle name="Акцент3 9 3 2" xfId="7032"/>
    <cellStyle name="Акцент3 9 4" xfId="7025"/>
    <cellStyle name="Акцент3 9 5" xfId="7033"/>
    <cellStyle name="Акцент3 9 6" xfId="7034"/>
    <cellStyle name="Акцент3 9 7" xfId="7035"/>
    <cellStyle name="Акцент3 9 8" xfId="7036"/>
    <cellStyle name="Акцент3 9 9" xfId="7037"/>
    <cellStyle name="Акцент4 10" xfId="1093"/>
    <cellStyle name="Акцент4 10 10" xfId="7039"/>
    <cellStyle name="Акцент4 10 11" xfId="7040"/>
    <cellStyle name="Акцент4 10 12" xfId="7041"/>
    <cellStyle name="Акцент4 10 13" xfId="7042"/>
    <cellStyle name="Акцент4 10 14" xfId="7043"/>
    <cellStyle name="Акцент4 10 2" xfId="1094"/>
    <cellStyle name="Акцент4 10 2 2" xfId="7044"/>
    <cellStyle name="Акцент4 10 3" xfId="1095"/>
    <cellStyle name="Акцент4 10 3 2" xfId="7045"/>
    <cellStyle name="Акцент4 10 4" xfId="7038"/>
    <cellStyle name="Акцент4 10 5" xfId="7046"/>
    <cellStyle name="Акцент4 10 6" xfId="7047"/>
    <cellStyle name="Акцент4 10 7" xfId="7048"/>
    <cellStyle name="Акцент4 10 8" xfId="7049"/>
    <cellStyle name="Акцент4 10 9" xfId="7050"/>
    <cellStyle name="Акцент4 11" xfId="1096"/>
    <cellStyle name="Акцент4 11 10" xfId="7052"/>
    <cellStyle name="Акцент4 11 11" xfId="7053"/>
    <cellStyle name="Акцент4 11 12" xfId="7054"/>
    <cellStyle name="Акцент4 11 13" xfId="7055"/>
    <cellStyle name="Акцент4 11 14" xfId="7056"/>
    <cellStyle name="Акцент4 11 2" xfId="1097"/>
    <cellStyle name="Акцент4 11 2 2" xfId="7057"/>
    <cellStyle name="Акцент4 11 3" xfId="1098"/>
    <cellStyle name="Акцент4 11 3 2" xfId="7058"/>
    <cellStyle name="Акцент4 11 4" xfId="7051"/>
    <cellStyle name="Акцент4 11 5" xfId="7059"/>
    <cellStyle name="Акцент4 11 6" xfId="7060"/>
    <cellStyle name="Акцент4 11 7" xfId="7061"/>
    <cellStyle name="Акцент4 11 8" xfId="7062"/>
    <cellStyle name="Акцент4 11 9" xfId="7063"/>
    <cellStyle name="Акцент4 12" xfId="1099"/>
    <cellStyle name="Акцент4 12 10" xfId="7065"/>
    <cellStyle name="Акцент4 12 11" xfId="7066"/>
    <cellStyle name="Акцент4 12 12" xfId="7067"/>
    <cellStyle name="Акцент4 12 13" xfId="7068"/>
    <cellStyle name="Акцент4 12 14" xfId="7069"/>
    <cellStyle name="Акцент4 12 2" xfId="1100"/>
    <cellStyle name="Акцент4 12 2 2" xfId="7070"/>
    <cellStyle name="Акцент4 12 3" xfId="1101"/>
    <cellStyle name="Акцент4 12 3 2" xfId="7071"/>
    <cellStyle name="Акцент4 12 4" xfId="7064"/>
    <cellStyle name="Акцент4 12 5" xfId="7072"/>
    <cellStyle name="Акцент4 12 6" xfId="7073"/>
    <cellStyle name="Акцент4 12 7" xfId="7074"/>
    <cellStyle name="Акцент4 12 8" xfId="7075"/>
    <cellStyle name="Акцент4 12 9" xfId="7076"/>
    <cellStyle name="Акцент4 13" xfId="1102"/>
    <cellStyle name="Акцент4 13 10" xfId="7078"/>
    <cellStyle name="Акцент4 13 11" xfId="7079"/>
    <cellStyle name="Акцент4 13 12" xfId="7080"/>
    <cellStyle name="Акцент4 13 13" xfId="7081"/>
    <cellStyle name="Акцент4 13 14" xfId="7082"/>
    <cellStyle name="Акцент4 13 2" xfId="1103"/>
    <cellStyle name="Акцент4 13 2 2" xfId="7083"/>
    <cellStyle name="Акцент4 13 3" xfId="1104"/>
    <cellStyle name="Акцент4 13 3 2" xfId="7084"/>
    <cellStyle name="Акцент4 13 4" xfId="7077"/>
    <cellStyle name="Акцент4 13 5" xfId="7085"/>
    <cellStyle name="Акцент4 13 6" xfId="7086"/>
    <cellStyle name="Акцент4 13 7" xfId="7087"/>
    <cellStyle name="Акцент4 13 8" xfId="7088"/>
    <cellStyle name="Акцент4 13 9" xfId="7089"/>
    <cellStyle name="Акцент4 14" xfId="1105"/>
    <cellStyle name="Акцент4 14 10" xfId="7091"/>
    <cellStyle name="Акцент4 14 11" xfId="7092"/>
    <cellStyle name="Акцент4 14 12" xfId="7093"/>
    <cellStyle name="Акцент4 14 13" xfId="7094"/>
    <cellStyle name="Акцент4 14 14" xfId="7095"/>
    <cellStyle name="Акцент4 14 2" xfId="1106"/>
    <cellStyle name="Акцент4 14 2 2" xfId="7096"/>
    <cellStyle name="Акцент4 14 3" xfId="1107"/>
    <cellStyle name="Акцент4 14 3 2" xfId="7097"/>
    <cellStyle name="Акцент4 14 4" xfId="7090"/>
    <cellStyle name="Акцент4 14 5" xfId="7098"/>
    <cellStyle name="Акцент4 14 6" xfId="7099"/>
    <cellStyle name="Акцент4 14 7" xfId="7100"/>
    <cellStyle name="Акцент4 14 8" xfId="7101"/>
    <cellStyle name="Акцент4 14 9" xfId="7102"/>
    <cellStyle name="Акцент4 15" xfId="1108"/>
    <cellStyle name="Акцент4 15 10" xfId="7104"/>
    <cellStyle name="Акцент4 15 11" xfId="7105"/>
    <cellStyle name="Акцент4 15 12" xfId="7106"/>
    <cellStyle name="Акцент4 15 13" xfId="7107"/>
    <cellStyle name="Акцент4 15 14" xfId="7108"/>
    <cellStyle name="Акцент4 15 2" xfId="1109"/>
    <cellStyle name="Акцент4 15 2 2" xfId="7109"/>
    <cellStyle name="Акцент4 15 3" xfId="1110"/>
    <cellStyle name="Акцент4 15 3 2" xfId="7110"/>
    <cellStyle name="Акцент4 15 4" xfId="7103"/>
    <cellStyle name="Акцент4 15 5" xfId="7111"/>
    <cellStyle name="Акцент4 15 6" xfId="7112"/>
    <cellStyle name="Акцент4 15 7" xfId="7113"/>
    <cellStyle name="Акцент4 15 8" xfId="7114"/>
    <cellStyle name="Акцент4 15 9" xfId="7115"/>
    <cellStyle name="Акцент4 16" xfId="1111"/>
    <cellStyle name="Акцент4 16 10" xfId="7117"/>
    <cellStyle name="Акцент4 16 11" xfId="7118"/>
    <cellStyle name="Акцент4 16 12" xfId="7119"/>
    <cellStyle name="Акцент4 16 13" xfId="7120"/>
    <cellStyle name="Акцент4 16 14" xfId="7121"/>
    <cellStyle name="Акцент4 16 2" xfId="1112"/>
    <cellStyle name="Акцент4 16 2 2" xfId="7122"/>
    <cellStyle name="Акцент4 16 3" xfId="1113"/>
    <cellStyle name="Акцент4 16 3 2" xfId="7123"/>
    <cellStyle name="Акцент4 16 4" xfId="7116"/>
    <cellStyle name="Акцент4 16 5" xfId="7124"/>
    <cellStyle name="Акцент4 16 6" xfId="7125"/>
    <cellStyle name="Акцент4 16 7" xfId="7126"/>
    <cellStyle name="Акцент4 16 8" xfId="7127"/>
    <cellStyle name="Акцент4 16 9" xfId="7128"/>
    <cellStyle name="Акцент4 17" xfId="1114"/>
    <cellStyle name="Акцент4 17 10" xfId="7130"/>
    <cellStyle name="Акцент4 17 11" xfId="7131"/>
    <cellStyle name="Акцент4 17 12" xfId="7132"/>
    <cellStyle name="Акцент4 17 13" xfId="7133"/>
    <cellStyle name="Акцент4 17 14" xfId="7134"/>
    <cellStyle name="Акцент4 17 2" xfId="1115"/>
    <cellStyle name="Акцент4 17 2 2" xfId="7135"/>
    <cellStyle name="Акцент4 17 3" xfId="1116"/>
    <cellStyle name="Акцент4 17 3 2" xfId="7136"/>
    <cellStyle name="Акцент4 17 4" xfId="7129"/>
    <cellStyle name="Акцент4 17 5" xfId="7137"/>
    <cellStyle name="Акцент4 17 6" xfId="7138"/>
    <cellStyle name="Акцент4 17 7" xfId="7139"/>
    <cellStyle name="Акцент4 17 8" xfId="7140"/>
    <cellStyle name="Акцент4 17 9" xfId="7141"/>
    <cellStyle name="Акцент4 18" xfId="1117"/>
    <cellStyle name="Акцент4 18 2" xfId="1118"/>
    <cellStyle name="Акцент4 18 2 2" xfId="7143"/>
    <cellStyle name="Акцент4 18 3" xfId="7142"/>
    <cellStyle name="Акцент4 19" xfId="1119"/>
    <cellStyle name="Акцент4 19 2" xfId="1120"/>
    <cellStyle name="Акцент4 19 2 2" xfId="7145"/>
    <cellStyle name="Акцент4 19 3" xfId="7144"/>
    <cellStyle name="Акцент4 2" xfId="1121"/>
    <cellStyle name="Акцент4 2 10" xfId="7147"/>
    <cellStyle name="Акцент4 2 11" xfId="7148"/>
    <cellStyle name="Акцент4 2 12" xfId="7149"/>
    <cellStyle name="Акцент4 2 13" xfId="7150"/>
    <cellStyle name="Акцент4 2 14" xfId="7151"/>
    <cellStyle name="Акцент4 2 2" xfId="1122"/>
    <cellStyle name="Акцент4 2 2 2" xfId="7152"/>
    <cellStyle name="Акцент4 2 3" xfId="1123"/>
    <cellStyle name="Акцент4 2 3 2" xfId="7153"/>
    <cellStyle name="Акцент4 2 4" xfId="7146"/>
    <cellStyle name="Акцент4 2 5" xfId="7154"/>
    <cellStyle name="Акцент4 2 6" xfId="7155"/>
    <cellStyle name="Акцент4 2 7" xfId="7156"/>
    <cellStyle name="Акцент4 2 8" xfId="7157"/>
    <cellStyle name="Акцент4 2 9" xfId="7158"/>
    <cellStyle name="Акцент4 3" xfId="1124"/>
    <cellStyle name="Акцент4 3 10" xfId="7160"/>
    <cellStyle name="Акцент4 3 11" xfId="7161"/>
    <cellStyle name="Акцент4 3 12" xfId="7162"/>
    <cellStyle name="Акцент4 3 13" xfId="7163"/>
    <cellStyle name="Акцент4 3 14" xfId="7164"/>
    <cellStyle name="Акцент4 3 2" xfId="1125"/>
    <cellStyle name="Акцент4 3 2 2" xfId="7165"/>
    <cellStyle name="Акцент4 3 3" xfId="1126"/>
    <cellStyle name="Акцент4 3 3 2" xfId="7166"/>
    <cellStyle name="Акцент4 3 4" xfId="7159"/>
    <cellStyle name="Акцент4 3 5" xfId="7167"/>
    <cellStyle name="Акцент4 3 6" xfId="7168"/>
    <cellStyle name="Акцент4 3 7" xfId="7169"/>
    <cellStyle name="Акцент4 3 8" xfId="7170"/>
    <cellStyle name="Акцент4 3 9" xfId="7171"/>
    <cellStyle name="Акцент4 4" xfId="1127"/>
    <cellStyle name="Акцент4 4 10" xfId="7173"/>
    <cellStyle name="Акцент4 4 11" xfId="7174"/>
    <cellStyle name="Акцент4 4 12" xfId="7175"/>
    <cellStyle name="Акцент4 4 13" xfId="7176"/>
    <cellStyle name="Акцент4 4 14" xfId="7177"/>
    <cellStyle name="Акцент4 4 2" xfId="1128"/>
    <cellStyle name="Акцент4 4 2 2" xfId="7178"/>
    <cellStyle name="Акцент4 4 3" xfId="1129"/>
    <cellStyle name="Акцент4 4 3 2" xfId="7179"/>
    <cellStyle name="Акцент4 4 4" xfId="7172"/>
    <cellStyle name="Акцент4 4 5" xfId="7180"/>
    <cellStyle name="Акцент4 4 6" xfId="7181"/>
    <cellStyle name="Акцент4 4 7" xfId="7182"/>
    <cellStyle name="Акцент4 4 8" xfId="7183"/>
    <cellStyle name="Акцент4 4 9" xfId="7184"/>
    <cellStyle name="Акцент4 5" xfId="1130"/>
    <cellStyle name="Акцент4 5 10" xfId="7186"/>
    <cellStyle name="Акцент4 5 11" xfId="7187"/>
    <cellStyle name="Акцент4 5 12" xfId="7188"/>
    <cellStyle name="Акцент4 5 13" xfId="7189"/>
    <cellStyle name="Акцент4 5 14" xfId="7190"/>
    <cellStyle name="Акцент4 5 2" xfId="1131"/>
    <cellStyle name="Акцент4 5 2 2" xfId="7191"/>
    <cellStyle name="Акцент4 5 3" xfId="1132"/>
    <cellStyle name="Акцент4 5 3 2" xfId="7192"/>
    <cellStyle name="Акцент4 5 4" xfId="7185"/>
    <cellStyle name="Акцент4 5 5" xfId="7193"/>
    <cellStyle name="Акцент4 5 6" xfId="7194"/>
    <cellStyle name="Акцент4 5 7" xfId="7195"/>
    <cellStyle name="Акцент4 5 8" xfId="7196"/>
    <cellStyle name="Акцент4 5 9" xfId="7197"/>
    <cellStyle name="Акцент4 6" xfId="1133"/>
    <cellStyle name="Акцент4 6 10" xfId="7199"/>
    <cellStyle name="Акцент4 6 11" xfId="7200"/>
    <cellStyle name="Акцент4 6 12" xfId="7201"/>
    <cellStyle name="Акцент4 6 13" xfId="7202"/>
    <cellStyle name="Акцент4 6 14" xfId="7203"/>
    <cellStyle name="Акцент4 6 2" xfId="1134"/>
    <cellStyle name="Акцент4 6 2 2" xfId="7204"/>
    <cellStyle name="Акцент4 6 3" xfId="1135"/>
    <cellStyle name="Акцент4 6 3 2" xfId="7205"/>
    <cellStyle name="Акцент4 6 4" xfId="7198"/>
    <cellStyle name="Акцент4 6 5" xfId="7206"/>
    <cellStyle name="Акцент4 6 6" xfId="7207"/>
    <cellStyle name="Акцент4 6 7" xfId="7208"/>
    <cellStyle name="Акцент4 6 8" xfId="7209"/>
    <cellStyle name="Акцент4 6 9" xfId="7210"/>
    <cellStyle name="Акцент4 7" xfId="1136"/>
    <cellStyle name="Акцент4 7 10" xfId="7212"/>
    <cellStyle name="Акцент4 7 11" xfId="7213"/>
    <cellStyle name="Акцент4 7 12" xfId="7214"/>
    <cellStyle name="Акцент4 7 13" xfId="7215"/>
    <cellStyle name="Акцент4 7 14" xfId="7216"/>
    <cellStyle name="Акцент4 7 2" xfId="1137"/>
    <cellStyle name="Акцент4 7 2 2" xfId="7217"/>
    <cellStyle name="Акцент4 7 3" xfId="1138"/>
    <cellStyle name="Акцент4 7 3 2" xfId="7218"/>
    <cellStyle name="Акцент4 7 4" xfId="7211"/>
    <cellStyle name="Акцент4 7 5" xfId="7219"/>
    <cellStyle name="Акцент4 7 6" xfId="7220"/>
    <cellStyle name="Акцент4 7 7" xfId="7221"/>
    <cellStyle name="Акцент4 7 8" xfId="7222"/>
    <cellStyle name="Акцент4 7 9" xfId="7223"/>
    <cellStyle name="Акцент4 8" xfId="1139"/>
    <cellStyle name="Акцент4 8 10" xfId="7225"/>
    <cellStyle name="Акцент4 8 11" xfId="7226"/>
    <cellStyle name="Акцент4 8 12" xfId="7227"/>
    <cellStyle name="Акцент4 8 13" xfId="7228"/>
    <cellStyle name="Акцент4 8 14" xfId="7229"/>
    <cellStyle name="Акцент4 8 2" xfId="1140"/>
    <cellStyle name="Акцент4 8 2 2" xfId="7230"/>
    <cellStyle name="Акцент4 8 3" xfId="1141"/>
    <cellStyle name="Акцент4 8 3 2" xfId="7231"/>
    <cellStyle name="Акцент4 8 4" xfId="7224"/>
    <cellStyle name="Акцент4 8 5" xfId="7232"/>
    <cellStyle name="Акцент4 8 6" xfId="7233"/>
    <cellStyle name="Акцент4 8 7" xfId="7234"/>
    <cellStyle name="Акцент4 8 8" xfId="7235"/>
    <cellStyle name="Акцент4 8 9" xfId="7236"/>
    <cellStyle name="Акцент4 9" xfId="1142"/>
    <cellStyle name="Акцент4 9 10" xfId="7238"/>
    <cellStyle name="Акцент4 9 11" xfId="7239"/>
    <cellStyle name="Акцент4 9 12" xfId="7240"/>
    <cellStyle name="Акцент4 9 13" xfId="7241"/>
    <cellStyle name="Акцент4 9 14" xfId="7242"/>
    <cellStyle name="Акцент4 9 2" xfId="1143"/>
    <cellStyle name="Акцент4 9 2 2" xfId="7243"/>
    <cellStyle name="Акцент4 9 3" xfId="1144"/>
    <cellStyle name="Акцент4 9 3 2" xfId="7244"/>
    <cellStyle name="Акцент4 9 4" xfId="7237"/>
    <cellStyle name="Акцент4 9 5" xfId="7245"/>
    <cellStyle name="Акцент4 9 6" xfId="7246"/>
    <cellStyle name="Акцент4 9 7" xfId="7247"/>
    <cellStyle name="Акцент4 9 8" xfId="7248"/>
    <cellStyle name="Акцент4 9 9" xfId="7249"/>
    <cellStyle name="Акцент5 10" xfId="1145"/>
    <cellStyle name="Акцент5 10 10" xfId="7251"/>
    <cellStyle name="Акцент5 10 11" xfId="7252"/>
    <cellStyle name="Акцент5 10 12" xfId="7253"/>
    <cellStyle name="Акцент5 10 13" xfId="7254"/>
    <cellStyle name="Акцент5 10 14" xfId="7255"/>
    <cellStyle name="Акцент5 10 2" xfId="1146"/>
    <cellStyle name="Акцент5 10 2 2" xfId="7256"/>
    <cellStyle name="Акцент5 10 3" xfId="1147"/>
    <cellStyle name="Акцент5 10 3 2" xfId="7257"/>
    <cellStyle name="Акцент5 10 4" xfId="7250"/>
    <cellStyle name="Акцент5 10 5" xfId="7258"/>
    <cellStyle name="Акцент5 10 6" xfId="7259"/>
    <cellStyle name="Акцент5 10 7" xfId="7260"/>
    <cellStyle name="Акцент5 10 8" xfId="7261"/>
    <cellStyle name="Акцент5 10 9" xfId="7262"/>
    <cellStyle name="Акцент5 11" xfId="1148"/>
    <cellStyle name="Акцент5 11 10" xfId="7264"/>
    <cellStyle name="Акцент5 11 11" xfId="7265"/>
    <cellStyle name="Акцент5 11 12" xfId="7266"/>
    <cellStyle name="Акцент5 11 13" xfId="7267"/>
    <cellStyle name="Акцент5 11 14" xfId="7268"/>
    <cellStyle name="Акцент5 11 2" xfId="1149"/>
    <cellStyle name="Акцент5 11 2 2" xfId="7269"/>
    <cellStyle name="Акцент5 11 3" xfId="1150"/>
    <cellStyle name="Акцент5 11 3 2" xfId="7270"/>
    <cellStyle name="Акцент5 11 4" xfId="7263"/>
    <cellStyle name="Акцент5 11 5" xfId="7271"/>
    <cellStyle name="Акцент5 11 6" xfId="7272"/>
    <cellStyle name="Акцент5 11 7" xfId="7273"/>
    <cellStyle name="Акцент5 11 8" xfId="7274"/>
    <cellStyle name="Акцент5 11 9" xfId="7275"/>
    <cellStyle name="Акцент5 12" xfId="1151"/>
    <cellStyle name="Акцент5 12 10" xfId="7277"/>
    <cellStyle name="Акцент5 12 11" xfId="7278"/>
    <cellStyle name="Акцент5 12 12" xfId="7279"/>
    <cellStyle name="Акцент5 12 13" xfId="7280"/>
    <cellStyle name="Акцент5 12 14" xfId="7281"/>
    <cellStyle name="Акцент5 12 2" xfId="1152"/>
    <cellStyle name="Акцент5 12 2 2" xfId="7282"/>
    <cellStyle name="Акцент5 12 3" xfId="1153"/>
    <cellStyle name="Акцент5 12 3 2" xfId="7283"/>
    <cellStyle name="Акцент5 12 4" xfId="7276"/>
    <cellStyle name="Акцент5 12 5" xfId="7284"/>
    <cellStyle name="Акцент5 12 6" xfId="7285"/>
    <cellStyle name="Акцент5 12 7" xfId="7286"/>
    <cellStyle name="Акцент5 12 8" xfId="7287"/>
    <cellStyle name="Акцент5 12 9" xfId="7288"/>
    <cellStyle name="Акцент5 13" xfId="1154"/>
    <cellStyle name="Акцент5 13 10" xfId="7290"/>
    <cellStyle name="Акцент5 13 11" xfId="7291"/>
    <cellStyle name="Акцент5 13 12" xfId="7292"/>
    <cellStyle name="Акцент5 13 13" xfId="7293"/>
    <cellStyle name="Акцент5 13 14" xfId="7294"/>
    <cellStyle name="Акцент5 13 2" xfId="1155"/>
    <cellStyle name="Акцент5 13 2 2" xfId="7295"/>
    <cellStyle name="Акцент5 13 3" xfId="1156"/>
    <cellStyle name="Акцент5 13 3 2" xfId="7296"/>
    <cellStyle name="Акцент5 13 4" xfId="7289"/>
    <cellStyle name="Акцент5 13 5" xfId="7297"/>
    <cellStyle name="Акцент5 13 6" xfId="7298"/>
    <cellStyle name="Акцент5 13 7" xfId="7299"/>
    <cellStyle name="Акцент5 13 8" xfId="7300"/>
    <cellStyle name="Акцент5 13 9" xfId="7301"/>
    <cellStyle name="Акцент5 14" xfId="1157"/>
    <cellStyle name="Акцент5 14 10" xfId="7303"/>
    <cellStyle name="Акцент5 14 11" xfId="7304"/>
    <cellStyle name="Акцент5 14 12" xfId="7305"/>
    <cellStyle name="Акцент5 14 13" xfId="7306"/>
    <cellStyle name="Акцент5 14 14" xfId="7307"/>
    <cellStyle name="Акцент5 14 2" xfId="1158"/>
    <cellStyle name="Акцент5 14 2 2" xfId="7308"/>
    <cellStyle name="Акцент5 14 3" xfId="1159"/>
    <cellStyle name="Акцент5 14 3 2" xfId="7309"/>
    <cellStyle name="Акцент5 14 4" xfId="7302"/>
    <cellStyle name="Акцент5 14 5" xfId="7310"/>
    <cellStyle name="Акцент5 14 6" xfId="7311"/>
    <cellStyle name="Акцент5 14 7" xfId="7312"/>
    <cellStyle name="Акцент5 14 8" xfId="7313"/>
    <cellStyle name="Акцент5 14 9" xfId="7314"/>
    <cellStyle name="Акцент5 15" xfId="1160"/>
    <cellStyle name="Акцент5 15 10" xfId="7316"/>
    <cellStyle name="Акцент5 15 11" xfId="7317"/>
    <cellStyle name="Акцент5 15 12" xfId="7318"/>
    <cellStyle name="Акцент5 15 13" xfId="7319"/>
    <cellStyle name="Акцент5 15 14" xfId="7320"/>
    <cellStyle name="Акцент5 15 2" xfId="1161"/>
    <cellStyle name="Акцент5 15 2 2" xfId="7321"/>
    <cellStyle name="Акцент5 15 3" xfId="1162"/>
    <cellStyle name="Акцент5 15 3 2" xfId="7322"/>
    <cellStyle name="Акцент5 15 4" xfId="7315"/>
    <cellStyle name="Акцент5 15 5" xfId="7323"/>
    <cellStyle name="Акцент5 15 6" xfId="7324"/>
    <cellStyle name="Акцент5 15 7" xfId="7325"/>
    <cellStyle name="Акцент5 15 8" xfId="7326"/>
    <cellStyle name="Акцент5 15 9" xfId="7327"/>
    <cellStyle name="Акцент5 16" xfId="1163"/>
    <cellStyle name="Акцент5 16 10" xfId="7329"/>
    <cellStyle name="Акцент5 16 11" xfId="7330"/>
    <cellStyle name="Акцент5 16 12" xfId="7331"/>
    <cellStyle name="Акцент5 16 13" xfId="7332"/>
    <cellStyle name="Акцент5 16 14" xfId="7333"/>
    <cellStyle name="Акцент5 16 2" xfId="1164"/>
    <cellStyle name="Акцент5 16 2 2" xfId="7334"/>
    <cellStyle name="Акцент5 16 3" xfId="1165"/>
    <cellStyle name="Акцент5 16 3 2" xfId="7335"/>
    <cellStyle name="Акцент5 16 4" xfId="7328"/>
    <cellStyle name="Акцент5 16 5" xfId="7336"/>
    <cellStyle name="Акцент5 16 6" xfId="7337"/>
    <cellStyle name="Акцент5 16 7" xfId="7338"/>
    <cellStyle name="Акцент5 16 8" xfId="7339"/>
    <cellStyle name="Акцент5 16 9" xfId="7340"/>
    <cellStyle name="Акцент5 17" xfId="1166"/>
    <cellStyle name="Акцент5 17 10" xfId="7342"/>
    <cellStyle name="Акцент5 17 11" xfId="7343"/>
    <cellStyle name="Акцент5 17 12" xfId="7344"/>
    <cellStyle name="Акцент5 17 13" xfId="7345"/>
    <cellStyle name="Акцент5 17 14" xfId="7346"/>
    <cellStyle name="Акцент5 17 2" xfId="1167"/>
    <cellStyle name="Акцент5 17 2 2" xfId="7347"/>
    <cellStyle name="Акцент5 17 3" xfId="1168"/>
    <cellStyle name="Акцент5 17 3 2" xfId="7348"/>
    <cellStyle name="Акцент5 17 4" xfId="7341"/>
    <cellStyle name="Акцент5 17 5" xfId="7349"/>
    <cellStyle name="Акцент5 17 6" xfId="7350"/>
    <cellStyle name="Акцент5 17 7" xfId="7351"/>
    <cellStyle name="Акцент5 17 8" xfId="7352"/>
    <cellStyle name="Акцент5 17 9" xfId="7353"/>
    <cellStyle name="Акцент5 18" xfId="1169"/>
    <cellStyle name="Акцент5 18 2" xfId="1170"/>
    <cellStyle name="Акцент5 18 2 2" xfId="7355"/>
    <cellStyle name="Акцент5 18 3" xfId="7354"/>
    <cellStyle name="Акцент5 19" xfId="1171"/>
    <cellStyle name="Акцент5 19 2" xfId="1172"/>
    <cellStyle name="Акцент5 19 2 2" xfId="7357"/>
    <cellStyle name="Акцент5 19 3" xfId="7356"/>
    <cellStyle name="Акцент5 2" xfId="1173"/>
    <cellStyle name="Акцент5 2 10" xfId="7359"/>
    <cellStyle name="Акцент5 2 11" xfId="7360"/>
    <cellStyle name="Акцент5 2 12" xfId="7361"/>
    <cellStyle name="Акцент5 2 13" xfId="7362"/>
    <cellStyle name="Акцент5 2 14" xfId="7363"/>
    <cellStyle name="Акцент5 2 2" xfId="1174"/>
    <cellStyle name="Акцент5 2 2 2" xfId="7364"/>
    <cellStyle name="Акцент5 2 3" xfId="1175"/>
    <cellStyle name="Акцент5 2 3 2" xfId="7365"/>
    <cellStyle name="Акцент5 2 4" xfId="7358"/>
    <cellStyle name="Акцент5 2 5" xfId="7366"/>
    <cellStyle name="Акцент5 2 6" xfId="7367"/>
    <cellStyle name="Акцент5 2 7" xfId="7368"/>
    <cellStyle name="Акцент5 2 8" xfId="7369"/>
    <cellStyle name="Акцент5 2 9" xfId="7370"/>
    <cellStyle name="Акцент5 3" xfId="1176"/>
    <cellStyle name="Акцент5 3 10" xfId="7372"/>
    <cellStyle name="Акцент5 3 11" xfId="7373"/>
    <cellStyle name="Акцент5 3 12" xfId="7374"/>
    <cellStyle name="Акцент5 3 13" xfId="7375"/>
    <cellStyle name="Акцент5 3 14" xfId="7376"/>
    <cellStyle name="Акцент5 3 2" xfId="1177"/>
    <cellStyle name="Акцент5 3 2 2" xfId="7377"/>
    <cellStyle name="Акцент5 3 3" xfId="1178"/>
    <cellStyle name="Акцент5 3 3 2" xfId="7378"/>
    <cellStyle name="Акцент5 3 4" xfId="7371"/>
    <cellStyle name="Акцент5 3 5" xfId="7379"/>
    <cellStyle name="Акцент5 3 6" xfId="7380"/>
    <cellStyle name="Акцент5 3 7" xfId="7381"/>
    <cellStyle name="Акцент5 3 8" xfId="7382"/>
    <cellStyle name="Акцент5 3 9" xfId="7383"/>
    <cellStyle name="Акцент5 4" xfId="1179"/>
    <cellStyle name="Акцент5 4 10" xfId="7385"/>
    <cellStyle name="Акцент5 4 11" xfId="7386"/>
    <cellStyle name="Акцент5 4 12" xfId="7387"/>
    <cellStyle name="Акцент5 4 13" xfId="7388"/>
    <cellStyle name="Акцент5 4 14" xfId="7389"/>
    <cellStyle name="Акцент5 4 2" xfId="1180"/>
    <cellStyle name="Акцент5 4 2 2" xfId="7390"/>
    <cellStyle name="Акцент5 4 3" xfId="1181"/>
    <cellStyle name="Акцент5 4 3 2" xfId="7391"/>
    <cellStyle name="Акцент5 4 4" xfId="7384"/>
    <cellStyle name="Акцент5 4 5" xfId="7392"/>
    <cellStyle name="Акцент5 4 6" xfId="7393"/>
    <cellStyle name="Акцент5 4 7" xfId="7394"/>
    <cellStyle name="Акцент5 4 8" xfId="7395"/>
    <cellStyle name="Акцент5 4 9" xfId="7396"/>
    <cellStyle name="Акцент5 5" xfId="1182"/>
    <cellStyle name="Акцент5 5 10" xfId="7398"/>
    <cellStyle name="Акцент5 5 11" xfId="7399"/>
    <cellStyle name="Акцент5 5 12" xfId="7400"/>
    <cellStyle name="Акцент5 5 13" xfId="7401"/>
    <cellStyle name="Акцент5 5 14" xfId="7402"/>
    <cellStyle name="Акцент5 5 2" xfId="1183"/>
    <cellStyle name="Акцент5 5 2 2" xfId="7403"/>
    <cellStyle name="Акцент5 5 3" xfId="1184"/>
    <cellStyle name="Акцент5 5 3 2" xfId="7404"/>
    <cellStyle name="Акцент5 5 4" xfId="7397"/>
    <cellStyle name="Акцент5 5 5" xfId="7405"/>
    <cellStyle name="Акцент5 5 6" xfId="7406"/>
    <cellStyle name="Акцент5 5 7" xfId="7407"/>
    <cellStyle name="Акцент5 5 8" xfId="7408"/>
    <cellStyle name="Акцент5 5 9" xfId="7409"/>
    <cellStyle name="Акцент5 6" xfId="1185"/>
    <cellStyle name="Акцент5 6 10" xfId="7411"/>
    <cellStyle name="Акцент5 6 11" xfId="7412"/>
    <cellStyle name="Акцент5 6 12" xfId="7413"/>
    <cellStyle name="Акцент5 6 13" xfId="7414"/>
    <cellStyle name="Акцент5 6 14" xfId="7415"/>
    <cellStyle name="Акцент5 6 2" xfId="1186"/>
    <cellStyle name="Акцент5 6 2 2" xfId="7416"/>
    <cellStyle name="Акцент5 6 3" xfId="1187"/>
    <cellStyle name="Акцент5 6 3 2" xfId="7417"/>
    <cellStyle name="Акцент5 6 4" xfId="7410"/>
    <cellStyle name="Акцент5 6 5" xfId="7418"/>
    <cellStyle name="Акцент5 6 6" xfId="7419"/>
    <cellStyle name="Акцент5 6 7" xfId="7420"/>
    <cellStyle name="Акцент5 6 8" xfId="7421"/>
    <cellStyle name="Акцент5 6 9" xfId="7422"/>
    <cellStyle name="Акцент5 7" xfId="1188"/>
    <cellStyle name="Акцент5 7 10" xfId="7424"/>
    <cellStyle name="Акцент5 7 11" xfId="7425"/>
    <cellStyle name="Акцент5 7 12" xfId="7426"/>
    <cellStyle name="Акцент5 7 13" xfId="7427"/>
    <cellStyle name="Акцент5 7 14" xfId="7428"/>
    <cellStyle name="Акцент5 7 2" xfId="1189"/>
    <cellStyle name="Акцент5 7 2 2" xfId="7429"/>
    <cellStyle name="Акцент5 7 3" xfId="1190"/>
    <cellStyle name="Акцент5 7 3 2" xfId="7430"/>
    <cellStyle name="Акцент5 7 4" xfId="7423"/>
    <cellStyle name="Акцент5 7 5" xfId="7431"/>
    <cellStyle name="Акцент5 7 6" xfId="7432"/>
    <cellStyle name="Акцент5 7 7" xfId="7433"/>
    <cellStyle name="Акцент5 7 8" xfId="7434"/>
    <cellStyle name="Акцент5 7 9" xfId="7435"/>
    <cellStyle name="Акцент5 8" xfId="1191"/>
    <cellStyle name="Акцент5 8 10" xfId="7437"/>
    <cellStyle name="Акцент5 8 11" xfId="7438"/>
    <cellStyle name="Акцент5 8 12" xfId="7439"/>
    <cellStyle name="Акцент5 8 13" xfId="7440"/>
    <cellStyle name="Акцент5 8 14" xfId="7441"/>
    <cellStyle name="Акцент5 8 2" xfId="1192"/>
    <cellStyle name="Акцент5 8 2 2" xfId="7442"/>
    <cellStyle name="Акцент5 8 3" xfId="1193"/>
    <cellStyle name="Акцент5 8 3 2" xfId="7443"/>
    <cellStyle name="Акцент5 8 4" xfId="7436"/>
    <cellStyle name="Акцент5 8 5" xfId="7444"/>
    <cellStyle name="Акцент5 8 6" xfId="7445"/>
    <cellStyle name="Акцент5 8 7" xfId="7446"/>
    <cellStyle name="Акцент5 8 8" xfId="7447"/>
    <cellStyle name="Акцент5 8 9" xfId="7448"/>
    <cellStyle name="Акцент5 9" xfId="1194"/>
    <cellStyle name="Акцент5 9 10" xfId="7450"/>
    <cellStyle name="Акцент5 9 11" xfId="7451"/>
    <cellStyle name="Акцент5 9 12" xfId="7452"/>
    <cellStyle name="Акцент5 9 13" xfId="7453"/>
    <cellStyle name="Акцент5 9 14" xfId="7454"/>
    <cellStyle name="Акцент5 9 2" xfId="1195"/>
    <cellStyle name="Акцент5 9 2 2" xfId="7455"/>
    <cellStyle name="Акцент5 9 3" xfId="1196"/>
    <cellStyle name="Акцент5 9 3 2" xfId="7456"/>
    <cellStyle name="Акцент5 9 4" xfId="7449"/>
    <cellStyle name="Акцент5 9 5" xfId="7457"/>
    <cellStyle name="Акцент5 9 6" xfId="7458"/>
    <cellStyle name="Акцент5 9 7" xfId="7459"/>
    <cellStyle name="Акцент5 9 8" xfId="7460"/>
    <cellStyle name="Акцент5 9 9" xfId="7461"/>
    <cellStyle name="Акцент6 10" xfId="1197"/>
    <cellStyle name="Акцент6 10 10" xfId="7463"/>
    <cellStyle name="Акцент6 10 11" xfId="7464"/>
    <cellStyle name="Акцент6 10 12" xfId="7465"/>
    <cellStyle name="Акцент6 10 13" xfId="7466"/>
    <cellStyle name="Акцент6 10 14" xfId="7467"/>
    <cellStyle name="Акцент6 10 2" xfId="1198"/>
    <cellStyle name="Акцент6 10 2 2" xfId="7468"/>
    <cellStyle name="Акцент6 10 3" xfId="1199"/>
    <cellStyle name="Акцент6 10 3 2" xfId="7469"/>
    <cellStyle name="Акцент6 10 4" xfId="7462"/>
    <cellStyle name="Акцент6 10 5" xfId="7470"/>
    <cellStyle name="Акцент6 10 6" xfId="7471"/>
    <cellStyle name="Акцент6 10 7" xfId="7472"/>
    <cellStyle name="Акцент6 10 8" xfId="7473"/>
    <cellStyle name="Акцент6 10 9" xfId="7474"/>
    <cellStyle name="Акцент6 11" xfId="1200"/>
    <cellStyle name="Акцент6 11 10" xfId="7476"/>
    <cellStyle name="Акцент6 11 11" xfId="7477"/>
    <cellStyle name="Акцент6 11 12" xfId="7478"/>
    <cellStyle name="Акцент6 11 13" xfId="7479"/>
    <cellStyle name="Акцент6 11 14" xfId="7480"/>
    <cellStyle name="Акцент6 11 2" xfId="1201"/>
    <cellStyle name="Акцент6 11 2 2" xfId="7481"/>
    <cellStyle name="Акцент6 11 3" xfId="1202"/>
    <cellStyle name="Акцент6 11 3 2" xfId="7482"/>
    <cellStyle name="Акцент6 11 4" xfId="7475"/>
    <cellStyle name="Акцент6 11 5" xfId="7483"/>
    <cellStyle name="Акцент6 11 6" xfId="7484"/>
    <cellStyle name="Акцент6 11 7" xfId="7485"/>
    <cellStyle name="Акцент6 11 8" xfId="7486"/>
    <cellStyle name="Акцент6 11 9" xfId="7487"/>
    <cellStyle name="Акцент6 12" xfId="1203"/>
    <cellStyle name="Акцент6 12 10" xfId="7489"/>
    <cellStyle name="Акцент6 12 11" xfId="7490"/>
    <cellStyle name="Акцент6 12 12" xfId="7491"/>
    <cellStyle name="Акцент6 12 13" xfId="7492"/>
    <cellStyle name="Акцент6 12 14" xfId="7493"/>
    <cellStyle name="Акцент6 12 2" xfId="1204"/>
    <cellStyle name="Акцент6 12 2 2" xfId="7494"/>
    <cellStyle name="Акцент6 12 3" xfId="1205"/>
    <cellStyle name="Акцент6 12 3 2" xfId="7495"/>
    <cellStyle name="Акцент6 12 4" xfId="7488"/>
    <cellStyle name="Акцент6 12 5" xfId="7496"/>
    <cellStyle name="Акцент6 12 6" xfId="7497"/>
    <cellStyle name="Акцент6 12 7" xfId="7498"/>
    <cellStyle name="Акцент6 12 8" xfId="7499"/>
    <cellStyle name="Акцент6 12 9" xfId="7500"/>
    <cellStyle name="Акцент6 13" xfId="1206"/>
    <cellStyle name="Акцент6 13 10" xfId="7502"/>
    <cellStyle name="Акцент6 13 11" xfId="7503"/>
    <cellStyle name="Акцент6 13 12" xfId="7504"/>
    <cellStyle name="Акцент6 13 13" xfId="7505"/>
    <cellStyle name="Акцент6 13 14" xfId="7506"/>
    <cellStyle name="Акцент6 13 2" xfId="1207"/>
    <cellStyle name="Акцент6 13 2 2" xfId="7507"/>
    <cellStyle name="Акцент6 13 3" xfId="1208"/>
    <cellStyle name="Акцент6 13 3 2" xfId="7508"/>
    <cellStyle name="Акцент6 13 4" xfId="7501"/>
    <cellStyle name="Акцент6 13 5" xfId="7509"/>
    <cellStyle name="Акцент6 13 6" xfId="7510"/>
    <cellStyle name="Акцент6 13 7" xfId="7511"/>
    <cellStyle name="Акцент6 13 8" xfId="7512"/>
    <cellStyle name="Акцент6 13 9" xfId="7513"/>
    <cellStyle name="Акцент6 14" xfId="1209"/>
    <cellStyle name="Акцент6 14 10" xfId="7515"/>
    <cellStyle name="Акцент6 14 11" xfId="7516"/>
    <cellStyle name="Акцент6 14 12" xfId="7517"/>
    <cellStyle name="Акцент6 14 13" xfId="7518"/>
    <cellStyle name="Акцент6 14 14" xfId="7519"/>
    <cellStyle name="Акцент6 14 2" xfId="1210"/>
    <cellStyle name="Акцент6 14 2 2" xfId="7520"/>
    <cellStyle name="Акцент6 14 3" xfId="1211"/>
    <cellStyle name="Акцент6 14 3 2" xfId="7521"/>
    <cellStyle name="Акцент6 14 4" xfId="7514"/>
    <cellStyle name="Акцент6 14 5" xfId="7522"/>
    <cellStyle name="Акцент6 14 6" xfId="7523"/>
    <cellStyle name="Акцент6 14 7" xfId="7524"/>
    <cellStyle name="Акцент6 14 8" xfId="7525"/>
    <cellStyle name="Акцент6 14 9" xfId="7526"/>
    <cellStyle name="Акцент6 15" xfId="1212"/>
    <cellStyle name="Акцент6 15 10" xfId="7528"/>
    <cellStyle name="Акцент6 15 11" xfId="7529"/>
    <cellStyle name="Акцент6 15 12" xfId="7530"/>
    <cellStyle name="Акцент6 15 13" xfId="7531"/>
    <cellStyle name="Акцент6 15 14" xfId="7532"/>
    <cellStyle name="Акцент6 15 2" xfId="1213"/>
    <cellStyle name="Акцент6 15 2 2" xfId="7533"/>
    <cellStyle name="Акцент6 15 3" xfId="1214"/>
    <cellStyle name="Акцент6 15 3 2" xfId="7534"/>
    <cellStyle name="Акцент6 15 4" xfId="7527"/>
    <cellStyle name="Акцент6 15 5" xfId="7535"/>
    <cellStyle name="Акцент6 15 6" xfId="7536"/>
    <cellStyle name="Акцент6 15 7" xfId="7537"/>
    <cellStyle name="Акцент6 15 8" xfId="7538"/>
    <cellStyle name="Акцент6 15 9" xfId="7539"/>
    <cellStyle name="Акцент6 16" xfId="1215"/>
    <cellStyle name="Акцент6 16 10" xfId="7541"/>
    <cellStyle name="Акцент6 16 11" xfId="7542"/>
    <cellStyle name="Акцент6 16 12" xfId="7543"/>
    <cellStyle name="Акцент6 16 13" xfId="7544"/>
    <cellStyle name="Акцент6 16 14" xfId="7545"/>
    <cellStyle name="Акцент6 16 2" xfId="1216"/>
    <cellStyle name="Акцент6 16 2 2" xfId="7546"/>
    <cellStyle name="Акцент6 16 3" xfId="1217"/>
    <cellStyle name="Акцент6 16 3 2" xfId="7547"/>
    <cellStyle name="Акцент6 16 4" xfId="7540"/>
    <cellStyle name="Акцент6 16 5" xfId="7548"/>
    <cellStyle name="Акцент6 16 6" xfId="7549"/>
    <cellStyle name="Акцент6 16 7" xfId="7550"/>
    <cellStyle name="Акцент6 16 8" xfId="7551"/>
    <cellStyle name="Акцент6 16 9" xfId="7552"/>
    <cellStyle name="Акцент6 17" xfId="1218"/>
    <cellStyle name="Акцент6 17 10" xfId="7554"/>
    <cellStyle name="Акцент6 17 11" xfId="7555"/>
    <cellStyle name="Акцент6 17 12" xfId="7556"/>
    <cellStyle name="Акцент6 17 13" xfId="7557"/>
    <cellStyle name="Акцент6 17 14" xfId="7558"/>
    <cellStyle name="Акцент6 17 2" xfId="1219"/>
    <cellStyle name="Акцент6 17 2 2" xfId="7559"/>
    <cellStyle name="Акцент6 17 3" xfId="1220"/>
    <cellStyle name="Акцент6 17 3 2" xfId="7560"/>
    <cellStyle name="Акцент6 17 4" xfId="7553"/>
    <cellStyle name="Акцент6 17 5" xfId="7561"/>
    <cellStyle name="Акцент6 17 6" xfId="7562"/>
    <cellStyle name="Акцент6 17 7" xfId="7563"/>
    <cellStyle name="Акцент6 17 8" xfId="7564"/>
    <cellStyle name="Акцент6 17 9" xfId="7565"/>
    <cellStyle name="Акцент6 18" xfId="1221"/>
    <cellStyle name="Акцент6 18 2" xfId="1222"/>
    <cellStyle name="Акцент6 18 2 2" xfId="7567"/>
    <cellStyle name="Акцент6 18 3" xfId="7566"/>
    <cellStyle name="Акцент6 19" xfId="1223"/>
    <cellStyle name="Акцент6 19 2" xfId="1224"/>
    <cellStyle name="Акцент6 19 2 2" xfId="7569"/>
    <cellStyle name="Акцент6 19 3" xfId="7568"/>
    <cellStyle name="Акцент6 2" xfId="1225"/>
    <cellStyle name="Акцент6 2 10" xfId="7571"/>
    <cellStyle name="Акцент6 2 11" xfId="7572"/>
    <cellStyle name="Акцент6 2 12" xfId="7573"/>
    <cellStyle name="Акцент6 2 13" xfId="7574"/>
    <cellStyle name="Акцент6 2 14" xfId="7575"/>
    <cellStyle name="Акцент6 2 2" xfId="1226"/>
    <cellStyle name="Акцент6 2 2 2" xfId="7576"/>
    <cellStyle name="Акцент6 2 3" xfId="1227"/>
    <cellStyle name="Акцент6 2 3 2" xfId="7577"/>
    <cellStyle name="Акцент6 2 4" xfId="7570"/>
    <cellStyle name="Акцент6 2 5" xfId="7578"/>
    <cellStyle name="Акцент6 2 6" xfId="7579"/>
    <cellStyle name="Акцент6 2 7" xfId="7580"/>
    <cellStyle name="Акцент6 2 8" xfId="7581"/>
    <cellStyle name="Акцент6 2 9" xfId="7582"/>
    <cellStyle name="Акцент6 3" xfId="1228"/>
    <cellStyle name="Акцент6 3 10" xfId="7584"/>
    <cellStyle name="Акцент6 3 11" xfId="7585"/>
    <cellStyle name="Акцент6 3 12" xfId="7586"/>
    <cellStyle name="Акцент6 3 13" xfId="7587"/>
    <cellStyle name="Акцент6 3 14" xfId="7588"/>
    <cellStyle name="Акцент6 3 2" xfId="1229"/>
    <cellStyle name="Акцент6 3 2 2" xfId="7589"/>
    <cellStyle name="Акцент6 3 3" xfId="1230"/>
    <cellStyle name="Акцент6 3 3 2" xfId="7590"/>
    <cellStyle name="Акцент6 3 4" xfId="7583"/>
    <cellStyle name="Акцент6 3 5" xfId="7591"/>
    <cellStyle name="Акцент6 3 6" xfId="7592"/>
    <cellStyle name="Акцент6 3 7" xfId="7593"/>
    <cellStyle name="Акцент6 3 8" xfId="7594"/>
    <cellStyle name="Акцент6 3 9" xfId="7595"/>
    <cellStyle name="Акцент6 4" xfId="1231"/>
    <cellStyle name="Акцент6 4 10" xfId="7597"/>
    <cellStyle name="Акцент6 4 11" xfId="7598"/>
    <cellStyle name="Акцент6 4 12" xfId="7599"/>
    <cellStyle name="Акцент6 4 13" xfId="7600"/>
    <cellStyle name="Акцент6 4 14" xfId="7601"/>
    <cellStyle name="Акцент6 4 2" xfId="1232"/>
    <cellStyle name="Акцент6 4 2 2" xfId="7602"/>
    <cellStyle name="Акцент6 4 3" xfId="1233"/>
    <cellStyle name="Акцент6 4 3 2" xfId="7603"/>
    <cellStyle name="Акцент6 4 4" xfId="7596"/>
    <cellStyle name="Акцент6 4 5" xfId="7604"/>
    <cellStyle name="Акцент6 4 6" xfId="7605"/>
    <cellStyle name="Акцент6 4 7" xfId="7606"/>
    <cellStyle name="Акцент6 4 8" xfId="7607"/>
    <cellStyle name="Акцент6 4 9" xfId="7608"/>
    <cellStyle name="Акцент6 5" xfId="1234"/>
    <cellStyle name="Акцент6 5 10" xfId="7610"/>
    <cellStyle name="Акцент6 5 11" xfId="7611"/>
    <cellStyle name="Акцент6 5 12" xfId="7612"/>
    <cellStyle name="Акцент6 5 13" xfId="7613"/>
    <cellStyle name="Акцент6 5 14" xfId="7614"/>
    <cellStyle name="Акцент6 5 2" xfId="1235"/>
    <cellStyle name="Акцент6 5 2 2" xfId="7615"/>
    <cellStyle name="Акцент6 5 3" xfId="1236"/>
    <cellStyle name="Акцент6 5 3 2" xfId="7616"/>
    <cellStyle name="Акцент6 5 4" xfId="7609"/>
    <cellStyle name="Акцент6 5 5" xfId="7617"/>
    <cellStyle name="Акцент6 5 6" xfId="7618"/>
    <cellStyle name="Акцент6 5 7" xfId="7619"/>
    <cellStyle name="Акцент6 5 8" xfId="7620"/>
    <cellStyle name="Акцент6 5 9" xfId="7621"/>
    <cellStyle name="Акцент6 6" xfId="1237"/>
    <cellStyle name="Акцент6 6 10" xfId="7623"/>
    <cellStyle name="Акцент6 6 11" xfId="7624"/>
    <cellStyle name="Акцент6 6 12" xfId="7625"/>
    <cellStyle name="Акцент6 6 13" xfId="7626"/>
    <cellStyle name="Акцент6 6 14" xfId="7627"/>
    <cellStyle name="Акцент6 6 2" xfId="1238"/>
    <cellStyle name="Акцент6 6 2 2" xfId="7628"/>
    <cellStyle name="Акцент6 6 3" xfId="1239"/>
    <cellStyle name="Акцент6 6 3 2" xfId="7629"/>
    <cellStyle name="Акцент6 6 4" xfId="7622"/>
    <cellStyle name="Акцент6 6 5" xfId="7630"/>
    <cellStyle name="Акцент6 6 6" xfId="7631"/>
    <cellStyle name="Акцент6 6 7" xfId="7632"/>
    <cellStyle name="Акцент6 6 8" xfId="7633"/>
    <cellStyle name="Акцент6 6 9" xfId="7634"/>
    <cellStyle name="Акцент6 7" xfId="1240"/>
    <cellStyle name="Акцент6 7 10" xfId="7636"/>
    <cellStyle name="Акцент6 7 11" xfId="7637"/>
    <cellStyle name="Акцент6 7 12" xfId="7638"/>
    <cellStyle name="Акцент6 7 13" xfId="7639"/>
    <cellStyle name="Акцент6 7 14" xfId="7640"/>
    <cellStyle name="Акцент6 7 2" xfId="1241"/>
    <cellStyle name="Акцент6 7 2 2" xfId="7641"/>
    <cellStyle name="Акцент6 7 3" xfId="1242"/>
    <cellStyle name="Акцент6 7 3 2" xfId="7642"/>
    <cellStyle name="Акцент6 7 4" xfId="7635"/>
    <cellStyle name="Акцент6 7 5" xfId="7643"/>
    <cellStyle name="Акцент6 7 6" xfId="7644"/>
    <cellStyle name="Акцент6 7 7" xfId="7645"/>
    <cellStyle name="Акцент6 7 8" xfId="7646"/>
    <cellStyle name="Акцент6 7 9" xfId="7647"/>
    <cellStyle name="Акцент6 8" xfId="1243"/>
    <cellStyle name="Акцент6 8 10" xfId="7649"/>
    <cellStyle name="Акцент6 8 11" xfId="7650"/>
    <cellStyle name="Акцент6 8 12" xfId="7651"/>
    <cellStyle name="Акцент6 8 13" xfId="7652"/>
    <cellStyle name="Акцент6 8 14" xfId="7653"/>
    <cellStyle name="Акцент6 8 2" xfId="1244"/>
    <cellStyle name="Акцент6 8 2 2" xfId="7654"/>
    <cellStyle name="Акцент6 8 3" xfId="1245"/>
    <cellStyle name="Акцент6 8 3 2" xfId="7655"/>
    <cellStyle name="Акцент6 8 4" xfId="7648"/>
    <cellStyle name="Акцент6 8 5" xfId="7656"/>
    <cellStyle name="Акцент6 8 6" xfId="7657"/>
    <cellStyle name="Акцент6 8 7" xfId="7658"/>
    <cellStyle name="Акцент6 8 8" xfId="7659"/>
    <cellStyle name="Акцент6 8 9" xfId="7660"/>
    <cellStyle name="Акцент6 9" xfId="1246"/>
    <cellStyle name="Акцент6 9 10" xfId="7662"/>
    <cellStyle name="Акцент6 9 11" xfId="7663"/>
    <cellStyle name="Акцент6 9 12" xfId="7664"/>
    <cellStyle name="Акцент6 9 13" xfId="7665"/>
    <cellStyle name="Акцент6 9 14" xfId="7666"/>
    <cellStyle name="Акцент6 9 2" xfId="1247"/>
    <cellStyle name="Акцент6 9 2 2" xfId="7667"/>
    <cellStyle name="Акцент6 9 3" xfId="1248"/>
    <cellStyle name="Акцент6 9 3 2" xfId="7668"/>
    <cellStyle name="Акцент6 9 4" xfId="7661"/>
    <cellStyle name="Акцент6 9 5" xfId="7669"/>
    <cellStyle name="Акцент6 9 6" xfId="7670"/>
    <cellStyle name="Акцент6 9 7" xfId="7671"/>
    <cellStyle name="Акцент6 9 8" xfId="7672"/>
    <cellStyle name="Акцент6 9 9" xfId="7673"/>
    <cellStyle name="Ввод  10" xfId="1249"/>
    <cellStyle name="Ввод  10 10" xfId="7675"/>
    <cellStyle name="Ввод  10 11" xfId="7676"/>
    <cellStyle name="Ввод  10 12" xfId="7677"/>
    <cellStyle name="Ввод  10 13" xfId="7678"/>
    <cellStyle name="Ввод  10 14" xfId="7679"/>
    <cellStyle name="Ввод  10 15" xfId="11842"/>
    <cellStyle name="Ввод  10 15 10" xfId="25716"/>
    <cellStyle name="Ввод  10 15 11" xfId="35591"/>
    <cellStyle name="Ввод  10 15 2" xfId="14740"/>
    <cellStyle name="Ввод  10 15 2 2" xfId="16954"/>
    <cellStyle name="Ввод  10 15 2 2 2" xfId="23006"/>
    <cellStyle name="Ввод  10 15 2 2 3" xfId="30768"/>
    <cellStyle name="Ввод  10 15 2 2 4" xfId="40643"/>
    <cellStyle name="Ввод  10 15 2 3" xfId="20023"/>
    <cellStyle name="Ввод  10 15 2 3 2" xfId="33833"/>
    <cellStyle name="Ввод  10 15 2 3 3" xfId="43701"/>
    <cellStyle name="Ввод  10 15 2 4" xfId="28560"/>
    <cellStyle name="Ввод  10 15 2 5" xfId="38435"/>
    <cellStyle name="Ввод  10 15 3" xfId="14265"/>
    <cellStyle name="Ввод  10 15 3 2" xfId="19548"/>
    <cellStyle name="Ввод  10 15 3 2 2" xfId="33358"/>
    <cellStyle name="Ввод  10 15 3 2 3" xfId="43227"/>
    <cellStyle name="Ввод  10 15 3 3" xfId="28086"/>
    <cellStyle name="Ввод  10 15 3 4" xfId="37961"/>
    <cellStyle name="Ввод  10 15 4" xfId="20681"/>
    <cellStyle name="Ввод  10 15 5" xfId="21237"/>
    <cellStyle name="Ввод  10 15 6" xfId="21709"/>
    <cellStyle name="Ввод  10 15 7" xfId="22246"/>
    <cellStyle name="Ввод  10 15 8" xfId="22414"/>
    <cellStyle name="Ввод  10 15 9" xfId="23902"/>
    <cellStyle name="Ввод  10 16" xfId="12066"/>
    <cellStyle name="Ввод  10 16 10" xfId="24142"/>
    <cellStyle name="Ввод  10 16 11" xfId="25940"/>
    <cellStyle name="Ввод  10 16 12" xfId="35815"/>
    <cellStyle name="Ввод  10 16 2" xfId="14964"/>
    <cellStyle name="Ввод  10 16 2 2" xfId="20247"/>
    <cellStyle name="Ввод  10 16 2 2 2" xfId="34057"/>
    <cellStyle name="Ввод  10 16 2 2 3" xfId="43925"/>
    <cellStyle name="Ввод  10 16 2 3" xfId="23518"/>
    <cellStyle name="Ввод  10 16 2 4" xfId="28784"/>
    <cellStyle name="Ввод  10 16 2 5" xfId="38659"/>
    <cellStyle name="Ввод  10 16 3" xfId="20553"/>
    <cellStyle name="Ввод  10 16 4" xfId="20889"/>
    <cellStyle name="Ввод  10 16 5" xfId="21019"/>
    <cellStyle name="Ввод  10 16 6" xfId="21445"/>
    <cellStyle name="Ввод  10 16 7" xfId="21845"/>
    <cellStyle name="Ввод  10 16 8" xfId="22350"/>
    <cellStyle name="Ввод  10 16 9" xfId="22638"/>
    <cellStyle name="Ввод  10 17" xfId="12146"/>
    <cellStyle name="Ввод  10 17 10" xfId="24222"/>
    <cellStyle name="Ввод  10 17 11" xfId="26020"/>
    <cellStyle name="Ввод  10 17 12" xfId="35895"/>
    <cellStyle name="Ввод  10 17 2" xfId="15044"/>
    <cellStyle name="Ввод  10 17 2 2" xfId="20327"/>
    <cellStyle name="Ввод  10 17 2 2 2" xfId="34137"/>
    <cellStyle name="Ввод  10 17 2 2 3" xfId="44005"/>
    <cellStyle name="Ввод  10 17 2 3" xfId="23598"/>
    <cellStyle name="Ввод  10 17 2 4" xfId="28864"/>
    <cellStyle name="Ввод  10 17 2 5" xfId="38739"/>
    <cellStyle name="Ввод  10 17 3" xfId="20617"/>
    <cellStyle name="Ввод  10 17 4" xfId="20953"/>
    <cellStyle name="Ввод  10 17 5" xfId="21067"/>
    <cellStyle name="Ввод  10 17 6" xfId="21525"/>
    <cellStyle name="Ввод  10 17 7" xfId="21893"/>
    <cellStyle name="Ввод  10 17 8" xfId="22382"/>
    <cellStyle name="Ввод  10 17 9" xfId="22718"/>
    <cellStyle name="Ввод  10 18" xfId="11582"/>
    <cellStyle name="Ввод  10 18 2" xfId="14480"/>
    <cellStyle name="Ввод  10 18 2 2" xfId="19763"/>
    <cellStyle name="Ввод  10 18 2 2 2" xfId="33573"/>
    <cellStyle name="Ввод  10 18 2 2 3" xfId="43441"/>
    <cellStyle name="Ввод  10 18 2 3" xfId="28300"/>
    <cellStyle name="Ввод  10 18 2 4" xfId="38175"/>
    <cellStyle name="Ввод  10 18 3" xfId="15713"/>
    <cellStyle name="Ввод  10 18 3 2" xfId="22861"/>
    <cellStyle name="Ввод  10 18 3 3" xfId="24345"/>
    <cellStyle name="Ввод  10 18 3 4" xfId="29532"/>
    <cellStyle name="Ввод  10 18 3 5" xfId="39407"/>
    <cellStyle name="Ввод  10 18 4" xfId="23341"/>
    <cellStyle name="Ввод  10 18 5" xfId="25456"/>
    <cellStyle name="Ввод  10 18 6" xfId="35331"/>
    <cellStyle name="Ввод  10 19" xfId="13213"/>
    <cellStyle name="Ввод  10 19 2" xfId="16014"/>
    <cellStyle name="Ввод  10 19 2 2" xfId="29832"/>
    <cellStyle name="Ввод  10 19 2 3" xfId="39707"/>
    <cellStyle name="Ввод  10 19 3" xfId="18545"/>
    <cellStyle name="Ввод  10 19 3 2" xfId="32355"/>
    <cellStyle name="Ввод  10 19 3 3" xfId="42227"/>
    <cellStyle name="Ввод  10 19 4" xfId="27086"/>
    <cellStyle name="Ввод  10 19 5" xfId="36961"/>
    <cellStyle name="Ввод  10 2" xfId="1250"/>
    <cellStyle name="Ввод  10 2 10" xfId="23679"/>
    <cellStyle name="Ввод  10 2 11" xfId="24595"/>
    <cellStyle name="Ввод  10 2 12" xfId="34220"/>
    <cellStyle name="Ввод  10 2 13" xfId="34667"/>
    <cellStyle name="Ввод  10 2 2" xfId="7680"/>
    <cellStyle name="Ввод  10 2 3" xfId="11906"/>
    <cellStyle name="Ввод  10 2 3 10" xfId="25780"/>
    <cellStyle name="Ввод  10 2 3 11" xfId="35655"/>
    <cellStyle name="Ввод  10 2 3 2" xfId="14804"/>
    <cellStyle name="Ввод  10 2 3 2 2" xfId="17018"/>
    <cellStyle name="Ввод  10 2 3 2 2 2" xfId="23070"/>
    <cellStyle name="Ввод  10 2 3 2 2 3" xfId="30832"/>
    <cellStyle name="Ввод  10 2 3 2 2 4" xfId="40707"/>
    <cellStyle name="Ввод  10 2 3 2 3" xfId="20087"/>
    <cellStyle name="Ввод  10 2 3 2 3 2" xfId="33897"/>
    <cellStyle name="Ввод  10 2 3 2 3 3" xfId="43765"/>
    <cellStyle name="Ввод  10 2 3 2 4" xfId="28624"/>
    <cellStyle name="Ввод  10 2 3 2 5" xfId="38499"/>
    <cellStyle name="Ввод  10 2 3 3" xfId="14303"/>
    <cellStyle name="Ввод  10 2 3 3 2" xfId="19586"/>
    <cellStyle name="Ввод  10 2 3 3 2 2" xfId="33396"/>
    <cellStyle name="Ввод  10 2 3 3 2 3" xfId="43265"/>
    <cellStyle name="Ввод  10 2 3 3 3" xfId="28124"/>
    <cellStyle name="Ввод  10 2 3 3 4" xfId="37999"/>
    <cellStyle name="Ввод  10 2 3 4" xfId="20745"/>
    <cellStyle name="Ввод  10 2 3 5" xfId="21301"/>
    <cellStyle name="Ввод  10 2 3 6" xfId="21757"/>
    <cellStyle name="Ввод  10 2 3 7" xfId="22278"/>
    <cellStyle name="Ввод  10 2 3 8" xfId="22494"/>
    <cellStyle name="Ввод  10 2 3 9" xfId="23982"/>
    <cellStyle name="Ввод  10 2 4" xfId="11583"/>
    <cellStyle name="Ввод  10 2 4 2" xfId="14481"/>
    <cellStyle name="Ввод  10 2 4 2 2" xfId="19764"/>
    <cellStyle name="Ввод  10 2 4 2 2 2" xfId="33574"/>
    <cellStyle name="Ввод  10 2 4 2 2 3" xfId="43442"/>
    <cellStyle name="Ввод  10 2 4 2 3" xfId="28301"/>
    <cellStyle name="Ввод  10 2 4 2 4" xfId="38176"/>
    <cellStyle name="Ввод  10 2 4 3" xfId="15714"/>
    <cellStyle name="Ввод  10 2 4 3 2" xfId="22862"/>
    <cellStyle name="Ввод  10 2 4 3 3" xfId="24346"/>
    <cellStyle name="Ввод  10 2 4 3 4" xfId="29533"/>
    <cellStyle name="Ввод  10 2 4 3 5" xfId="39408"/>
    <cellStyle name="Ввод  10 2 4 4" xfId="23342"/>
    <cellStyle name="Ввод  10 2 4 5" xfId="25457"/>
    <cellStyle name="Ввод  10 2 4 6" xfId="35332"/>
    <cellStyle name="Ввод  10 2 5" xfId="12234"/>
    <cellStyle name="Ввод  10 2 5 2" xfId="17566"/>
    <cellStyle name="Ввод  10 2 5 2 2" xfId="31376"/>
    <cellStyle name="Ввод  10 2 5 2 3" xfId="41249"/>
    <cellStyle name="Ввод  10 2 5 3" xfId="20409"/>
    <cellStyle name="Ввод  10 2 5 4" xfId="26108"/>
    <cellStyle name="Ввод  10 2 5 5" xfId="35983"/>
    <cellStyle name="Ввод  10 2 6" xfId="13214"/>
    <cellStyle name="Ввод  10 2 6 2" xfId="16015"/>
    <cellStyle name="Ввод  10 2 6 2 2" xfId="29833"/>
    <cellStyle name="Ввод  10 2 6 2 3" xfId="39708"/>
    <cellStyle name="Ввод  10 2 6 3" xfId="18546"/>
    <cellStyle name="Ввод  10 2 6 3 2" xfId="32356"/>
    <cellStyle name="Ввод  10 2 6 3 3" xfId="42228"/>
    <cellStyle name="Ввод  10 2 6 4" xfId="27087"/>
    <cellStyle name="Ввод  10 2 6 5" xfId="36962"/>
    <cellStyle name="Ввод  10 2 7" xfId="13064"/>
    <cellStyle name="Ввод  10 2 7 2" xfId="18396"/>
    <cellStyle name="Ввод  10 2 7 2 2" xfId="32206"/>
    <cellStyle name="Ввод  10 2 7 2 3" xfId="42078"/>
    <cellStyle name="Ввод  10 2 7 3" xfId="26937"/>
    <cellStyle name="Ввод  10 2 7 4" xfId="36812"/>
    <cellStyle name="Ввод  10 2 8" xfId="17169"/>
    <cellStyle name="Ввод  10 2 8 2" xfId="21637"/>
    <cellStyle name="Ввод  10 2 8 3" xfId="30980"/>
    <cellStyle name="Ввод  10 2 8 4" xfId="40854"/>
    <cellStyle name="Ввод  10 2 9" xfId="21946"/>
    <cellStyle name="Ввод  10 20" xfId="13063"/>
    <cellStyle name="Ввод  10 20 2" xfId="18395"/>
    <cellStyle name="Ввод  10 20 2 2" xfId="32205"/>
    <cellStyle name="Ввод  10 20 2 3" xfId="42077"/>
    <cellStyle name="Ввод  10 20 3" xfId="26936"/>
    <cellStyle name="Ввод  10 20 4" xfId="36811"/>
    <cellStyle name="Ввод  10 21" xfId="17168"/>
    <cellStyle name="Ввод  10 21 2" xfId="21194"/>
    <cellStyle name="Ввод  10 21 3" xfId="30979"/>
    <cellStyle name="Ввод  10 21 4" xfId="40853"/>
    <cellStyle name="Ввод  10 22" xfId="21605"/>
    <cellStyle name="Ввод  10 23" xfId="21945"/>
    <cellStyle name="Ввод  10 24" xfId="23678"/>
    <cellStyle name="Ввод  10 25" xfId="24594"/>
    <cellStyle name="Ввод  10 26" xfId="34219"/>
    <cellStyle name="Ввод  10 27" xfId="34668"/>
    <cellStyle name="Ввод  10 3" xfId="1251"/>
    <cellStyle name="Ввод  10 3 10" xfId="23680"/>
    <cellStyle name="Ввод  10 3 11" xfId="24596"/>
    <cellStyle name="Ввод  10 3 12" xfId="34221"/>
    <cellStyle name="Ввод  10 3 13" xfId="34666"/>
    <cellStyle name="Ввод  10 3 2" xfId="7681"/>
    <cellStyle name="Ввод  10 3 3" xfId="11907"/>
    <cellStyle name="Ввод  10 3 3 10" xfId="25781"/>
    <cellStyle name="Ввод  10 3 3 11" xfId="35656"/>
    <cellStyle name="Ввод  10 3 3 2" xfId="14805"/>
    <cellStyle name="Ввод  10 3 3 2 2" xfId="17019"/>
    <cellStyle name="Ввод  10 3 3 2 2 2" xfId="23071"/>
    <cellStyle name="Ввод  10 3 3 2 2 3" xfId="30833"/>
    <cellStyle name="Ввод  10 3 3 2 2 4" xfId="40708"/>
    <cellStyle name="Ввод  10 3 3 2 3" xfId="20088"/>
    <cellStyle name="Ввод  10 3 3 2 3 2" xfId="33898"/>
    <cellStyle name="Ввод  10 3 3 2 3 3" xfId="43766"/>
    <cellStyle name="Ввод  10 3 3 2 4" xfId="28625"/>
    <cellStyle name="Ввод  10 3 3 2 5" xfId="38500"/>
    <cellStyle name="Ввод  10 3 3 3" xfId="13038"/>
    <cellStyle name="Ввод  10 3 3 3 2" xfId="18370"/>
    <cellStyle name="Ввод  10 3 3 3 2 2" xfId="32180"/>
    <cellStyle name="Ввод  10 3 3 3 2 3" xfId="42053"/>
    <cellStyle name="Ввод  10 3 3 3 3" xfId="26912"/>
    <cellStyle name="Ввод  10 3 3 3 4" xfId="36787"/>
    <cellStyle name="Ввод  10 3 3 4" xfId="20746"/>
    <cellStyle name="Ввод  10 3 3 5" xfId="21302"/>
    <cellStyle name="Ввод  10 3 3 6" xfId="21758"/>
    <cellStyle name="Ввод  10 3 3 7" xfId="22279"/>
    <cellStyle name="Ввод  10 3 3 8" xfId="22495"/>
    <cellStyle name="Ввод  10 3 3 9" xfId="23983"/>
    <cellStyle name="Ввод  10 3 4" xfId="11584"/>
    <cellStyle name="Ввод  10 3 4 2" xfId="14482"/>
    <cellStyle name="Ввод  10 3 4 2 2" xfId="19765"/>
    <cellStyle name="Ввод  10 3 4 2 2 2" xfId="33575"/>
    <cellStyle name="Ввод  10 3 4 2 2 3" xfId="43443"/>
    <cellStyle name="Ввод  10 3 4 2 3" xfId="28302"/>
    <cellStyle name="Ввод  10 3 4 2 4" xfId="38177"/>
    <cellStyle name="Ввод  10 3 4 3" xfId="15715"/>
    <cellStyle name="Ввод  10 3 4 3 2" xfId="22863"/>
    <cellStyle name="Ввод  10 3 4 3 3" xfId="24347"/>
    <cellStyle name="Ввод  10 3 4 3 4" xfId="29534"/>
    <cellStyle name="Ввод  10 3 4 3 5" xfId="39409"/>
    <cellStyle name="Ввод  10 3 4 4" xfId="23343"/>
    <cellStyle name="Ввод  10 3 4 5" xfId="25458"/>
    <cellStyle name="Ввод  10 3 4 6" xfId="35333"/>
    <cellStyle name="Ввод  10 3 5" xfId="12235"/>
    <cellStyle name="Ввод  10 3 5 2" xfId="17567"/>
    <cellStyle name="Ввод  10 3 5 2 2" xfId="31377"/>
    <cellStyle name="Ввод  10 3 5 2 3" xfId="41250"/>
    <cellStyle name="Ввод  10 3 5 3" xfId="20410"/>
    <cellStyle name="Ввод  10 3 5 4" xfId="26109"/>
    <cellStyle name="Ввод  10 3 5 5" xfId="35984"/>
    <cellStyle name="Ввод  10 3 6" xfId="13215"/>
    <cellStyle name="Ввод  10 3 6 2" xfId="16016"/>
    <cellStyle name="Ввод  10 3 6 2 2" xfId="29834"/>
    <cellStyle name="Ввод  10 3 6 2 3" xfId="39709"/>
    <cellStyle name="Ввод  10 3 6 3" xfId="18547"/>
    <cellStyle name="Ввод  10 3 6 3 2" xfId="32357"/>
    <cellStyle name="Ввод  10 3 6 3 3" xfId="42229"/>
    <cellStyle name="Ввод  10 3 6 4" xfId="27088"/>
    <cellStyle name="Ввод  10 3 6 5" xfId="36963"/>
    <cellStyle name="Ввод  10 3 7" xfId="13065"/>
    <cellStyle name="Ввод  10 3 7 2" xfId="18397"/>
    <cellStyle name="Ввод  10 3 7 2 2" xfId="32207"/>
    <cellStyle name="Ввод  10 3 7 2 3" xfId="42079"/>
    <cellStyle name="Ввод  10 3 7 3" xfId="26938"/>
    <cellStyle name="Ввод  10 3 7 4" xfId="36813"/>
    <cellStyle name="Ввод  10 3 8" xfId="17170"/>
    <cellStyle name="Ввод  10 3 8 2" xfId="21638"/>
    <cellStyle name="Ввод  10 3 8 3" xfId="30981"/>
    <cellStyle name="Ввод  10 3 8 4" xfId="40855"/>
    <cellStyle name="Ввод  10 3 9" xfId="21947"/>
    <cellStyle name="Ввод  10 4" xfId="7674"/>
    <cellStyle name="Ввод  10 5" xfId="7682"/>
    <cellStyle name="Ввод  10 6" xfId="7683"/>
    <cellStyle name="Ввод  10 7" xfId="7684"/>
    <cellStyle name="Ввод  10 8" xfId="7685"/>
    <cellStyle name="Ввод  10 9" xfId="7686"/>
    <cellStyle name="Ввод  11" xfId="1252"/>
    <cellStyle name="Ввод  11 10" xfId="7688"/>
    <cellStyle name="Ввод  11 11" xfId="7689"/>
    <cellStyle name="Ввод  11 12" xfId="7690"/>
    <cellStyle name="Ввод  11 13" xfId="7691"/>
    <cellStyle name="Ввод  11 14" xfId="7692"/>
    <cellStyle name="Ввод  11 15" xfId="11843"/>
    <cellStyle name="Ввод  11 15 10" xfId="25717"/>
    <cellStyle name="Ввод  11 15 11" xfId="35592"/>
    <cellStyle name="Ввод  11 15 2" xfId="14741"/>
    <cellStyle name="Ввод  11 15 2 2" xfId="16955"/>
    <cellStyle name="Ввод  11 15 2 2 2" xfId="23007"/>
    <cellStyle name="Ввод  11 15 2 2 3" xfId="30769"/>
    <cellStyle name="Ввод  11 15 2 2 4" xfId="40644"/>
    <cellStyle name="Ввод  11 15 2 3" xfId="20024"/>
    <cellStyle name="Ввод  11 15 2 3 2" xfId="33834"/>
    <cellStyle name="Ввод  11 15 2 3 3" xfId="43702"/>
    <cellStyle name="Ввод  11 15 2 4" xfId="28561"/>
    <cellStyle name="Ввод  11 15 2 5" xfId="38436"/>
    <cellStyle name="Ввод  11 15 3" xfId="13046"/>
    <cellStyle name="Ввод  11 15 3 2" xfId="18378"/>
    <cellStyle name="Ввод  11 15 3 2 2" xfId="32188"/>
    <cellStyle name="Ввод  11 15 3 2 3" xfId="42061"/>
    <cellStyle name="Ввод  11 15 3 3" xfId="26920"/>
    <cellStyle name="Ввод  11 15 3 4" xfId="36795"/>
    <cellStyle name="Ввод  11 15 4" xfId="20682"/>
    <cellStyle name="Ввод  11 15 5" xfId="21238"/>
    <cellStyle name="Ввод  11 15 6" xfId="21710"/>
    <cellStyle name="Ввод  11 15 7" xfId="22247"/>
    <cellStyle name="Ввод  11 15 8" xfId="22415"/>
    <cellStyle name="Ввод  11 15 9" xfId="23903"/>
    <cellStyle name="Ввод  11 16" xfId="12067"/>
    <cellStyle name="Ввод  11 16 10" xfId="24143"/>
    <cellStyle name="Ввод  11 16 11" xfId="25941"/>
    <cellStyle name="Ввод  11 16 12" xfId="35816"/>
    <cellStyle name="Ввод  11 16 2" xfId="14965"/>
    <cellStyle name="Ввод  11 16 2 2" xfId="20248"/>
    <cellStyle name="Ввод  11 16 2 2 2" xfId="34058"/>
    <cellStyle name="Ввод  11 16 2 2 3" xfId="43926"/>
    <cellStyle name="Ввод  11 16 2 3" xfId="23519"/>
    <cellStyle name="Ввод  11 16 2 4" xfId="28785"/>
    <cellStyle name="Ввод  11 16 2 5" xfId="38660"/>
    <cellStyle name="Ввод  11 16 3" xfId="20554"/>
    <cellStyle name="Ввод  11 16 4" xfId="20890"/>
    <cellStyle name="Ввод  11 16 5" xfId="21020"/>
    <cellStyle name="Ввод  11 16 6" xfId="21446"/>
    <cellStyle name="Ввод  11 16 7" xfId="21846"/>
    <cellStyle name="Ввод  11 16 8" xfId="22351"/>
    <cellStyle name="Ввод  11 16 9" xfId="22639"/>
    <cellStyle name="Ввод  11 17" xfId="12147"/>
    <cellStyle name="Ввод  11 17 10" xfId="24223"/>
    <cellStyle name="Ввод  11 17 11" xfId="26021"/>
    <cellStyle name="Ввод  11 17 12" xfId="35896"/>
    <cellStyle name="Ввод  11 17 2" xfId="15045"/>
    <cellStyle name="Ввод  11 17 2 2" xfId="20328"/>
    <cellStyle name="Ввод  11 17 2 2 2" xfId="34138"/>
    <cellStyle name="Ввод  11 17 2 2 3" xfId="44006"/>
    <cellStyle name="Ввод  11 17 2 3" xfId="23599"/>
    <cellStyle name="Ввод  11 17 2 4" xfId="28865"/>
    <cellStyle name="Ввод  11 17 2 5" xfId="38740"/>
    <cellStyle name="Ввод  11 17 3" xfId="20618"/>
    <cellStyle name="Ввод  11 17 4" xfId="20954"/>
    <cellStyle name="Ввод  11 17 5" xfId="21068"/>
    <cellStyle name="Ввод  11 17 6" xfId="21526"/>
    <cellStyle name="Ввод  11 17 7" xfId="21894"/>
    <cellStyle name="Ввод  11 17 8" xfId="22383"/>
    <cellStyle name="Ввод  11 17 9" xfId="22719"/>
    <cellStyle name="Ввод  11 18" xfId="11585"/>
    <cellStyle name="Ввод  11 18 2" xfId="14483"/>
    <cellStyle name="Ввод  11 18 2 2" xfId="19766"/>
    <cellStyle name="Ввод  11 18 2 2 2" xfId="33576"/>
    <cellStyle name="Ввод  11 18 2 2 3" xfId="43444"/>
    <cellStyle name="Ввод  11 18 2 3" xfId="28303"/>
    <cellStyle name="Ввод  11 18 2 4" xfId="38178"/>
    <cellStyle name="Ввод  11 18 3" xfId="15716"/>
    <cellStyle name="Ввод  11 18 3 2" xfId="22860"/>
    <cellStyle name="Ввод  11 18 3 3" xfId="24348"/>
    <cellStyle name="Ввод  11 18 3 4" xfId="29535"/>
    <cellStyle name="Ввод  11 18 3 5" xfId="39410"/>
    <cellStyle name="Ввод  11 18 4" xfId="23340"/>
    <cellStyle name="Ввод  11 18 5" xfId="25459"/>
    <cellStyle name="Ввод  11 18 6" xfId="35334"/>
    <cellStyle name="Ввод  11 19" xfId="13216"/>
    <cellStyle name="Ввод  11 19 2" xfId="16017"/>
    <cellStyle name="Ввод  11 19 2 2" xfId="29835"/>
    <cellStyle name="Ввод  11 19 2 3" xfId="39710"/>
    <cellStyle name="Ввод  11 19 3" xfId="18548"/>
    <cellStyle name="Ввод  11 19 3 2" xfId="32358"/>
    <cellStyle name="Ввод  11 19 3 3" xfId="42230"/>
    <cellStyle name="Ввод  11 19 4" xfId="27089"/>
    <cellStyle name="Ввод  11 19 5" xfId="36964"/>
    <cellStyle name="Ввод  11 2" xfId="1253"/>
    <cellStyle name="Ввод  11 2 10" xfId="23682"/>
    <cellStyle name="Ввод  11 2 11" xfId="24598"/>
    <cellStyle name="Ввод  11 2 12" xfId="34223"/>
    <cellStyle name="Ввод  11 2 13" xfId="34664"/>
    <cellStyle name="Ввод  11 2 2" xfId="7693"/>
    <cellStyle name="Ввод  11 2 3" xfId="11908"/>
    <cellStyle name="Ввод  11 2 3 10" xfId="25782"/>
    <cellStyle name="Ввод  11 2 3 11" xfId="35657"/>
    <cellStyle name="Ввод  11 2 3 2" xfId="14806"/>
    <cellStyle name="Ввод  11 2 3 2 2" xfId="17020"/>
    <cellStyle name="Ввод  11 2 3 2 2 2" xfId="23072"/>
    <cellStyle name="Ввод  11 2 3 2 2 3" xfId="30834"/>
    <cellStyle name="Ввод  11 2 3 2 2 4" xfId="40709"/>
    <cellStyle name="Ввод  11 2 3 2 3" xfId="20089"/>
    <cellStyle name="Ввод  11 2 3 2 3 2" xfId="33899"/>
    <cellStyle name="Ввод  11 2 3 2 3 3" xfId="43767"/>
    <cellStyle name="Ввод  11 2 3 2 4" xfId="28626"/>
    <cellStyle name="Ввод  11 2 3 2 5" xfId="38501"/>
    <cellStyle name="Ввод  11 2 3 3" xfId="14304"/>
    <cellStyle name="Ввод  11 2 3 3 2" xfId="19587"/>
    <cellStyle name="Ввод  11 2 3 3 2 2" xfId="33397"/>
    <cellStyle name="Ввод  11 2 3 3 2 3" xfId="43266"/>
    <cellStyle name="Ввод  11 2 3 3 3" xfId="28125"/>
    <cellStyle name="Ввод  11 2 3 3 4" xfId="38000"/>
    <cellStyle name="Ввод  11 2 3 4" xfId="20747"/>
    <cellStyle name="Ввод  11 2 3 5" xfId="21303"/>
    <cellStyle name="Ввод  11 2 3 6" xfId="21759"/>
    <cellStyle name="Ввод  11 2 3 7" xfId="22280"/>
    <cellStyle name="Ввод  11 2 3 8" xfId="22496"/>
    <cellStyle name="Ввод  11 2 3 9" xfId="23984"/>
    <cellStyle name="Ввод  11 2 4" xfId="11586"/>
    <cellStyle name="Ввод  11 2 4 2" xfId="14484"/>
    <cellStyle name="Ввод  11 2 4 2 2" xfId="19767"/>
    <cellStyle name="Ввод  11 2 4 2 2 2" xfId="33577"/>
    <cellStyle name="Ввод  11 2 4 2 2 3" xfId="43445"/>
    <cellStyle name="Ввод  11 2 4 2 3" xfId="28304"/>
    <cellStyle name="Ввод  11 2 4 2 4" xfId="38179"/>
    <cellStyle name="Ввод  11 2 4 3" xfId="15717"/>
    <cellStyle name="Ввод  11 2 4 3 2" xfId="22864"/>
    <cellStyle name="Ввод  11 2 4 3 3" xfId="24349"/>
    <cellStyle name="Ввод  11 2 4 3 4" xfId="29536"/>
    <cellStyle name="Ввод  11 2 4 3 5" xfId="39411"/>
    <cellStyle name="Ввод  11 2 4 4" xfId="23344"/>
    <cellStyle name="Ввод  11 2 4 5" xfId="25460"/>
    <cellStyle name="Ввод  11 2 4 6" xfId="35335"/>
    <cellStyle name="Ввод  11 2 5" xfId="12236"/>
    <cellStyle name="Ввод  11 2 5 2" xfId="17568"/>
    <cellStyle name="Ввод  11 2 5 2 2" xfId="31378"/>
    <cellStyle name="Ввод  11 2 5 2 3" xfId="41251"/>
    <cellStyle name="Ввод  11 2 5 3" xfId="20411"/>
    <cellStyle name="Ввод  11 2 5 4" xfId="26110"/>
    <cellStyle name="Ввод  11 2 5 5" xfId="35985"/>
    <cellStyle name="Ввод  11 2 6" xfId="13217"/>
    <cellStyle name="Ввод  11 2 6 2" xfId="16018"/>
    <cellStyle name="Ввод  11 2 6 2 2" xfId="29836"/>
    <cellStyle name="Ввод  11 2 6 2 3" xfId="39711"/>
    <cellStyle name="Ввод  11 2 6 3" xfId="18549"/>
    <cellStyle name="Ввод  11 2 6 3 2" xfId="32359"/>
    <cellStyle name="Ввод  11 2 6 3 3" xfId="42231"/>
    <cellStyle name="Ввод  11 2 6 4" xfId="27090"/>
    <cellStyle name="Ввод  11 2 6 5" xfId="36965"/>
    <cellStyle name="Ввод  11 2 7" xfId="13067"/>
    <cellStyle name="Ввод  11 2 7 2" xfId="18399"/>
    <cellStyle name="Ввод  11 2 7 2 2" xfId="32209"/>
    <cellStyle name="Ввод  11 2 7 2 3" xfId="42081"/>
    <cellStyle name="Ввод  11 2 7 3" xfId="26940"/>
    <cellStyle name="Ввод  11 2 7 4" xfId="36815"/>
    <cellStyle name="Ввод  11 2 8" xfId="17172"/>
    <cellStyle name="Ввод  11 2 8 2" xfId="21639"/>
    <cellStyle name="Ввод  11 2 8 3" xfId="30983"/>
    <cellStyle name="Ввод  11 2 8 4" xfId="40857"/>
    <cellStyle name="Ввод  11 2 9" xfId="21949"/>
    <cellStyle name="Ввод  11 20" xfId="13066"/>
    <cellStyle name="Ввод  11 20 2" xfId="18398"/>
    <cellStyle name="Ввод  11 20 2 2" xfId="32208"/>
    <cellStyle name="Ввод  11 20 2 3" xfId="42080"/>
    <cellStyle name="Ввод  11 20 3" xfId="26939"/>
    <cellStyle name="Ввод  11 20 4" xfId="36814"/>
    <cellStyle name="Ввод  11 21" xfId="17171"/>
    <cellStyle name="Ввод  11 21 2" xfId="21193"/>
    <cellStyle name="Ввод  11 21 3" xfId="30982"/>
    <cellStyle name="Ввод  11 21 4" xfId="40856"/>
    <cellStyle name="Ввод  11 22" xfId="21606"/>
    <cellStyle name="Ввод  11 23" xfId="21948"/>
    <cellStyle name="Ввод  11 24" xfId="23681"/>
    <cellStyle name="Ввод  11 25" xfId="24597"/>
    <cellStyle name="Ввод  11 26" xfId="34222"/>
    <cellStyle name="Ввод  11 27" xfId="34665"/>
    <cellStyle name="Ввод  11 3" xfId="1254"/>
    <cellStyle name="Ввод  11 3 10" xfId="23683"/>
    <cellStyle name="Ввод  11 3 11" xfId="24599"/>
    <cellStyle name="Ввод  11 3 12" xfId="34224"/>
    <cellStyle name="Ввод  11 3 13" xfId="34663"/>
    <cellStyle name="Ввод  11 3 2" xfId="7694"/>
    <cellStyle name="Ввод  11 3 3" xfId="11909"/>
    <cellStyle name="Ввод  11 3 3 10" xfId="25783"/>
    <cellStyle name="Ввод  11 3 3 11" xfId="35658"/>
    <cellStyle name="Ввод  11 3 3 2" xfId="14807"/>
    <cellStyle name="Ввод  11 3 3 2 2" xfId="17021"/>
    <cellStyle name="Ввод  11 3 3 2 2 2" xfId="23073"/>
    <cellStyle name="Ввод  11 3 3 2 2 3" xfId="30835"/>
    <cellStyle name="Ввод  11 3 3 2 2 4" xfId="40710"/>
    <cellStyle name="Ввод  11 3 3 2 3" xfId="20090"/>
    <cellStyle name="Ввод  11 3 3 2 3 2" xfId="33900"/>
    <cellStyle name="Ввод  11 3 3 2 3 3" xfId="43768"/>
    <cellStyle name="Ввод  11 3 3 2 4" xfId="28627"/>
    <cellStyle name="Ввод  11 3 3 2 5" xfId="38502"/>
    <cellStyle name="Ввод  11 3 3 3" xfId="13037"/>
    <cellStyle name="Ввод  11 3 3 3 2" xfId="18369"/>
    <cellStyle name="Ввод  11 3 3 3 2 2" xfId="32179"/>
    <cellStyle name="Ввод  11 3 3 3 2 3" xfId="42052"/>
    <cellStyle name="Ввод  11 3 3 3 3" xfId="26911"/>
    <cellStyle name="Ввод  11 3 3 3 4" xfId="36786"/>
    <cellStyle name="Ввод  11 3 3 4" xfId="20748"/>
    <cellStyle name="Ввод  11 3 3 5" xfId="21304"/>
    <cellStyle name="Ввод  11 3 3 6" xfId="21760"/>
    <cellStyle name="Ввод  11 3 3 7" xfId="22281"/>
    <cellStyle name="Ввод  11 3 3 8" xfId="22497"/>
    <cellStyle name="Ввод  11 3 3 9" xfId="23985"/>
    <cellStyle name="Ввод  11 3 4" xfId="11587"/>
    <cellStyle name="Ввод  11 3 4 2" xfId="14485"/>
    <cellStyle name="Ввод  11 3 4 2 2" xfId="19768"/>
    <cellStyle name="Ввод  11 3 4 2 2 2" xfId="33578"/>
    <cellStyle name="Ввод  11 3 4 2 2 3" xfId="43446"/>
    <cellStyle name="Ввод  11 3 4 2 3" xfId="28305"/>
    <cellStyle name="Ввод  11 3 4 2 4" xfId="38180"/>
    <cellStyle name="Ввод  11 3 4 3" xfId="15718"/>
    <cellStyle name="Ввод  11 3 4 3 2" xfId="22865"/>
    <cellStyle name="Ввод  11 3 4 3 3" xfId="24350"/>
    <cellStyle name="Ввод  11 3 4 3 4" xfId="29537"/>
    <cellStyle name="Ввод  11 3 4 3 5" xfId="39412"/>
    <cellStyle name="Ввод  11 3 4 4" xfId="23345"/>
    <cellStyle name="Ввод  11 3 4 5" xfId="25461"/>
    <cellStyle name="Ввод  11 3 4 6" xfId="35336"/>
    <cellStyle name="Ввод  11 3 5" xfId="12237"/>
    <cellStyle name="Ввод  11 3 5 2" xfId="17569"/>
    <cellStyle name="Ввод  11 3 5 2 2" xfId="31379"/>
    <cellStyle name="Ввод  11 3 5 2 3" xfId="41252"/>
    <cellStyle name="Ввод  11 3 5 3" xfId="20412"/>
    <cellStyle name="Ввод  11 3 5 4" xfId="26111"/>
    <cellStyle name="Ввод  11 3 5 5" xfId="35986"/>
    <cellStyle name="Ввод  11 3 6" xfId="13218"/>
    <cellStyle name="Ввод  11 3 6 2" xfId="16019"/>
    <cellStyle name="Ввод  11 3 6 2 2" xfId="29837"/>
    <cellStyle name="Ввод  11 3 6 2 3" xfId="39712"/>
    <cellStyle name="Ввод  11 3 6 3" xfId="18550"/>
    <cellStyle name="Ввод  11 3 6 3 2" xfId="32360"/>
    <cellStyle name="Ввод  11 3 6 3 3" xfId="42232"/>
    <cellStyle name="Ввод  11 3 6 4" xfId="27091"/>
    <cellStyle name="Ввод  11 3 6 5" xfId="36966"/>
    <cellStyle name="Ввод  11 3 7" xfId="13068"/>
    <cellStyle name="Ввод  11 3 7 2" xfId="18400"/>
    <cellStyle name="Ввод  11 3 7 2 2" xfId="32210"/>
    <cellStyle name="Ввод  11 3 7 2 3" xfId="42082"/>
    <cellStyle name="Ввод  11 3 7 3" xfId="26941"/>
    <cellStyle name="Ввод  11 3 7 4" xfId="36816"/>
    <cellStyle name="Ввод  11 3 8" xfId="17173"/>
    <cellStyle name="Ввод  11 3 8 2" xfId="21640"/>
    <cellStyle name="Ввод  11 3 8 3" xfId="30984"/>
    <cellStyle name="Ввод  11 3 8 4" xfId="40858"/>
    <cellStyle name="Ввод  11 3 9" xfId="21950"/>
    <cellStyle name="Ввод  11 4" xfId="7687"/>
    <cellStyle name="Ввод  11 5" xfId="7695"/>
    <cellStyle name="Ввод  11 6" xfId="7696"/>
    <cellStyle name="Ввод  11 7" xfId="7697"/>
    <cellStyle name="Ввод  11 8" xfId="7698"/>
    <cellStyle name="Ввод  11 9" xfId="7699"/>
    <cellStyle name="Ввод  12" xfId="1255"/>
    <cellStyle name="Ввод  12 10" xfId="7701"/>
    <cellStyle name="Ввод  12 11" xfId="7702"/>
    <cellStyle name="Ввод  12 12" xfId="7703"/>
    <cellStyle name="Ввод  12 13" xfId="7704"/>
    <cellStyle name="Ввод  12 14" xfId="7705"/>
    <cellStyle name="Ввод  12 15" xfId="11844"/>
    <cellStyle name="Ввод  12 15 10" xfId="25718"/>
    <cellStyle name="Ввод  12 15 11" xfId="35593"/>
    <cellStyle name="Ввод  12 15 2" xfId="14742"/>
    <cellStyle name="Ввод  12 15 2 2" xfId="16956"/>
    <cellStyle name="Ввод  12 15 2 2 2" xfId="23008"/>
    <cellStyle name="Ввод  12 15 2 2 3" xfId="30770"/>
    <cellStyle name="Ввод  12 15 2 2 4" xfId="40645"/>
    <cellStyle name="Ввод  12 15 2 3" xfId="20025"/>
    <cellStyle name="Ввод  12 15 2 3 2" xfId="33835"/>
    <cellStyle name="Ввод  12 15 2 3 3" xfId="43703"/>
    <cellStyle name="Ввод  12 15 2 4" xfId="28562"/>
    <cellStyle name="Ввод  12 15 2 5" xfId="38437"/>
    <cellStyle name="Ввод  12 15 3" xfId="14434"/>
    <cellStyle name="Ввод  12 15 3 2" xfId="19717"/>
    <cellStyle name="Ввод  12 15 3 2 2" xfId="33527"/>
    <cellStyle name="Ввод  12 15 3 2 3" xfId="43395"/>
    <cellStyle name="Ввод  12 15 3 3" xfId="28254"/>
    <cellStyle name="Ввод  12 15 3 4" xfId="38129"/>
    <cellStyle name="Ввод  12 15 4" xfId="20683"/>
    <cellStyle name="Ввод  12 15 5" xfId="21239"/>
    <cellStyle name="Ввод  12 15 6" xfId="21711"/>
    <cellStyle name="Ввод  12 15 7" xfId="22248"/>
    <cellStyle name="Ввод  12 15 8" xfId="22416"/>
    <cellStyle name="Ввод  12 15 9" xfId="23904"/>
    <cellStyle name="Ввод  12 16" xfId="12068"/>
    <cellStyle name="Ввод  12 16 10" xfId="24144"/>
    <cellStyle name="Ввод  12 16 11" xfId="25942"/>
    <cellStyle name="Ввод  12 16 12" xfId="35817"/>
    <cellStyle name="Ввод  12 16 2" xfId="14966"/>
    <cellStyle name="Ввод  12 16 2 2" xfId="20249"/>
    <cellStyle name="Ввод  12 16 2 2 2" xfId="34059"/>
    <cellStyle name="Ввод  12 16 2 2 3" xfId="43927"/>
    <cellStyle name="Ввод  12 16 2 3" xfId="23520"/>
    <cellStyle name="Ввод  12 16 2 4" xfId="28786"/>
    <cellStyle name="Ввод  12 16 2 5" xfId="38661"/>
    <cellStyle name="Ввод  12 16 3" xfId="20555"/>
    <cellStyle name="Ввод  12 16 4" xfId="20891"/>
    <cellStyle name="Ввод  12 16 5" xfId="21021"/>
    <cellStyle name="Ввод  12 16 6" xfId="21447"/>
    <cellStyle name="Ввод  12 16 7" xfId="21847"/>
    <cellStyle name="Ввод  12 16 8" xfId="22352"/>
    <cellStyle name="Ввод  12 16 9" xfId="22640"/>
    <cellStyle name="Ввод  12 17" xfId="12148"/>
    <cellStyle name="Ввод  12 17 10" xfId="24224"/>
    <cellStyle name="Ввод  12 17 11" xfId="26022"/>
    <cellStyle name="Ввод  12 17 12" xfId="35897"/>
    <cellStyle name="Ввод  12 17 2" xfId="15046"/>
    <cellStyle name="Ввод  12 17 2 2" xfId="20329"/>
    <cellStyle name="Ввод  12 17 2 2 2" xfId="34139"/>
    <cellStyle name="Ввод  12 17 2 2 3" xfId="44007"/>
    <cellStyle name="Ввод  12 17 2 3" xfId="23600"/>
    <cellStyle name="Ввод  12 17 2 4" xfId="28866"/>
    <cellStyle name="Ввод  12 17 2 5" xfId="38741"/>
    <cellStyle name="Ввод  12 17 3" xfId="20619"/>
    <cellStyle name="Ввод  12 17 4" xfId="20955"/>
    <cellStyle name="Ввод  12 17 5" xfId="21069"/>
    <cellStyle name="Ввод  12 17 6" xfId="21527"/>
    <cellStyle name="Ввод  12 17 7" xfId="21895"/>
    <cellStyle name="Ввод  12 17 8" xfId="22384"/>
    <cellStyle name="Ввод  12 17 9" xfId="22720"/>
    <cellStyle name="Ввод  12 18" xfId="11588"/>
    <cellStyle name="Ввод  12 18 2" xfId="14486"/>
    <cellStyle name="Ввод  12 18 2 2" xfId="19769"/>
    <cellStyle name="Ввод  12 18 2 2 2" xfId="33579"/>
    <cellStyle name="Ввод  12 18 2 2 3" xfId="43447"/>
    <cellStyle name="Ввод  12 18 2 3" xfId="28306"/>
    <cellStyle name="Ввод  12 18 2 4" xfId="38181"/>
    <cellStyle name="Ввод  12 18 3" xfId="15719"/>
    <cellStyle name="Ввод  12 18 3 2" xfId="22859"/>
    <cellStyle name="Ввод  12 18 3 3" xfId="24351"/>
    <cellStyle name="Ввод  12 18 3 4" xfId="29538"/>
    <cellStyle name="Ввод  12 18 3 5" xfId="39413"/>
    <cellStyle name="Ввод  12 18 4" xfId="23339"/>
    <cellStyle name="Ввод  12 18 5" xfId="25462"/>
    <cellStyle name="Ввод  12 18 6" xfId="35337"/>
    <cellStyle name="Ввод  12 19" xfId="13219"/>
    <cellStyle name="Ввод  12 19 2" xfId="16020"/>
    <cellStyle name="Ввод  12 19 2 2" xfId="29838"/>
    <cellStyle name="Ввод  12 19 2 3" xfId="39713"/>
    <cellStyle name="Ввод  12 19 3" xfId="18551"/>
    <cellStyle name="Ввод  12 19 3 2" xfId="32361"/>
    <cellStyle name="Ввод  12 19 3 3" xfId="42233"/>
    <cellStyle name="Ввод  12 19 4" xfId="27092"/>
    <cellStyle name="Ввод  12 19 5" xfId="36967"/>
    <cellStyle name="Ввод  12 2" xfId="1256"/>
    <cellStyle name="Ввод  12 2 10" xfId="23685"/>
    <cellStyle name="Ввод  12 2 11" xfId="24601"/>
    <cellStyle name="Ввод  12 2 12" xfId="34226"/>
    <cellStyle name="Ввод  12 2 13" xfId="34661"/>
    <cellStyle name="Ввод  12 2 2" xfId="7706"/>
    <cellStyle name="Ввод  12 2 3" xfId="11910"/>
    <cellStyle name="Ввод  12 2 3 10" xfId="25784"/>
    <cellStyle name="Ввод  12 2 3 11" xfId="35659"/>
    <cellStyle name="Ввод  12 2 3 2" xfId="14808"/>
    <cellStyle name="Ввод  12 2 3 2 2" xfId="17022"/>
    <cellStyle name="Ввод  12 2 3 2 2 2" xfId="23074"/>
    <cellStyle name="Ввод  12 2 3 2 2 3" xfId="30836"/>
    <cellStyle name="Ввод  12 2 3 2 2 4" xfId="40711"/>
    <cellStyle name="Ввод  12 2 3 2 3" xfId="20091"/>
    <cellStyle name="Ввод  12 2 3 2 3 2" xfId="33901"/>
    <cellStyle name="Ввод  12 2 3 2 3 3" xfId="43769"/>
    <cellStyle name="Ввод  12 2 3 2 4" xfId="28628"/>
    <cellStyle name="Ввод  12 2 3 2 5" xfId="38503"/>
    <cellStyle name="Ввод  12 2 3 3" xfId="14305"/>
    <cellStyle name="Ввод  12 2 3 3 2" xfId="19588"/>
    <cellStyle name="Ввод  12 2 3 3 2 2" xfId="33398"/>
    <cellStyle name="Ввод  12 2 3 3 2 3" xfId="43267"/>
    <cellStyle name="Ввод  12 2 3 3 3" xfId="28126"/>
    <cellStyle name="Ввод  12 2 3 3 4" xfId="38001"/>
    <cellStyle name="Ввод  12 2 3 4" xfId="20749"/>
    <cellStyle name="Ввод  12 2 3 5" xfId="21305"/>
    <cellStyle name="Ввод  12 2 3 6" xfId="21761"/>
    <cellStyle name="Ввод  12 2 3 7" xfId="22282"/>
    <cellStyle name="Ввод  12 2 3 8" xfId="22498"/>
    <cellStyle name="Ввод  12 2 3 9" xfId="23986"/>
    <cellStyle name="Ввод  12 2 4" xfId="11589"/>
    <cellStyle name="Ввод  12 2 4 2" xfId="14487"/>
    <cellStyle name="Ввод  12 2 4 2 2" xfId="19770"/>
    <cellStyle name="Ввод  12 2 4 2 2 2" xfId="33580"/>
    <cellStyle name="Ввод  12 2 4 2 2 3" xfId="43448"/>
    <cellStyle name="Ввод  12 2 4 2 3" xfId="28307"/>
    <cellStyle name="Ввод  12 2 4 2 4" xfId="38182"/>
    <cellStyle name="Ввод  12 2 4 3" xfId="15720"/>
    <cellStyle name="Ввод  12 2 4 3 2" xfId="22866"/>
    <cellStyle name="Ввод  12 2 4 3 3" xfId="24352"/>
    <cellStyle name="Ввод  12 2 4 3 4" xfId="29539"/>
    <cellStyle name="Ввод  12 2 4 3 5" xfId="39414"/>
    <cellStyle name="Ввод  12 2 4 4" xfId="23346"/>
    <cellStyle name="Ввод  12 2 4 5" xfId="25463"/>
    <cellStyle name="Ввод  12 2 4 6" xfId="35338"/>
    <cellStyle name="Ввод  12 2 5" xfId="12238"/>
    <cellStyle name="Ввод  12 2 5 2" xfId="17570"/>
    <cellStyle name="Ввод  12 2 5 2 2" xfId="31380"/>
    <cellStyle name="Ввод  12 2 5 2 3" xfId="41253"/>
    <cellStyle name="Ввод  12 2 5 3" xfId="20413"/>
    <cellStyle name="Ввод  12 2 5 4" xfId="26112"/>
    <cellStyle name="Ввод  12 2 5 5" xfId="35987"/>
    <cellStyle name="Ввод  12 2 6" xfId="13220"/>
    <cellStyle name="Ввод  12 2 6 2" xfId="16021"/>
    <cellStyle name="Ввод  12 2 6 2 2" xfId="29839"/>
    <cellStyle name="Ввод  12 2 6 2 3" xfId="39714"/>
    <cellStyle name="Ввод  12 2 6 3" xfId="18552"/>
    <cellStyle name="Ввод  12 2 6 3 2" xfId="32362"/>
    <cellStyle name="Ввод  12 2 6 3 3" xfId="42234"/>
    <cellStyle name="Ввод  12 2 6 4" xfId="27093"/>
    <cellStyle name="Ввод  12 2 6 5" xfId="36968"/>
    <cellStyle name="Ввод  12 2 7" xfId="13070"/>
    <cellStyle name="Ввод  12 2 7 2" xfId="18402"/>
    <cellStyle name="Ввод  12 2 7 2 2" xfId="32212"/>
    <cellStyle name="Ввод  12 2 7 2 3" xfId="42084"/>
    <cellStyle name="Ввод  12 2 7 3" xfId="26943"/>
    <cellStyle name="Ввод  12 2 7 4" xfId="36818"/>
    <cellStyle name="Ввод  12 2 8" xfId="17175"/>
    <cellStyle name="Ввод  12 2 8 2" xfId="21641"/>
    <cellStyle name="Ввод  12 2 8 3" xfId="30986"/>
    <cellStyle name="Ввод  12 2 8 4" xfId="40860"/>
    <cellStyle name="Ввод  12 2 9" xfId="21952"/>
    <cellStyle name="Ввод  12 20" xfId="13069"/>
    <cellStyle name="Ввод  12 20 2" xfId="18401"/>
    <cellStyle name="Ввод  12 20 2 2" xfId="32211"/>
    <cellStyle name="Ввод  12 20 2 3" xfId="42083"/>
    <cellStyle name="Ввод  12 20 3" xfId="26942"/>
    <cellStyle name="Ввод  12 20 4" xfId="36817"/>
    <cellStyle name="Ввод  12 21" xfId="17174"/>
    <cellStyle name="Ввод  12 21 2" xfId="21192"/>
    <cellStyle name="Ввод  12 21 3" xfId="30985"/>
    <cellStyle name="Ввод  12 21 4" xfId="40859"/>
    <cellStyle name="Ввод  12 22" xfId="21607"/>
    <cellStyle name="Ввод  12 23" xfId="21951"/>
    <cellStyle name="Ввод  12 24" xfId="23684"/>
    <cellStyle name="Ввод  12 25" xfId="24600"/>
    <cellStyle name="Ввод  12 26" xfId="34225"/>
    <cellStyle name="Ввод  12 27" xfId="34662"/>
    <cellStyle name="Ввод  12 3" xfId="1257"/>
    <cellStyle name="Ввод  12 3 10" xfId="23686"/>
    <cellStyle name="Ввод  12 3 11" xfId="24602"/>
    <cellStyle name="Ввод  12 3 12" xfId="34227"/>
    <cellStyle name="Ввод  12 3 13" xfId="34660"/>
    <cellStyle name="Ввод  12 3 2" xfId="7707"/>
    <cellStyle name="Ввод  12 3 3" xfId="11911"/>
    <cellStyle name="Ввод  12 3 3 10" xfId="25785"/>
    <cellStyle name="Ввод  12 3 3 11" xfId="35660"/>
    <cellStyle name="Ввод  12 3 3 2" xfId="14809"/>
    <cellStyle name="Ввод  12 3 3 2 2" xfId="17023"/>
    <cellStyle name="Ввод  12 3 3 2 2 2" xfId="23075"/>
    <cellStyle name="Ввод  12 3 3 2 2 3" xfId="30837"/>
    <cellStyle name="Ввод  12 3 3 2 2 4" xfId="40712"/>
    <cellStyle name="Ввод  12 3 3 2 3" xfId="20092"/>
    <cellStyle name="Ввод  12 3 3 2 3 2" xfId="33902"/>
    <cellStyle name="Ввод  12 3 3 2 3 3" xfId="43770"/>
    <cellStyle name="Ввод  12 3 3 2 4" xfId="28629"/>
    <cellStyle name="Ввод  12 3 3 2 5" xfId="38504"/>
    <cellStyle name="Ввод  12 3 3 3" xfId="14448"/>
    <cellStyle name="Ввод  12 3 3 3 2" xfId="19731"/>
    <cellStyle name="Ввод  12 3 3 3 2 2" xfId="33541"/>
    <cellStyle name="Ввод  12 3 3 3 2 3" xfId="43409"/>
    <cellStyle name="Ввод  12 3 3 3 3" xfId="28268"/>
    <cellStyle name="Ввод  12 3 3 3 4" xfId="38143"/>
    <cellStyle name="Ввод  12 3 3 4" xfId="20750"/>
    <cellStyle name="Ввод  12 3 3 5" xfId="21306"/>
    <cellStyle name="Ввод  12 3 3 6" xfId="21762"/>
    <cellStyle name="Ввод  12 3 3 7" xfId="22283"/>
    <cellStyle name="Ввод  12 3 3 8" xfId="22499"/>
    <cellStyle name="Ввод  12 3 3 9" xfId="23987"/>
    <cellStyle name="Ввод  12 3 4" xfId="11590"/>
    <cellStyle name="Ввод  12 3 4 2" xfId="14488"/>
    <cellStyle name="Ввод  12 3 4 2 2" xfId="19771"/>
    <cellStyle name="Ввод  12 3 4 2 2 2" xfId="33581"/>
    <cellStyle name="Ввод  12 3 4 2 2 3" xfId="43449"/>
    <cellStyle name="Ввод  12 3 4 2 3" xfId="28308"/>
    <cellStyle name="Ввод  12 3 4 2 4" xfId="38183"/>
    <cellStyle name="Ввод  12 3 4 3" xfId="15721"/>
    <cellStyle name="Ввод  12 3 4 3 2" xfId="22867"/>
    <cellStyle name="Ввод  12 3 4 3 3" xfId="24353"/>
    <cellStyle name="Ввод  12 3 4 3 4" xfId="29540"/>
    <cellStyle name="Ввод  12 3 4 3 5" xfId="39415"/>
    <cellStyle name="Ввод  12 3 4 4" xfId="23347"/>
    <cellStyle name="Ввод  12 3 4 5" xfId="25464"/>
    <cellStyle name="Ввод  12 3 4 6" xfId="35339"/>
    <cellStyle name="Ввод  12 3 5" xfId="12239"/>
    <cellStyle name="Ввод  12 3 5 2" xfId="17571"/>
    <cellStyle name="Ввод  12 3 5 2 2" xfId="31381"/>
    <cellStyle name="Ввод  12 3 5 2 3" xfId="41254"/>
    <cellStyle name="Ввод  12 3 5 3" xfId="20414"/>
    <cellStyle name="Ввод  12 3 5 4" xfId="26113"/>
    <cellStyle name="Ввод  12 3 5 5" xfId="35988"/>
    <cellStyle name="Ввод  12 3 6" xfId="13221"/>
    <cellStyle name="Ввод  12 3 6 2" xfId="16022"/>
    <cellStyle name="Ввод  12 3 6 2 2" xfId="29840"/>
    <cellStyle name="Ввод  12 3 6 2 3" xfId="39715"/>
    <cellStyle name="Ввод  12 3 6 3" xfId="18553"/>
    <cellStyle name="Ввод  12 3 6 3 2" xfId="32363"/>
    <cellStyle name="Ввод  12 3 6 3 3" xfId="42235"/>
    <cellStyle name="Ввод  12 3 6 4" xfId="27094"/>
    <cellStyle name="Ввод  12 3 6 5" xfId="36969"/>
    <cellStyle name="Ввод  12 3 7" xfId="13071"/>
    <cellStyle name="Ввод  12 3 7 2" xfId="18403"/>
    <cellStyle name="Ввод  12 3 7 2 2" xfId="32213"/>
    <cellStyle name="Ввод  12 3 7 2 3" xfId="42085"/>
    <cellStyle name="Ввод  12 3 7 3" xfId="26944"/>
    <cellStyle name="Ввод  12 3 7 4" xfId="36819"/>
    <cellStyle name="Ввод  12 3 8" xfId="17176"/>
    <cellStyle name="Ввод  12 3 8 2" xfId="21642"/>
    <cellStyle name="Ввод  12 3 8 3" xfId="30987"/>
    <cellStyle name="Ввод  12 3 8 4" xfId="40861"/>
    <cellStyle name="Ввод  12 3 9" xfId="21953"/>
    <cellStyle name="Ввод  12 4" xfId="7700"/>
    <cellStyle name="Ввод  12 5" xfId="7708"/>
    <cellStyle name="Ввод  12 6" xfId="7709"/>
    <cellStyle name="Ввод  12 7" xfId="7710"/>
    <cellStyle name="Ввод  12 8" xfId="7711"/>
    <cellStyle name="Ввод  12 9" xfId="7712"/>
    <cellStyle name="Ввод  13" xfId="1258"/>
    <cellStyle name="Ввод  13 10" xfId="7714"/>
    <cellStyle name="Ввод  13 11" xfId="7715"/>
    <cellStyle name="Ввод  13 12" xfId="7716"/>
    <cellStyle name="Ввод  13 13" xfId="7717"/>
    <cellStyle name="Ввод  13 14" xfId="7718"/>
    <cellStyle name="Ввод  13 15" xfId="11845"/>
    <cellStyle name="Ввод  13 15 10" xfId="25719"/>
    <cellStyle name="Ввод  13 15 11" xfId="35594"/>
    <cellStyle name="Ввод  13 15 2" xfId="14743"/>
    <cellStyle name="Ввод  13 15 2 2" xfId="16957"/>
    <cellStyle name="Ввод  13 15 2 2 2" xfId="23009"/>
    <cellStyle name="Ввод  13 15 2 2 3" xfId="30771"/>
    <cellStyle name="Ввод  13 15 2 2 4" xfId="40646"/>
    <cellStyle name="Ввод  13 15 2 3" xfId="20026"/>
    <cellStyle name="Ввод  13 15 2 3 2" xfId="33836"/>
    <cellStyle name="Ввод  13 15 2 3 3" xfId="43704"/>
    <cellStyle name="Ввод  13 15 2 4" xfId="28563"/>
    <cellStyle name="Ввод  13 15 2 5" xfId="38438"/>
    <cellStyle name="Ввод  13 15 3" xfId="13617"/>
    <cellStyle name="Ввод  13 15 3 2" xfId="18900"/>
    <cellStyle name="Ввод  13 15 3 2 2" xfId="32710"/>
    <cellStyle name="Ввод  13 15 3 2 3" xfId="42580"/>
    <cellStyle name="Ввод  13 15 3 3" xfId="27439"/>
    <cellStyle name="Ввод  13 15 3 4" xfId="37314"/>
    <cellStyle name="Ввод  13 15 4" xfId="20684"/>
    <cellStyle name="Ввод  13 15 5" xfId="21240"/>
    <cellStyle name="Ввод  13 15 6" xfId="21712"/>
    <cellStyle name="Ввод  13 15 7" xfId="22249"/>
    <cellStyle name="Ввод  13 15 8" xfId="22417"/>
    <cellStyle name="Ввод  13 15 9" xfId="23905"/>
    <cellStyle name="Ввод  13 16" xfId="12069"/>
    <cellStyle name="Ввод  13 16 10" xfId="24145"/>
    <cellStyle name="Ввод  13 16 11" xfId="25943"/>
    <cellStyle name="Ввод  13 16 12" xfId="35818"/>
    <cellStyle name="Ввод  13 16 2" xfId="14967"/>
    <cellStyle name="Ввод  13 16 2 2" xfId="20250"/>
    <cellStyle name="Ввод  13 16 2 2 2" xfId="34060"/>
    <cellStyle name="Ввод  13 16 2 2 3" xfId="43928"/>
    <cellStyle name="Ввод  13 16 2 3" xfId="23521"/>
    <cellStyle name="Ввод  13 16 2 4" xfId="28787"/>
    <cellStyle name="Ввод  13 16 2 5" xfId="38662"/>
    <cellStyle name="Ввод  13 16 3" xfId="20556"/>
    <cellStyle name="Ввод  13 16 4" xfId="20892"/>
    <cellStyle name="Ввод  13 16 5" xfId="21022"/>
    <cellStyle name="Ввод  13 16 6" xfId="21448"/>
    <cellStyle name="Ввод  13 16 7" xfId="21848"/>
    <cellStyle name="Ввод  13 16 8" xfId="22353"/>
    <cellStyle name="Ввод  13 16 9" xfId="22641"/>
    <cellStyle name="Ввод  13 17" xfId="12149"/>
    <cellStyle name="Ввод  13 17 10" xfId="24225"/>
    <cellStyle name="Ввод  13 17 11" xfId="26023"/>
    <cellStyle name="Ввод  13 17 12" xfId="35898"/>
    <cellStyle name="Ввод  13 17 2" xfId="15047"/>
    <cellStyle name="Ввод  13 17 2 2" xfId="20330"/>
    <cellStyle name="Ввод  13 17 2 2 2" xfId="34140"/>
    <cellStyle name="Ввод  13 17 2 2 3" xfId="44008"/>
    <cellStyle name="Ввод  13 17 2 3" xfId="23601"/>
    <cellStyle name="Ввод  13 17 2 4" xfId="28867"/>
    <cellStyle name="Ввод  13 17 2 5" xfId="38742"/>
    <cellStyle name="Ввод  13 17 3" xfId="20620"/>
    <cellStyle name="Ввод  13 17 4" xfId="20956"/>
    <cellStyle name="Ввод  13 17 5" xfId="21070"/>
    <cellStyle name="Ввод  13 17 6" xfId="21528"/>
    <cellStyle name="Ввод  13 17 7" xfId="21896"/>
    <cellStyle name="Ввод  13 17 8" xfId="22385"/>
    <cellStyle name="Ввод  13 17 9" xfId="22721"/>
    <cellStyle name="Ввод  13 18" xfId="11591"/>
    <cellStyle name="Ввод  13 18 2" xfId="14489"/>
    <cellStyle name="Ввод  13 18 2 2" xfId="19772"/>
    <cellStyle name="Ввод  13 18 2 2 2" xfId="33582"/>
    <cellStyle name="Ввод  13 18 2 2 3" xfId="43450"/>
    <cellStyle name="Ввод  13 18 2 3" xfId="28309"/>
    <cellStyle name="Ввод  13 18 2 4" xfId="38184"/>
    <cellStyle name="Ввод  13 18 3" xfId="15722"/>
    <cellStyle name="Ввод  13 18 3 2" xfId="22858"/>
    <cellStyle name="Ввод  13 18 3 3" xfId="24354"/>
    <cellStyle name="Ввод  13 18 3 4" xfId="29541"/>
    <cellStyle name="Ввод  13 18 3 5" xfId="39416"/>
    <cellStyle name="Ввод  13 18 4" xfId="23338"/>
    <cellStyle name="Ввод  13 18 5" xfId="25465"/>
    <cellStyle name="Ввод  13 18 6" xfId="35340"/>
    <cellStyle name="Ввод  13 19" xfId="13222"/>
    <cellStyle name="Ввод  13 19 2" xfId="16023"/>
    <cellStyle name="Ввод  13 19 2 2" xfId="29841"/>
    <cellStyle name="Ввод  13 19 2 3" xfId="39716"/>
    <cellStyle name="Ввод  13 19 3" xfId="18554"/>
    <cellStyle name="Ввод  13 19 3 2" xfId="32364"/>
    <cellStyle name="Ввод  13 19 3 3" xfId="42236"/>
    <cellStyle name="Ввод  13 19 4" xfId="27095"/>
    <cellStyle name="Ввод  13 19 5" xfId="36970"/>
    <cellStyle name="Ввод  13 2" xfId="1259"/>
    <cellStyle name="Ввод  13 2 10" xfId="23688"/>
    <cellStyle name="Ввод  13 2 11" xfId="24604"/>
    <cellStyle name="Ввод  13 2 12" xfId="34229"/>
    <cellStyle name="Ввод  13 2 13" xfId="34658"/>
    <cellStyle name="Ввод  13 2 2" xfId="7719"/>
    <cellStyle name="Ввод  13 2 3" xfId="11912"/>
    <cellStyle name="Ввод  13 2 3 10" xfId="25786"/>
    <cellStyle name="Ввод  13 2 3 11" xfId="35661"/>
    <cellStyle name="Ввод  13 2 3 2" xfId="14810"/>
    <cellStyle name="Ввод  13 2 3 2 2" xfId="17024"/>
    <cellStyle name="Ввод  13 2 3 2 2 2" xfId="23076"/>
    <cellStyle name="Ввод  13 2 3 2 2 3" xfId="30838"/>
    <cellStyle name="Ввод  13 2 3 2 2 4" xfId="40713"/>
    <cellStyle name="Ввод  13 2 3 2 3" xfId="20093"/>
    <cellStyle name="Ввод  13 2 3 2 3 2" xfId="33903"/>
    <cellStyle name="Ввод  13 2 3 2 3 3" xfId="43771"/>
    <cellStyle name="Ввод  13 2 3 2 4" xfId="28630"/>
    <cellStyle name="Ввод  13 2 3 2 5" xfId="38505"/>
    <cellStyle name="Ввод  13 2 3 3" xfId="14298"/>
    <cellStyle name="Ввод  13 2 3 3 2" xfId="19581"/>
    <cellStyle name="Ввод  13 2 3 3 2 2" xfId="33391"/>
    <cellStyle name="Ввод  13 2 3 3 2 3" xfId="43260"/>
    <cellStyle name="Ввод  13 2 3 3 3" xfId="28119"/>
    <cellStyle name="Ввод  13 2 3 3 4" xfId="37994"/>
    <cellStyle name="Ввод  13 2 3 4" xfId="20751"/>
    <cellStyle name="Ввод  13 2 3 5" xfId="21307"/>
    <cellStyle name="Ввод  13 2 3 6" xfId="21763"/>
    <cellStyle name="Ввод  13 2 3 7" xfId="22284"/>
    <cellStyle name="Ввод  13 2 3 8" xfId="22500"/>
    <cellStyle name="Ввод  13 2 3 9" xfId="23988"/>
    <cellStyle name="Ввод  13 2 4" xfId="11592"/>
    <cellStyle name="Ввод  13 2 4 2" xfId="14490"/>
    <cellStyle name="Ввод  13 2 4 2 2" xfId="19773"/>
    <cellStyle name="Ввод  13 2 4 2 2 2" xfId="33583"/>
    <cellStyle name="Ввод  13 2 4 2 2 3" xfId="43451"/>
    <cellStyle name="Ввод  13 2 4 2 3" xfId="28310"/>
    <cellStyle name="Ввод  13 2 4 2 4" xfId="38185"/>
    <cellStyle name="Ввод  13 2 4 3" xfId="15723"/>
    <cellStyle name="Ввод  13 2 4 3 2" xfId="22868"/>
    <cellStyle name="Ввод  13 2 4 3 3" xfId="24355"/>
    <cellStyle name="Ввод  13 2 4 3 4" xfId="29542"/>
    <cellStyle name="Ввод  13 2 4 3 5" xfId="39417"/>
    <cellStyle name="Ввод  13 2 4 4" xfId="23348"/>
    <cellStyle name="Ввод  13 2 4 5" xfId="25466"/>
    <cellStyle name="Ввод  13 2 4 6" xfId="35341"/>
    <cellStyle name="Ввод  13 2 5" xfId="12240"/>
    <cellStyle name="Ввод  13 2 5 2" xfId="17572"/>
    <cellStyle name="Ввод  13 2 5 2 2" xfId="31382"/>
    <cellStyle name="Ввод  13 2 5 2 3" xfId="41255"/>
    <cellStyle name="Ввод  13 2 5 3" xfId="20415"/>
    <cellStyle name="Ввод  13 2 5 4" xfId="26114"/>
    <cellStyle name="Ввод  13 2 5 5" xfId="35989"/>
    <cellStyle name="Ввод  13 2 6" xfId="13223"/>
    <cellStyle name="Ввод  13 2 6 2" xfId="16024"/>
    <cellStyle name="Ввод  13 2 6 2 2" xfId="29842"/>
    <cellStyle name="Ввод  13 2 6 2 3" xfId="39717"/>
    <cellStyle name="Ввод  13 2 6 3" xfId="18555"/>
    <cellStyle name="Ввод  13 2 6 3 2" xfId="32365"/>
    <cellStyle name="Ввод  13 2 6 3 3" xfId="42237"/>
    <cellStyle name="Ввод  13 2 6 4" xfId="27096"/>
    <cellStyle name="Ввод  13 2 6 5" xfId="36971"/>
    <cellStyle name="Ввод  13 2 7" xfId="13073"/>
    <cellStyle name="Ввод  13 2 7 2" xfId="18405"/>
    <cellStyle name="Ввод  13 2 7 2 2" xfId="32215"/>
    <cellStyle name="Ввод  13 2 7 2 3" xfId="42087"/>
    <cellStyle name="Ввод  13 2 7 3" xfId="26946"/>
    <cellStyle name="Ввод  13 2 7 4" xfId="36821"/>
    <cellStyle name="Ввод  13 2 8" xfId="17178"/>
    <cellStyle name="Ввод  13 2 8 2" xfId="21643"/>
    <cellStyle name="Ввод  13 2 8 3" xfId="30989"/>
    <cellStyle name="Ввод  13 2 8 4" xfId="40863"/>
    <cellStyle name="Ввод  13 2 9" xfId="21955"/>
    <cellStyle name="Ввод  13 20" xfId="13072"/>
    <cellStyle name="Ввод  13 20 2" xfId="18404"/>
    <cellStyle name="Ввод  13 20 2 2" xfId="32214"/>
    <cellStyle name="Ввод  13 20 2 3" xfId="42086"/>
    <cellStyle name="Ввод  13 20 3" xfId="26945"/>
    <cellStyle name="Ввод  13 20 4" xfId="36820"/>
    <cellStyle name="Ввод  13 21" xfId="17177"/>
    <cellStyle name="Ввод  13 21 2" xfId="21191"/>
    <cellStyle name="Ввод  13 21 3" xfId="30988"/>
    <cellStyle name="Ввод  13 21 4" xfId="40862"/>
    <cellStyle name="Ввод  13 22" xfId="21608"/>
    <cellStyle name="Ввод  13 23" xfId="21954"/>
    <cellStyle name="Ввод  13 24" xfId="23687"/>
    <cellStyle name="Ввод  13 25" xfId="24603"/>
    <cellStyle name="Ввод  13 26" xfId="34228"/>
    <cellStyle name="Ввод  13 27" xfId="34659"/>
    <cellStyle name="Ввод  13 3" xfId="1260"/>
    <cellStyle name="Ввод  13 3 10" xfId="23689"/>
    <cellStyle name="Ввод  13 3 11" xfId="24605"/>
    <cellStyle name="Ввод  13 3 12" xfId="34230"/>
    <cellStyle name="Ввод  13 3 13" xfId="34657"/>
    <cellStyle name="Ввод  13 3 2" xfId="7720"/>
    <cellStyle name="Ввод  13 3 3" xfId="11913"/>
    <cellStyle name="Ввод  13 3 3 10" xfId="25787"/>
    <cellStyle name="Ввод  13 3 3 11" xfId="35662"/>
    <cellStyle name="Ввод  13 3 3 2" xfId="14811"/>
    <cellStyle name="Ввод  13 3 3 2 2" xfId="17025"/>
    <cellStyle name="Ввод  13 3 3 2 2 2" xfId="23077"/>
    <cellStyle name="Ввод  13 3 3 2 2 3" xfId="30839"/>
    <cellStyle name="Ввод  13 3 3 2 2 4" xfId="40714"/>
    <cellStyle name="Ввод  13 3 3 2 3" xfId="20094"/>
    <cellStyle name="Ввод  13 3 3 2 3 2" xfId="33904"/>
    <cellStyle name="Ввод  13 3 3 2 3 3" xfId="43772"/>
    <cellStyle name="Ввод  13 3 3 2 4" xfId="28631"/>
    <cellStyle name="Ввод  13 3 3 2 5" xfId="38506"/>
    <cellStyle name="Ввод  13 3 3 3" xfId="14306"/>
    <cellStyle name="Ввод  13 3 3 3 2" xfId="19589"/>
    <cellStyle name="Ввод  13 3 3 3 2 2" xfId="33399"/>
    <cellStyle name="Ввод  13 3 3 3 2 3" xfId="43268"/>
    <cellStyle name="Ввод  13 3 3 3 3" xfId="28127"/>
    <cellStyle name="Ввод  13 3 3 3 4" xfId="38002"/>
    <cellStyle name="Ввод  13 3 3 4" xfId="20752"/>
    <cellStyle name="Ввод  13 3 3 5" xfId="21308"/>
    <cellStyle name="Ввод  13 3 3 6" xfId="21764"/>
    <cellStyle name="Ввод  13 3 3 7" xfId="22285"/>
    <cellStyle name="Ввод  13 3 3 8" xfId="22501"/>
    <cellStyle name="Ввод  13 3 3 9" xfId="23989"/>
    <cellStyle name="Ввод  13 3 4" xfId="11593"/>
    <cellStyle name="Ввод  13 3 4 2" xfId="14491"/>
    <cellStyle name="Ввод  13 3 4 2 2" xfId="19774"/>
    <cellStyle name="Ввод  13 3 4 2 2 2" xfId="33584"/>
    <cellStyle name="Ввод  13 3 4 2 2 3" xfId="43452"/>
    <cellStyle name="Ввод  13 3 4 2 3" xfId="28311"/>
    <cellStyle name="Ввод  13 3 4 2 4" xfId="38186"/>
    <cellStyle name="Ввод  13 3 4 3" xfId="15724"/>
    <cellStyle name="Ввод  13 3 4 3 2" xfId="22869"/>
    <cellStyle name="Ввод  13 3 4 3 3" xfId="24356"/>
    <cellStyle name="Ввод  13 3 4 3 4" xfId="29543"/>
    <cellStyle name="Ввод  13 3 4 3 5" xfId="39418"/>
    <cellStyle name="Ввод  13 3 4 4" xfId="23349"/>
    <cellStyle name="Ввод  13 3 4 5" xfId="25467"/>
    <cellStyle name="Ввод  13 3 4 6" xfId="35342"/>
    <cellStyle name="Ввод  13 3 5" xfId="12241"/>
    <cellStyle name="Ввод  13 3 5 2" xfId="17573"/>
    <cellStyle name="Ввод  13 3 5 2 2" xfId="31383"/>
    <cellStyle name="Ввод  13 3 5 2 3" xfId="41256"/>
    <cellStyle name="Ввод  13 3 5 3" xfId="20416"/>
    <cellStyle name="Ввод  13 3 5 4" xfId="26115"/>
    <cellStyle name="Ввод  13 3 5 5" xfId="35990"/>
    <cellStyle name="Ввод  13 3 6" xfId="13224"/>
    <cellStyle name="Ввод  13 3 6 2" xfId="16025"/>
    <cellStyle name="Ввод  13 3 6 2 2" xfId="29843"/>
    <cellStyle name="Ввод  13 3 6 2 3" xfId="39718"/>
    <cellStyle name="Ввод  13 3 6 3" xfId="18556"/>
    <cellStyle name="Ввод  13 3 6 3 2" xfId="32366"/>
    <cellStyle name="Ввод  13 3 6 3 3" xfId="42238"/>
    <cellStyle name="Ввод  13 3 6 4" xfId="27097"/>
    <cellStyle name="Ввод  13 3 6 5" xfId="36972"/>
    <cellStyle name="Ввод  13 3 7" xfId="13074"/>
    <cellStyle name="Ввод  13 3 7 2" xfId="18406"/>
    <cellStyle name="Ввод  13 3 7 2 2" xfId="32216"/>
    <cellStyle name="Ввод  13 3 7 2 3" xfId="42088"/>
    <cellStyle name="Ввод  13 3 7 3" xfId="26947"/>
    <cellStyle name="Ввод  13 3 7 4" xfId="36822"/>
    <cellStyle name="Ввод  13 3 8" xfId="17179"/>
    <cellStyle name="Ввод  13 3 8 2" xfId="21644"/>
    <cellStyle name="Ввод  13 3 8 3" xfId="30990"/>
    <cellStyle name="Ввод  13 3 8 4" xfId="40864"/>
    <cellStyle name="Ввод  13 3 9" xfId="21956"/>
    <cellStyle name="Ввод  13 4" xfId="7713"/>
    <cellStyle name="Ввод  13 5" xfId="7721"/>
    <cellStyle name="Ввод  13 6" xfId="7722"/>
    <cellStyle name="Ввод  13 7" xfId="7723"/>
    <cellStyle name="Ввод  13 8" xfId="7724"/>
    <cellStyle name="Ввод  13 9" xfId="7725"/>
    <cellStyle name="Ввод  14" xfId="1261"/>
    <cellStyle name="Ввод  14 10" xfId="7727"/>
    <cellStyle name="Ввод  14 11" xfId="7728"/>
    <cellStyle name="Ввод  14 12" xfId="7729"/>
    <cellStyle name="Ввод  14 13" xfId="7730"/>
    <cellStyle name="Ввод  14 14" xfId="7731"/>
    <cellStyle name="Ввод  14 15" xfId="11846"/>
    <cellStyle name="Ввод  14 15 10" xfId="25720"/>
    <cellStyle name="Ввод  14 15 11" xfId="35595"/>
    <cellStyle name="Ввод  14 15 2" xfId="14744"/>
    <cellStyle name="Ввод  14 15 2 2" xfId="16958"/>
    <cellStyle name="Ввод  14 15 2 2 2" xfId="23010"/>
    <cellStyle name="Ввод  14 15 2 2 3" xfId="30772"/>
    <cellStyle name="Ввод  14 15 2 2 4" xfId="40647"/>
    <cellStyle name="Ввод  14 15 2 3" xfId="20027"/>
    <cellStyle name="Ввод  14 15 2 3 2" xfId="33837"/>
    <cellStyle name="Ввод  14 15 2 3 3" xfId="43705"/>
    <cellStyle name="Ввод  14 15 2 4" xfId="28564"/>
    <cellStyle name="Ввод  14 15 2 5" xfId="38439"/>
    <cellStyle name="Ввод  14 15 3" xfId="14266"/>
    <cellStyle name="Ввод  14 15 3 2" xfId="19549"/>
    <cellStyle name="Ввод  14 15 3 2 2" xfId="33359"/>
    <cellStyle name="Ввод  14 15 3 2 3" xfId="43228"/>
    <cellStyle name="Ввод  14 15 3 3" xfId="28087"/>
    <cellStyle name="Ввод  14 15 3 4" xfId="37962"/>
    <cellStyle name="Ввод  14 15 4" xfId="20685"/>
    <cellStyle name="Ввод  14 15 5" xfId="21241"/>
    <cellStyle name="Ввод  14 15 6" xfId="21713"/>
    <cellStyle name="Ввод  14 15 7" xfId="22250"/>
    <cellStyle name="Ввод  14 15 8" xfId="22418"/>
    <cellStyle name="Ввод  14 15 9" xfId="23906"/>
    <cellStyle name="Ввод  14 16" xfId="12070"/>
    <cellStyle name="Ввод  14 16 10" xfId="24146"/>
    <cellStyle name="Ввод  14 16 11" xfId="25944"/>
    <cellStyle name="Ввод  14 16 12" xfId="35819"/>
    <cellStyle name="Ввод  14 16 2" xfId="14968"/>
    <cellStyle name="Ввод  14 16 2 2" xfId="20251"/>
    <cellStyle name="Ввод  14 16 2 2 2" xfId="34061"/>
    <cellStyle name="Ввод  14 16 2 2 3" xfId="43929"/>
    <cellStyle name="Ввод  14 16 2 3" xfId="23522"/>
    <cellStyle name="Ввод  14 16 2 4" xfId="28788"/>
    <cellStyle name="Ввод  14 16 2 5" xfId="38663"/>
    <cellStyle name="Ввод  14 16 3" xfId="20557"/>
    <cellStyle name="Ввод  14 16 4" xfId="20893"/>
    <cellStyle name="Ввод  14 16 5" xfId="21023"/>
    <cellStyle name="Ввод  14 16 6" xfId="21449"/>
    <cellStyle name="Ввод  14 16 7" xfId="21849"/>
    <cellStyle name="Ввод  14 16 8" xfId="22354"/>
    <cellStyle name="Ввод  14 16 9" xfId="22642"/>
    <cellStyle name="Ввод  14 17" xfId="12150"/>
    <cellStyle name="Ввод  14 17 10" xfId="24226"/>
    <cellStyle name="Ввод  14 17 11" xfId="26024"/>
    <cellStyle name="Ввод  14 17 12" xfId="35899"/>
    <cellStyle name="Ввод  14 17 2" xfId="15048"/>
    <cellStyle name="Ввод  14 17 2 2" xfId="20331"/>
    <cellStyle name="Ввод  14 17 2 2 2" xfId="34141"/>
    <cellStyle name="Ввод  14 17 2 2 3" xfId="44009"/>
    <cellStyle name="Ввод  14 17 2 3" xfId="23602"/>
    <cellStyle name="Ввод  14 17 2 4" xfId="28868"/>
    <cellStyle name="Ввод  14 17 2 5" xfId="38743"/>
    <cellStyle name="Ввод  14 17 3" xfId="20621"/>
    <cellStyle name="Ввод  14 17 4" xfId="20957"/>
    <cellStyle name="Ввод  14 17 5" xfId="21071"/>
    <cellStyle name="Ввод  14 17 6" xfId="21529"/>
    <cellStyle name="Ввод  14 17 7" xfId="21897"/>
    <cellStyle name="Ввод  14 17 8" xfId="22386"/>
    <cellStyle name="Ввод  14 17 9" xfId="22722"/>
    <cellStyle name="Ввод  14 18" xfId="11594"/>
    <cellStyle name="Ввод  14 18 2" xfId="14492"/>
    <cellStyle name="Ввод  14 18 2 2" xfId="19775"/>
    <cellStyle name="Ввод  14 18 2 2 2" xfId="33585"/>
    <cellStyle name="Ввод  14 18 2 2 3" xfId="43453"/>
    <cellStyle name="Ввод  14 18 2 3" xfId="28312"/>
    <cellStyle name="Ввод  14 18 2 4" xfId="38187"/>
    <cellStyle name="Ввод  14 18 3" xfId="15725"/>
    <cellStyle name="Ввод  14 18 3 2" xfId="22857"/>
    <cellStyle name="Ввод  14 18 3 3" xfId="24357"/>
    <cellStyle name="Ввод  14 18 3 4" xfId="29544"/>
    <cellStyle name="Ввод  14 18 3 5" xfId="39419"/>
    <cellStyle name="Ввод  14 18 4" xfId="23337"/>
    <cellStyle name="Ввод  14 18 5" xfId="25468"/>
    <cellStyle name="Ввод  14 18 6" xfId="35343"/>
    <cellStyle name="Ввод  14 19" xfId="13225"/>
    <cellStyle name="Ввод  14 19 2" xfId="16026"/>
    <cellStyle name="Ввод  14 19 2 2" xfId="29844"/>
    <cellStyle name="Ввод  14 19 2 3" xfId="39719"/>
    <cellStyle name="Ввод  14 19 3" xfId="18557"/>
    <cellStyle name="Ввод  14 19 3 2" xfId="32367"/>
    <cellStyle name="Ввод  14 19 3 3" xfId="42239"/>
    <cellStyle name="Ввод  14 19 4" xfId="27098"/>
    <cellStyle name="Ввод  14 19 5" xfId="36973"/>
    <cellStyle name="Ввод  14 2" xfId="1262"/>
    <cellStyle name="Ввод  14 2 10" xfId="23691"/>
    <cellStyle name="Ввод  14 2 11" xfId="24607"/>
    <cellStyle name="Ввод  14 2 12" xfId="34232"/>
    <cellStyle name="Ввод  14 2 13" xfId="34655"/>
    <cellStyle name="Ввод  14 2 2" xfId="7732"/>
    <cellStyle name="Ввод  14 2 3" xfId="11914"/>
    <cellStyle name="Ввод  14 2 3 10" xfId="25788"/>
    <cellStyle name="Ввод  14 2 3 11" xfId="35663"/>
    <cellStyle name="Ввод  14 2 3 2" xfId="14812"/>
    <cellStyle name="Ввод  14 2 3 2 2" xfId="17026"/>
    <cellStyle name="Ввод  14 2 3 2 2 2" xfId="23078"/>
    <cellStyle name="Ввод  14 2 3 2 2 3" xfId="30840"/>
    <cellStyle name="Ввод  14 2 3 2 2 4" xfId="40715"/>
    <cellStyle name="Ввод  14 2 3 2 3" xfId="20095"/>
    <cellStyle name="Ввод  14 2 3 2 3 2" xfId="33905"/>
    <cellStyle name="Ввод  14 2 3 2 3 3" xfId="43773"/>
    <cellStyle name="Ввод  14 2 3 2 4" xfId="28632"/>
    <cellStyle name="Ввод  14 2 3 2 5" xfId="38507"/>
    <cellStyle name="Ввод  14 2 3 3" xfId="14307"/>
    <cellStyle name="Ввод  14 2 3 3 2" xfId="19590"/>
    <cellStyle name="Ввод  14 2 3 3 2 2" xfId="33400"/>
    <cellStyle name="Ввод  14 2 3 3 2 3" xfId="43269"/>
    <cellStyle name="Ввод  14 2 3 3 3" xfId="28128"/>
    <cellStyle name="Ввод  14 2 3 3 4" xfId="38003"/>
    <cellStyle name="Ввод  14 2 3 4" xfId="20753"/>
    <cellStyle name="Ввод  14 2 3 5" xfId="21309"/>
    <cellStyle name="Ввод  14 2 3 6" xfId="21765"/>
    <cellStyle name="Ввод  14 2 3 7" xfId="22286"/>
    <cellStyle name="Ввод  14 2 3 8" xfId="22502"/>
    <cellStyle name="Ввод  14 2 3 9" xfId="23990"/>
    <cellStyle name="Ввод  14 2 4" xfId="11595"/>
    <cellStyle name="Ввод  14 2 4 2" xfId="14493"/>
    <cellStyle name="Ввод  14 2 4 2 2" xfId="19776"/>
    <cellStyle name="Ввод  14 2 4 2 2 2" xfId="33586"/>
    <cellStyle name="Ввод  14 2 4 2 2 3" xfId="43454"/>
    <cellStyle name="Ввод  14 2 4 2 3" xfId="28313"/>
    <cellStyle name="Ввод  14 2 4 2 4" xfId="38188"/>
    <cellStyle name="Ввод  14 2 4 3" xfId="15726"/>
    <cellStyle name="Ввод  14 2 4 3 2" xfId="22870"/>
    <cellStyle name="Ввод  14 2 4 3 3" xfId="24358"/>
    <cellStyle name="Ввод  14 2 4 3 4" xfId="29545"/>
    <cellStyle name="Ввод  14 2 4 3 5" xfId="39420"/>
    <cellStyle name="Ввод  14 2 4 4" xfId="23350"/>
    <cellStyle name="Ввод  14 2 4 5" xfId="25469"/>
    <cellStyle name="Ввод  14 2 4 6" xfId="35344"/>
    <cellStyle name="Ввод  14 2 5" xfId="12242"/>
    <cellStyle name="Ввод  14 2 5 2" xfId="17574"/>
    <cellStyle name="Ввод  14 2 5 2 2" xfId="31384"/>
    <cellStyle name="Ввод  14 2 5 2 3" xfId="41257"/>
    <cellStyle name="Ввод  14 2 5 3" xfId="20417"/>
    <cellStyle name="Ввод  14 2 5 4" xfId="26116"/>
    <cellStyle name="Ввод  14 2 5 5" xfId="35991"/>
    <cellStyle name="Ввод  14 2 6" xfId="13226"/>
    <cellStyle name="Ввод  14 2 6 2" xfId="16027"/>
    <cellStyle name="Ввод  14 2 6 2 2" xfId="29845"/>
    <cellStyle name="Ввод  14 2 6 2 3" xfId="39720"/>
    <cellStyle name="Ввод  14 2 6 3" xfId="18558"/>
    <cellStyle name="Ввод  14 2 6 3 2" xfId="32368"/>
    <cellStyle name="Ввод  14 2 6 3 3" xfId="42240"/>
    <cellStyle name="Ввод  14 2 6 4" xfId="27099"/>
    <cellStyle name="Ввод  14 2 6 5" xfId="36974"/>
    <cellStyle name="Ввод  14 2 7" xfId="13076"/>
    <cellStyle name="Ввод  14 2 7 2" xfId="18408"/>
    <cellStyle name="Ввод  14 2 7 2 2" xfId="32218"/>
    <cellStyle name="Ввод  14 2 7 2 3" xfId="42090"/>
    <cellStyle name="Ввод  14 2 7 3" xfId="26949"/>
    <cellStyle name="Ввод  14 2 7 4" xfId="36824"/>
    <cellStyle name="Ввод  14 2 8" xfId="17181"/>
    <cellStyle name="Ввод  14 2 8 2" xfId="21645"/>
    <cellStyle name="Ввод  14 2 8 3" xfId="30992"/>
    <cellStyle name="Ввод  14 2 8 4" xfId="40866"/>
    <cellStyle name="Ввод  14 2 9" xfId="21958"/>
    <cellStyle name="Ввод  14 20" xfId="13075"/>
    <cellStyle name="Ввод  14 20 2" xfId="18407"/>
    <cellStyle name="Ввод  14 20 2 2" xfId="32217"/>
    <cellStyle name="Ввод  14 20 2 3" xfId="42089"/>
    <cellStyle name="Ввод  14 20 3" xfId="26948"/>
    <cellStyle name="Ввод  14 20 4" xfId="36823"/>
    <cellStyle name="Ввод  14 21" xfId="17180"/>
    <cellStyle name="Ввод  14 21 2" xfId="21190"/>
    <cellStyle name="Ввод  14 21 3" xfId="30991"/>
    <cellStyle name="Ввод  14 21 4" xfId="40865"/>
    <cellStyle name="Ввод  14 22" xfId="21609"/>
    <cellStyle name="Ввод  14 23" xfId="21957"/>
    <cellStyle name="Ввод  14 24" xfId="23690"/>
    <cellStyle name="Ввод  14 25" xfId="24606"/>
    <cellStyle name="Ввод  14 26" xfId="34231"/>
    <cellStyle name="Ввод  14 27" xfId="34656"/>
    <cellStyle name="Ввод  14 3" xfId="1263"/>
    <cellStyle name="Ввод  14 3 10" xfId="23692"/>
    <cellStyle name="Ввод  14 3 11" xfId="24608"/>
    <cellStyle name="Ввод  14 3 12" xfId="34233"/>
    <cellStyle name="Ввод  14 3 13" xfId="34654"/>
    <cellStyle name="Ввод  14 3 2" xfId="7733"/>
    <cellStyle name="Ввод  14 3 3" xfId="11915"/>
    <cellStyle name="Ввод  14 3 3 10" xfId="25789"/>
    <cellStyle name="Ввод  14 3 3 11" xfId="35664"/>
    <cellStyle name="Ввод  14 3 3 2" xfId="14813"/>
    <cellStyle name="Ввод  14 3 3 2 2" xfId="17027"/>
    <cellStyle name="Ввод  14 3 3 2 2 2" xfId="23079"/>
    <cellStyle name="Ввод  14 3 3 2 2 3" xfId="30841"/>
    <cellStyle name="Ввод  14 3 3 2 2 4" xfId="40716"/>
    <cellStyle name="Ввод  14 3 3 2 3" xfId="20096"/>
    <cellStyle name="Ввод  14 3 3 2 3 2" xfId="33906"/>
    <cellStyle name="Ввод  14 3 3 2 3 3" xfId="43774"/>
    <cellStyle name="Ввод  14 3 3 2 4" xfId="28633"/>
    <cellStyle name="Ввод  14 3 3 2 5" xfId="38508"/>
    <cellStyle name="Ввод  14 3 3 3" xfId="14308"/>
    <cellStyle name="Ввод  14 3 3 3 2" xfId="19591"/>
    <cellStyle name="Ввод  14 3 3 3 2 2" xfId="33401"/>
    <cellStyle name="Ввод  14 3 3 3 2 3" xfId="43270"/>
    <cellStyle name="Ввод  14 3 3 3 3" xfId="28129"/>
    <cellStyle name="Ввод  14 3 3 3 4" xfId="38004"/>
    <cellStyle name="Ввод  14 3 3 4" xfId="20754"/>
    <cellStyle name="Ввод  14 3 3 5" xfId="21310"/>
    <cellStyle name="Ввод  14 3 3 6" xfId="21766"/>
    <cellStyle name="Ввод  14 3 3 7" xfId="22287"/>
    <cellStyle name="Ввод  14 3 3 8" xfId="22503"/>
    <cellStyle name="Ввод  14 3 3 9" xfId="23991"/>
    <cellStyle name="Ввод  14 3 4" xfId="11596"/>
    <cellStyle name="Ввод  14 3 4 2" xfId="14494"/>
    <cellStyle name="Ввод  14 3 4 2 2" xfId="19777"/>
    <cellStyle name="Ввод  14 3 4 2 2 2" xfId="33587"/>
    <cellStyle name="Ввод  14 3 4 2 2 3" xfId="43455"/>
    <cellStyle name="Ввод  14 3 4 2 3" xfId="28314"/>
    <cellStyle name="Ввод  14 3 4 2 4" xfId="38189"/>
    <cellStyle name="Ввод  14 3 4 3" xfId="15727"/>
    <cellStyle name="Ввод  14 3 4 3 2" xfId="22871"/>
    <cellStyle name="Ввод  14 3 4 3 3" xfId="24359"/>
    <cellStyle name="Ввод  14 3 4 3 4" xfId="29546"/>
    <cellStyle name="Ввод  14 3 4 3 5" xfId="39421"/>
    <cellStyle name="Ввод  14 3 4 4" xfId="23351"/>
    <cellStyle name="Ввод  14 3 4 5" xfId="25470"/>
    <cellStyle name="Ввод  14 3 4 6" xfId="35345"/>
    <cellStyle name="Ввод  14 3 5" xfId="12243"/>
    <cellStyle name="Ввод  14 3 5 2" xfId="17575"/>
    <cellStyle name="Ввод  14 3 5 2 2" xfId="31385"/>
    <cellStyle name="Ввод  14 3 5 2 3" xfId="41258"/>
    <cellStyle name="Ввод  14 3 5 3" xfId="20418"/>
    <cellStyle name="Ввод  14 3 5 4" xfId="26117"/>
    <cellStyle name="Ввод  14 3 5 5" xfId="35992"/>
    <cellStyle name="Ввод  14 3 6" xfId="13227"/>
    <cellStyle name="Ввод  14 3 6 2" xfId="16028"/>
    <cellStyle name="Ввод  14 3 6 2 2" xfId="29846"/>
    <cellStyle name="Ввод  14 3 6 2 3" xfId="39721"/>
    <cellStyle name="Ввод  14 3 6 3" xfId="18559"/>
    <cellStyle name="Ввод  14 3 6 3 2" xfId="32369"/>
    <cellStyle name="Ввод  14 3 6 3 3" xfId="42241"/>
    <cellStyle name="Ввод  14 3 6 4" xfId="27100"/>
    <cellStyle name="Ввод  14 3 6 5" xfId="36975"/>
    <cellStyle name="Ввод  14 3 7" xfId="13077"/>
    <cellStyle name="Ввод  14 3 7 2" xfId="18409"/>
    <cellStyle name="Ввод  14 3 7 2 2" xfId="32219"/>
    <cellStyle name="Ввод  14 3 7 2 3" xfId="42091"/>
    <cellStyle name="Ввод  14 3 7 3" xfId="26950"/>
    <cellStyle name="Ввод  14 3 7 4" xfId="36825"/>
    <cellStyle name="Ввод  14 3 8" xfId="17182"/>
    <cellStyle name="Ввод  14 3 8 2" xfId="21646"/>
    <cellStyle name="Ввод  14 3 8 3" xfId="30993"/>
    <cellStyle name="Ввод  14 3 8 4" xfId="40867"/>
    <cellStyle name="Ввод  14 3 9" xfId="21959"/>
    <cellStyle name="Ввод  14 4" xfId="7726"/>
    <cellStyle name="Ввод  14 5" xfId="7734"/>
    <cellStyle name="Ввод  14 6" xfId="7735"/>
    <cellStyle name="Ввод  14 7" xfId="7736"/>
    <cellStyle name="Ввод  14 8" xfId="7737"/>
    <cellStyle name="Ввод  14 9" xfId="7738"/>
    <cellStyle name="Ввод  15" xfId="1264"/>
    <cellStyle name="Ввод  15 10" xfId="7740"/>
    <cellStyle name="Ввод  15 11" xfId="7741"/>
    <cellStyle name="Ввод  15 12" xfId="7742"/>
    <cellStyle name="Ввод  15 13" xfId="7743"/>
    <cellStyle name="Ввод  15 14" xfId="7744"/>
    <cellStyle name="Ввод  15 15" xfId="11847"/>
    <cellStyle name="Ввод  15 15 10" xfId="25721"/>
    <cellStyle name="Ввод  15 15 11" xfId="35596"/>
    <cellStyle name="Ввод  15 15 2" xfId="14745"/>
    <cellStyle name="Ввод  15 15 2 2" xfId="16959"/>
    <cellStyle name="Ввод  15 15 2 2 2" xfId="23011"/>
    <cellStyle name="Ввод  15 15 2 2 3" xfId="30773"/>
    <cellStyle name="Ввод  15 15 2 2 4" xfId="40648"/>
    <cellStyle name="Ввод  15 15 2 3" xfId="20028"/>
    <cellStyle name="Ввод  15 15 2 3 2" xfId="33838"/>
    <cellStyle name="Ввод  15 15 2 3 3" xfId="43706"/>
    <cellStyle name="Ввод  15 15 2 4" xfId="28565"/>
    <cellStyle name="Ввод  15 15 2 5" xfId="38440"/>
    <cellStyle name="Ввод  15 15 3" xfId="14259"/>
    <cellStyle name="Ввод  15 15 3 2" xfId="19542"/>
    <cellStyle name="Ввод  15 15 3 2 2" xfId="33352"/>
    <cellStyle name="Ввод  15 15 3 2 3" xfId="43221"/>
    <cellStyle name="Ввод  15 15 3 3" xfId="28080"/>
    <cellStyle name="Ввод  15 15 3 4" xfId="37955"/>
    <cellStyle name="Ввод  15 15 4" xfId="20686"/>
    <cellStyle name="Ввод  15 15 5" xfId="21242"/>
    <cellStyle name="Ввод  15 15 6" xfId="21714"/>
    <cellStyle name="Ввод  15 15 7" xfId="22251"/>
    <cellStyle name="Ввод  15 15 8" xfId="22419"/>
    <cellStyle name="Ввод  15 15 9" xfId="23907"/>
    <cellStyle name="Ввод  15 16" xfId="12071"/>
    <cellStyle name="Ввод  15 16 10" xfId="24147"/>
    <cellStyle name="Ввод  15 16 11" xfId="25945"/>
    <cellStyle name="Ввод  15 16 12" xfId="35820"/>
    <cellStyle name="Ввод  15 16 2" xfId="14969"/>
    <cellStyle name="Ввод  15 16 2 2" xfId="20252"/>
    <cellStyle name="Ввод  15 16 2 2 2" xfId="34062"/>
    <cellStyle name="Ввод  15 16 2 2 3" xfId="43930"/>
    <cellStyle name="Ввод  15 16 2 3" xfId="23523"/>
    <cellStyle name="Ввод  15 16 2 4" xfId="28789"/>
    <cellStyle name="Ввод  15 16 2 5" xfId="38664"/>
    <cellStyle name="Ввод  15 16 3" xfId="20558"/>
    <cellStyle name="Ввод  15 16 4" xfId="20894"/>
    <cellStyle name="Ввод  15 16 5" xfId="21024"/>
    <cellStyle name="Ввод  15 16 6" xfId="21450"/>
    <cellStyle name="Ввод  15 16 7" xfId="21850"/>
    <cellStyle name="Ввод  15 16 8" xfId="22355"/>
    <cellStyle name="Ввод  15 16 9" xfId="22643"/>
    <cellStyle name="Ввод  15 17" xfId="12151"/>
    <cellStyle name="Ввод  15 17 10" xfId="24227"/>
    <cellStyle name="Ввод  15 17 11" xfId="26025"/>
    <cellStyle name="Ввод  15 17 12" xfId="35900"/>
    <cellStyle name="Ввод  15 17 2" xfId="15049"/>
    <cellStyle name="Ввод  15 17 2 2" xfId="20332"/>
    <cellStyle name="Ввод  15 17 2 2 2" xfId="34142"/>
    <cellStyle name="Ввод  15 17 2 2 3" xfId="44010"/>
    <cellStyle name="Ввод  15 17 2 3" xfId="23603"/>
    <cellStyle name="Ввод  15 17 2 4" xfId="28869"/>
    <cellStyle name="Ввод  15 17 2 5" xfId="38744"/>
    <cellStyle name="Ввод  15 17 3" xfId="20622"/>
    <cellStyle name="Ввод  15 17 4" xfId="20958"/>
    <cellStyle name="Ввод  15 17 5" xfId="21072"/>
    <cellStyle name="Ввод  15 17 6" xfId="21530"/>
    <cellStyle name="Ввод  15 17 7" xfId="21898"/>
    <cellStyle name="Ввод  15 17 8" xfId="22387"/>
    <cellStyle name="Ввод  15 17 9" xfId="22723"/>
    <cellStyle name="Ввод  15 18" xfId="11597"/>
    <cellStyle name="Ввод  15 18 2" xfId="14495"/>
    <cellStyle name="Ввод  15 18 2 2" xfId="19778"/>
    <cellStyle name="Ввод  15 18 2 2 2" xfId="33588"/>
    <cellStyle name="Ввод  15 18 2 2 3" xfId="43456"/>
    <cellStyle name="Ввод  15 18 2 3" xfId="28315"/>
    <cellStyle name="Ввод  15 18 2 4" xfId="38190"/>
    <cellStyle name="Ввод  15 18 3" xfId="15728"/>
    <cellStyle name="Ввод  15 18 3 2" xfId="22856"/>
    <cellStyle name="Ввод  15 18 3 3" xfId="24360"/>
    <cellStyle name="Ввод  15 18 3 4" xfId="29547"/>
    <cellStyle name="Ввод  15 18 3 5" xfId="39422"/>
    <cellStyle name="Ввод  15 18 4" xfId="23336"/>
    <cellStyle name="Ввод  15 18 5" xfId="25471"/>
    <cellStyle name="Ввод  15 18 6" xfId="35346"/>
    <cellStyle name="Ввод  15 19" xfId="13228"/>
    <cellStyle name="Ввод  15 19 2" xfId="16029"/>
    <cellStyle name="Ввод  15 19 2 2" xfId="29847"/>
    <cellStyle name="Ввод  15 19 2 3" xfId="39722"/>
    <cellStyle name="Ввод  15 19 3" xfId="18560"/>
    <cellStyle name="Ввод  15 19 3 2" xfId="32370"/>
    <cellStyle name="Ввод  15 19 3 3" xfId="42242"/>
    <cellStyle name="Ввод  15 19 4" xfId="27101"/>
    <cellStyle name="Ввод  15 19 5" xfId="36976"/>
    <cellStyle name="Ввод  15 2" xfId="1265"/>
    <cellStyle name="Ввод  15 2 10" xfId="23694"/>
    <cellStyle name="Ввод  15 2 11" xfId="24610"/>
    <cellStyle name="Ввод  15 2 12" xfId="34235"/>
    <cellStyle name="Ввод  15 2 13" xfId="34652"/>
    <cellStyle name="Ввод  15 2 2" xfId="7745"/>
    <cellStyle name="Ввод  15 2 3" xfId="11916"/>
    <cellStyle name="Ввод  15 2 3 10" xfId="25790"/>
    <cellStyle name="Ввод  15 2 3 11" xfId="35665"/>
    <cellStyle name="Ввод  15 2 3 2" xfId="14814"/>
    <cellStyle name="Ввод  15 2 3 2 2" xfId="17028"/>
    <cellStyle name="Ввод  15 2 3 2 2 2" xfId="23080"/>
    <cellStyle name="Ввод  15 2 3 2 2 3" xfId="30842"/>
    <cellStyle name="Ввод  15 2 3 2 2 4" xfId="40717"/>
    <cellStyle name="Ввод  15 2 3 2 3" xfId="20097"/>
    <cellStyle name="Ввод  15 2 3 2 3 2" xfId="33907"/>
    <cellStyle name="Ввод  15 2 3 2 3 3" xfId="43775"/>
    <cellStyle name="Ввод  15 2 3 2 4" xfId="28634"/>
    <cellStyle name="Ввод  15 2 3 2 5" xfId="38509"/>
    <cellStyle name="Ввод  15 2 3 3" xfId="14309"/>
    <cellStyle name="Ввод  15 2 3 3 2" xfId="19592"/>
    <cellStyle name="Ввод  15 2 3 3 2 2" xfId="33402"/>
    <cellStyle name="Ввод  15 2 3 3 2 3" xfId="43271"/>
    <cellStyle name="Ввод  15 2 3 3 3" xfId="28130"/>
    <cellStyle name="Ввод  15 2 3 3 4" xfId="38005"/>
    <cellStyle name="Ввод  15 2 3 4" xfId="20755"/>
    <cellStyle name="Ввод  15 2 3 5" xfId="21311"/>
    <cellStyle name="Ввод  15 2 3 6" xfId="21767"/>
    <cellStyle name="Ввод  15 2 3 7" xfId="22288"/>
    <cellStyle name="Ввод  15 2 3 8" xfId="22504"/>
    <cellStyle name="Ввод  15 2 3 9" xfId="23992"/>
    <cellStyle name="Ввод  15 2 4" xfId="11598"/>
    <cellStyle name="Ввод  15 2 4 2" xfId="14496"/>
    <cellStyle name="Ввод  15 2 4 2 2" xfId="19779"/>
    <cellStyle name="Ввод  15 2 4 2 2 2" xfId="33589"/>
    <cellStyle name="Ввод  15 2 4 2 2 3" xfId="43457"/>
    <cellStyle name="Ввод  15 2 4 2 3" xfId="28316"/>
    <cellStyle name="Ввод  15 2 4 2 4" xfId="38191"/>
    <cellStyle name="Ввод  15 2 4 3" xfId="15729"/>
    <cellStyle name="Ввод  15 2 4 3 2" xfId="22872"/>
    <cellStyle name="Ввод  15 2 4 3 3" xfId="24361"/>
    <cellStyle name="Ввод  15 2 4 3 4" xfId="29548"/>
    <cellStyle name="Ввод  15 2 4 3 5" xfId="39423"/>
    <cellStyle name="Ввод  15 2 4 4" xfId="23352"/>
    <cellStyle name="Ввод  15 2 4 5" xfId="25472"/>
    <cellStyle name="Ввод  15 2 4 6" xfId="35347"/>
    <cellStyle name="Ввод  15 2 5" xfId="12244"/>
    <cellStyle name="Ввод  15 2 5 2" xfId="17576"/>
    <cellStyle name="Ввод  15 2 5 2 2" xfId="31386"/>
    <cellStyle name="Ввод  15 2 5 2 3" xfId="41259"/>
    <cellStyle name="Ввод  15 2 5 3" xfId="20419"/>
    <cellStyle name="Ввод  15 2 5 4" xfId="26118"/>
    <cellStyle name="Ввод  15 2 5 5" xfId="35993"/>
    <cellStyle name="Ввод  15 2 6" xfId="13229"/>
    <cellStyle name="Ввод  15 2 6 2" xfId="16030"/>
    <cellStyle name="Ввод  15 2 6 2 2" xfId="29848"/>
    <cellStyle name="Ввод  15 2 6 2 3" xfId="39723"/>
    <cellStyle name="Ввод  15 2 6 3" xfId="18561"/>
    <cellStyle name="Ввод  15 2 6 3 2" xfId="32371"/>
    <cellStyle name="Ввод  15 2 6 3 3" xfId="42243"/>
    <cellStyle name="Ввод  15 2 6 4" xfId="27102"/>
    <cellStyle name="Ввод  15 2 6 5" xfId="36977"/>
    <cellStyle name="Ввод  15 2 7" xfId="13079"/>
    <cellStyle name="Ввод  15 2 7 2" xfId="18411"/>
    <cellStyle name="Ввод  15 2 7 2 2" xfId="32221"/>
    <cellStyle name="Ввод  15 2 7 2 3" xfId="42093"/>
    <cellStyle name="Ввод  15 2 7 3" xfId="26952"/>
    <cellStyle name="Ввод  15 2 7 4" xfId="36827"/>
    <cellStyle name="Ввод  15 2 8" xfId="17184"/>
    <cellStyle name="Ввод  15 2 8 2" xfId="21647"/>
    <cellStyle name="Ввод  15 2 8 3" xfId="30995"/>
    <cellStyle name="Ввод  15 2 8 4" xfId="40869"/>
    <cellStyle name="Ввод  15 2 9" xfId="21961"/>
    <cellStyle name="Ввод  15 20" xfId="13078"/>
    <cellStyle name="Ввод  15 20 2" xfId="18410"/>
    <cellStyle name="Ввод  15 20 2 2" xfId="32220"/>
    <cellStyle name="Ввод  15 20 2 3" xfId="42092"/>
    <cellStyle name="Ввод  15 20 3" xfId="26951"/>
    <cellStyle name="Ввод  15 20 4" xfId="36826"/>
    <cellStyle name="Ввод  15 21" xfId="17183"/>
    <cellStyle name="Ввод  15 21 2" xfId="21189"/>
    <cellStyle name="Ввод  15 21 3" xfId="30994"/>
    <cellStyle name="Ввод  15 21 4" xfId="40868"/>
    <cellStyle name="Ввод  15 22" xfId="21610"/>
    <cellStyle name="Ввод  15 23" xfId="21960"/>
    <cellStyle name="Ввод  15 24" xfId="23693"/>
    <cellStyle name="Ввод  15 25" xfId="24609"/>
    <cellStyle name="Ввод  15 26" xfId="34234"/>
    <cellStyle name="Ввод  15 27" xfId="34653"/>
    <cellStyle name="Ввод  15 3" xfId="1266"/>
    <cellStyle name="Ввод  15 3 10" xfId="23695"/>
    <cellStyle name="Ввод  15 3 11" xfId="24611"/>
    <cellStyle name="Ввод  15 3 12" xfId="34236"/>
    <cellStyle name="Ввод  15 3 13" xfId="34651"/>
    <cellStyle name="Ввод  15 3 2" xfId="7746"/>
    <cellStyle name="Ввод  15 3 3" xfId="11917"/>
    <cellStyle name="Ввод  15 3 3 10" xfId="25791"/>
    <cellStyle name="Ввод  15 3 3 11" xfId="35666"/>
    <cellStyle name="Ввод  15 3 3 2" xfId="14815"/>
    <cellStyle name="Ввод  15 3 3 2 2" xfId="17029"/>
    <cellStyle name="Ввод  15 3 3 2 2 2" xfId="23081"/>
    <cellStyle name="Ввод  15 3 3 2 2 3" xfId="30843"/>
    <cellStyle name="Ввод  15 3 3 2 2 4" xfId="40718"/>
    <cellStyle name="Ввод  15 3 3 2 3" xfId="20098"/>
    <cellStyle name="Ввод  15 3 3 2 3 2" xfId="33908"/>
    <cellStyle name="Ввод  15 3 3 2 3 3" xfId="43776"/>
    <cellStyle name="Ввод  15 3 3 2 4" xfId="28635"/>
    <cellStyle name="Ввод  15 3 3 2 5" xfId="38510"/>
    <cellStyle name="Ввод  15 3 3 3" xfId="14310"/>
    <cellStyle name="Ввод  15 3 3 3 2" xfId="19593"/>
    <cellStyle name="Ввод  15 3 3 3 2 2" xfId="33403"/>
    <cellStyle name="Ввод  15 3 3 3 2 3" xfId="43272"/>
    <cellStyle name="Ввод  15 3 3 3 3" xfId="28131"/>
    <cellStyle name="Ввод  15 3 3 3 4" xfId="38006"/>
    <cellStyle name="Ввод  15 3 3 4" xfId="20756"/>
    <cellStyle name="Ввод  15 3 3 5" xfId="21312"/>
    <cellStyle name="Ввод  15 3 3 6" xfId="21768"/>
    <cellStyle name="Ввод  15 3 3 7" xfId="22289"/>
    <cellStyle name="Ввод  15 3 3 8" xfId="22505"/>
    <cellStyle name="Ввод  15 3 3 9" xfId="23993"/>
    <cellStyle name="Ввод  15 3 4" xfId="11599"/>
    <cellStyle name="Ввод  15 3 4 2" xfId="14497"/>
    <cellStyle name="Ввод  15 3 4 2 2" xfId="19780"/>
    <cellStyle name="Ввод  15 3 4 2 2 2" xfId="33590"/>
    <cellStyle name="Ввод  15 3 4 2 2 3" xfId="43458"/>
    <cellStyle name="Ввод  15 3 4 2 3" xfId="28317"/>
    <cellStyle name="Ввод  15 3 4 2 4" xfId="38192"/>
    <cellStyle name="Ввод  15 3 4 3" xfId="15730"/>
    <cellStyle name="Ввод  15 3 4 3 2" xfId="22873"/>
    <cellStyle name="Ввод  15 3 4 3 3" xfId="24362"/>
    <cellStyle name="Ввод  15 3 4 3 4" xfId="29549"/>
    <cellStyle name="Ввод  15 3 4 3 5" xfId="39424"/>
    <cellStyle name="Ввод  15 3 4 4" xfId="23353"/>
    <cellStyle name="Ввод  15 3 4 5" xfId="25473"/>
    <cellStyle name="Ввод  15 3 4 6" xfId="35348"/>
    <cellStyle name="Ввод  15 3 5" xfId="12245"/>
    <cellStyle name="Ввод  15 3 5 2" xfId="17577"/>
    <cellStyle name="Ввод  15 3 5 2 2" xfId="31387"/>
    <cellStyle name="Ввод  15 3 5 2 3" xfId="41260"/>
    <cellStyle name="Ввод  15 3 5 3" xfId="20420"/>
    <cellStyle name="Ввод  15 3 5 4" xfId="26119"/>
    <cellStyle name="Ввод  15 3 5 5" xfId="35994"/>
    <cellStyle name="Ввод  15 3 6" xfId="13230"/>
    <cellStyle name="Ввод  15 3 6 2" xfId="16031"/>
    <cellStyle name="Ввод  15 3 6 2 2" xfId="29849"/>
    <cellStyle name="Ввод  15 3 6 2 3" xfId="39724"/>
    <cellStyle name="Ввод  15 3 6 3" xfId="18562"/>
    <cellStyle name="Ввод  15 3 6 3 2" xfId="32372"/>
    <cellStyle name="Ввод  15 3 6 3 3" xfId="42244"/>
    <cellStyle name="Ввод  15 3 6 4" xfId="27103"/>
    <cellStyle name="Ввод  15 3 6 5" xfId="36978"/>
    <cellStyle name="Ввод  15 3 7" xfId="13080"/>
    <cellStyle name="Ввод  15 3 7 2" xfId="18412"/>
    <cellStyle name="Ввод  15 3 7 2 2" xfId="32222"/>
    <cellStyle name="Ввод  15 3 7 2 3" xfId="42094"/>
    <cellStyle name="Ввод  15 3 7 3" xfId="26953"/>
    <cellStyle name="Ввод  15 3 7 4" xfId="36828"/>
    <cellStyle name="Ввод  15 3 8" xfId="17185"/>
    <cellStyle name="Ввод  15 3 8 2" xfId="21648"/>
    <cellStyle name="Ввод  15 3 8 3" xfId="30996"/>
    <cellStyle name="Ввод  15 3 8 4" xfId="40870"/>
    <cellStyle name="Ввод  15 3 9" xfId="21962"/>
    <cellStyle name="Ввод  15 4" xfId="7739"/>
    <cellStyle name="Ввод  15 5" xfId="7747"/>
    <cellStyle name="Ввод  15 6" xfId="7748"/>
    <cellStyle name="Ввод  15 7" xfId="7749"/>
    <cellStyle name="Ввод  15 8" xfId="7750"/>
    <cellStyle name="Ввод  15 9" xfId="7751"/>
    <cellStyle name="Ввод  16" xfId="1267"/>
    <cellStyle name="Ввод  16 10" xfId="7753"/>
    <cellStyle name="Ввод  16 11" xfId="7754"/>
    <cellStyle name="Ввод  16 12" xfId="7755"/>
    <cellStyle name="Ввод  16 13" xfId="7756"/>
    <cellStyle name="Ввод  16 14" xfId="7757"/>
    <cellStyle name="Ввод  16 15" xfId="11848"/>
    <cellStyle name="Ввод  16 15 10" xfId="25722"/>
    <cellStyle name="Ввод  16 15 11" xfId="35597"/>
    <cellStyle name="Ввод  16 15 2" xfId="14746"/>
    <cellStyle name="Ввод  16 15 2 2" xfId="16960"/>
    <cellStyle name="Ввод  16 15 2 2 2" xfId="23012"/>
    <cellStyle name="Ввод  16 15 2 2 3" xfId="30774"/>
    <cellStyle name="Ввод  16 15 2 2 4" xfId="40649"/>
    <cellStyle name="Ввод  16 15 2 3" xfId="20029"/>
    <cellStyle name="Ввод  16 15 2 3 2" xfId="33839"/>
    <cellStyle name="Ввод  16 15 2 3 3" xfId="43707"/>
    <cellStyle name="Ввод  16 15 2 4" xfId="28566"/>
    <cellStyle name="Ввод  16 15 2 5" xfId="38441"/>
    <cellStyle name="Ввод  16 15 3" xfId="14267"/>
    <cellStyle name="Ввод  16 15 3 2" xfId="19550"/>
    <cellStyle name="Ввод  16 15 3 2 2" xfId="33360"/>
    <cellStyle name="Ввод  16 15 3 2 3" xfId="43229"/>
    <cellStyle name="Ввод  16 15 3 3" xfId="28088"/>
    <cellStyle name="Ввод  16 15 3 4" xfId="37963"/>
    <cellStyle name="Ввод  16 15 4" xfId="20687"/>
    <cellStyle name="Ввод  16 15 5" xfId="21243"/>
    <cellStyle name="Ввод  16 15 6" xfId="21715"/>
    <cellStyle name="Ввод  16 15 7" xfId="22252"/>
    <cellStyle name="Ввод  16 15 8" xfId="22420"/>
    <cellStyle name="Ввод  16 15 9" xfId="23908"/>
    <cellStyle name="Ввод  16 16" xfId="12072"/>
    <cellStyle name="Ввод  16 16 10" xfId="24148"/>
    <cellStyle name="Ввод  16 16 11" xfId="25946"/>
    <cellStyle name="Ввод  16 16 12" xfId="35821"/>
    <cellStyle name="Ввод  16 16 2" xfId="14970"/>
    <cellStyle name="Ввод  16 16 2 2" xfId="20253"/>
    <cellStyle name="Ввод  16 16 2 2 2" xfId="34063"/>
    <cellStyle name="Ввод  16 16 2 2 3" xfId="43931"/>
    <cellStyle name="Ввод  16 16 2 3" xfId="23524"/>
    <cellStyle name="Ввод  16 16 2 4" xfId="28790"/>
    <cellStyle name="Ввод  16 16 2 5" xfId="38665"/>
    <cellStyle name="Ввод  16 16 3" xfId="20559"/>
    <cellStyle name="Ввод  16 16 4" xfId="20895"/>
    <cellStyle name="Ввод  16 16 5" xfId="21025"/>
    <cellStyle name="Ввод  16 16 6" xfId="21451"/>
    <cellStyle name="Ввод  16 16 7" xfId="21851"/>
    <cellStyle name="Ввод  16 16 8" xfId="22356"/>
    <cellStyle name="Ввод  16 16 9" xfId="22644"/>
    <cellStyle name="Ввод  16 17" xfId="12152"/>
    <cellStyle name="Ввод  16 17 10" xfId="24228"/>
    <cellStyle name="Ввод  16 17 11" xfId="26026"/>
    <cellStyle name="Ввод  16 17 12" xfId="35901"/>
    <cellStyle name="Ввод  16 17 2" xfId="15050"/>
    <cellStyle name="Ввод  16 17 2 2" xfId="20333"/>
    <cellStyle name="Ввод  16 17 2 2 2" xfId="34143"/>
    <cellStyle name="Ввод  16 17 2 2 3" xfId="44011"/>
    <cellStyle name="Ввод  16 17 2 3" xfId="23604"/>
    <cellStyle name="Ввод  16 17 2 4" xfId="28870"/>
    <cellStyle name="Ввод  16 17 2 5" xfId="38745"/>
    <cellStyle name="Ввод  16 17 3" xfId="20623"/>
    <cellStyle name="Ввод  16 17 4" xfId="20959"/>
    <cellStyle name="Ввод  16 17 5" xfId="21073"/>
    <cellStyle name="Ввод  16 17 6" xfId="21531"/>
    <cellStyle name="Ввод  16 17 7" xfId="21899"/>
    <cellStyle name="Ввод  16 17 8" xfId="22388"/>
    <cellStyle name="Ввод  16 17 9" xfId="22724"/>
    <cellStyle name="Ввод  16 18" xfId="11600"/>
    <cellStyle name="Ввод  16 18 2" xfId="14498"/>
    <cellStyle name="Ввод  16 18 2 2" xfId="19781"/>
    <cellStyle name="Ввод  16 18 2 2 2" xfId="33591"/>
    <cellStyle name="Ввод  16 18 2 2 3" xfId="43459"/>
    <cellStyle name="Ввод  16 18 2 3" xfId="28318"/>
    <cellStyle name="Ввод  16 18 2 4" xfId="38193"/>
    <cellStyle name="Ввод  16 18 3" xfId="15731"/>
    <cellStyle name="Ввод  16 18 3 2" xfId="22855"/>
    <cellStyle name="Ввод  16 18 3 3" xfId="24363"/>
    <cellStyle name="Ввод  16 18 3 4" xfId="29550"/>
    <cellStyle name="Ввод  16 18 3 5" xfId="39425"/>
    <cellStyle name="Ввод  16 18 4" xfId="23335"/>
    <cellStyle name="Ввод  16 18 5" xfId="25474"/>
    <cellStyle name="Ввод  16 18 6" xfId="35349"/>
    <cellStyle name="Ввод  16 19" xfId="13231"/>
    <cellStyle name="Ввод  16 19 2" xfId="16032"/>
    <cellStyle name="Ввод  16 19 2 2" xfId="29850"/>
    <cellStyle name="Ввод  16 19 2 3" xfId="39725"/>
    <cellStyle name="Ввод  16 19 3" xfId="18563"/>
    <cellStyle name="Ввод  16 19 3 2" xfId="32373"/>
    <cellStyle name="Ввод  16 19 3 3" xfId="42245"/>
    <cellStyle name="Ввод  16 19 4" xfId="27104"/>
    <cellStyle name="Ввод  16 19 5" xfId="36979"/>
    <cellStyle name="Ввод  16 2" xfId="1268"/>
    <cellStyle name="Ввод  16 2 10" xfId="23697"/>
    <cellStyle name="Ввод  16 2 11" xfId="24613"/>
    <cellStyle name="Ввод  16 2 12" xfId="34238"/>
    <cellStyle name="Ввод  16 2 13" xfId="34649"/>
    <cellStyle name="Ввод  16 2 2" xfId="7758"/>
    <cellStyle name="Ввод  16 2 3" xfId="11918"/>
    <cellStyle name="Ввод  16 2 3 10" xfId="25792"/>
    <cellStyle name="Ввод  16 2 3 11" xfId="35667"/>
    <cellStyle name="Ввод  16 2 3 2" xfId="14816"/>
    <cellStyle name="Ввод  16 2 3 2 2" xfId="17030"/>
    <cellStyle name="Ввод  16 2 3 2 2 2" xfId="23082"/>
    <cellStyle name="Ввод  16 2 3 2 2 3" xfId="30844"/>
    <cellStyle name="Ввод  16 2 3 2 2 4" xfId="40719"/>
    <cellStyle name="Ввод  16 2 3 2 3" xfId="20099"/>
    <cellStyle name="Ввод  16 2 3 2 3 2" xfId="33909"/>
    <cellStyle name="Ввод  16 2 3 2 3 3" xfId="43777"/>
    <cellStyle name="Ввод  16 2 3 2 4" xfId="28636"/>
    <cellStyle name="Ввод  16 2 3 2 5" xfId="38511"/>
    <cellStyle name="Ввод  16 2 3 3" xfId="13621"/>
    <cellStyle name="Ввод  16 2 3 3 2" xfId="18904"/>
    <cellStyle name="Ввод  16 2 3 3 2 2" xfId="32714"/>
    <cellStyle name="Ввод  16 2 3 3 2 3" xfId="42584"/>
    <cellStyle name="Ввод  16 2 3 3 3" xfId="27443"/>
    <cellStyle name="Ввод  16 2 3 3 4" xfId="37318"/>
    <cellStyle name="Ввод  16 2 3 4" xfId="20757"/>
    <cellStyle name="Ввод  16 2 3 5" xfId="21313"/>
    <cellStyle name="Ввод  16 2 3 6" xfId="21769"/>
    <cellStyle name="Ввод  16 2 3 7" xfId="22290"/>
    <cellStyle name="Ввод  16 2 3 8" xfId="22506"/>
    <cellStyle name="Ввод  16 2 3 9" xfId="23994"/>
    <cellStyle name="Ввод  16 2 4" xfId="11601"/>
    <cellStyle name="Ввод  16 2 4 2" xfId="14499"/>
    <cellStyle name="Ввод  16 2 4 2 2" xfId="19782"/>
    <cellStyle name="Ввод  16 2 4 2 2 2" xfId="33592"/>
    <cellStyle name="Ввод  16 2 4 2 2 3" xfId="43460"/>
    <cellStyle name="Ввод  16 2 4 2 3" xfId="28319"/>
    <cellStyle name="Ввод  16 2 4 2 4" xfId="38194"/>
    <cellStyle name="Ввод  16 2 4 3" xfId="15732"/>
    <cellStyle name="Ввод  16 2 4 3 2" xfId="22874"/>
    <cellStyle name="Ввод  16 2 4 3 3" xfId="24364"/>
    <cellStyle name="Ввод  16 2 4 3 4" xfId="29551"/>
    <cellStyle name="Ввод  16 2 4 3 5" xfId="39426"/>
    <cellStyle name="Ввод  16 2 4 4" xfId="23354"/>
    <cellStyle name="Ввод  16 2 4 5" xfId="25475"/>
    <cellStyle name="Ввод  16 2 4 6" xfId="35350"/>
    <cellStyle name="Ввод  16 2 5" xfId="12246"/>
    <cellStyle name="Ввод  16 2 5 2" xfId="17578"/>
    <cellStyle name="Ввод  16 2 5 2 2" xfId="31388"/>
    <cellStyle name="Ввод  16 2 5 2 3" xfId="41261"/>
    <cellStyle name="Ввод  16 2 5 3" xfId="20421"/>
    <cellStyle name="Ввод  16 2 5 4" xfId="26120"/>
    <cellStyle name="Ввод  16 2 5 5" xfId="35995"/>
    <cellStyle name="Ввод  16 2 6" xfId="13232"/>
    <cellStyle name="Ввод  16 2 6 2" xfId="16033"/>
    <cellStyle name="Ввод  16 2 6 2 2" xfId="29851"/>
    <cellStyle name="Ввод  16 2 6 2 3" xfId="39726"/>
    <cellStyle name="Ввод  16 2 6 3" xfId="18564"/>
    <cellStyle name="Ввод  16 2 6 3 2" xfId="32374"/>
    <cellStyle name="Ввод  16 2 6 3 3" xfId="42246"/>
    <cellStyle name="Ввод  16 2 6 4" xfId="27105"/>
    <cellStyle name="Ввод  16 2 6 5" xfId="36980"/>
    <cellStyle name="Ввод  16 2 7" xfId="13082"/>
    <cellStyle name="Ввод  16 2 7 2" xfId="18414"/>
    <cellStyle name="Ввод  16 2 7 2 2" xfId="32224"/>
    <cellStyle name="Ввод  16 2 7 2 3" xfId="42096"/>
    <cellStyle name="Ввод  16 2 7 3" xfId="26955"/>
    <cellStyle name="Ввод  16 2 7 4" xfId="36830"/>
    <cellStyle name="Ввод  16 2 8" xfId="17187"/>
    <cellStyle name="Ввод  16 2 8 2" xfId="21649"/>
    <cellStyle name="Ввод  16 2 8 3" xfId="30998"/>
    <cellStyle name="Ввод  16 2 8 4" xfId="40872"/>
    <cellStyle name="Ввод  16 2 9" xfId="21964"/>
    <cellStyle name="Ввод  16 20" xfId="13081"/>
    <cellStyle name="Ввод  16 20 2" xfId="18413"/>
    <cellStyle name="Ввод  16 20 2 2" xfId="32223"/>
    <cellStyle name="Ввод  16 20 2 3" xfId="42095"/>
    <cellStyle name="Ввод  16 20 3" xfId="26954"/>
    <cellStyle name="Ввод  16 20 4" xfId="36829"/>
    <cellStyle name="Ввод  16 21" xfId="17186"/>
    <cellStyle name="Ввод  16 21 2" xfId="21188"/>
    <cellStyle name="Ввод  16 21 3" xfId="30997"/>
    <cellStyle name="Ввод  16 21 4" xfId="40871"/>
    <cellStyle name="Ввод  16 22" xfId="21611"/>
    <cellStyle name="Ввод  16 23" xfId="21963"/>
    <cellStyle name="Ввод  16 24" xfId="23696"/>
    <cellStyle name="Ввод  16 25" xfId="24612"/>
    <cellStyle name="Ввод  16 26" xfId="34237"/>
    <cellStyle name="Ввод  16 27" xfId="34650"/>
    <cellStyle name="Ввод  16 3" xfId="1269"/>
    <cellStyle name="Ввод  16 3 10" xfId="23698"/>
    <cellStyle name="Ввод  16 3 11" xfId="24614"/>
    <cellStyle name="Ввод  16 3 12" xfId="34239"/>
    <cellStyle name="Ввод  16 3 13" xfId="34648"/>
    <cellStyle name="Ввод  16 3 2" xfId="7759"/>
    <cellStyle name="Ввод  16 3 3" xfId="11919"/>
    <cellStyle name="Ввод  16 3 3 10" xfId="25793"/>
    <cellStyle name="Ввод  16 3 3 11" xfId="35668"/>
    <cellStyle name="Ввод  16 3 3 2" xfId="14817"/>
    <cellStyle name="Ввод  16 3 3 2 2" xfId="17031"/>
    <cellStyle name="Ввод  16 3 3 2 2 2" xfId="23083"/>
    <cellStyle name="Ввод  16 3 3 2 2 3" xfId="30845"/>
    <cellStyle name="Ввод  16 3 3 2 2 4" xfId="40720"/>
    <cellStyle name="Ввод  16 3 3 2 3" xfId="20100"/>
    <cellStyle name="Ввод  16 3 3 2 3 2" xfId="33910"/>
    <cellStyle name="Ввод  16 3 3 2 3 3" xfId="43778"/>
    <cellStyle name="Ввод  16 3 3 2 4" xfId="28637"/>
    <cellStyle name="Ввод  16 3 3 2 5" xfId="38512"/>
    <cellStyle name="Ввод  16 3 3 3" xfId="14449"/>
    <cellStyle name="Ввод  16 3 3 3 2" xfId="19732"/>
    <cellStyle name="Ввод  16 3 3 3 2 2" xfId="33542"/>
    <cellStyle name="Ввод  16 3 3 3 2 3" xfId="43410"/>
    <cellStyle name="Ввод  16 3 3 3 3" xfId="28269"/>
    <cellStyle name="Ввод  16 3 3 3 4" xfId="38144"/>
    <cellStyle name="Ввод  16 3 3 4" xfId="20758"/>
    <cellStyle name="Ввод  16 3 3 5" xfId="21314"/>
    <cellStyle name="Ввод  16 3 3 6" xfId="21770"/>
    <cellStyle name="Ввод  16 3 3 7" xfId="22291"/>
    <cellStyle name="Ввод  16 3 3 8" xfId="22507"/>
    <cellStyle name="Ввод  16 3 3 9" xfId="23995"/>
    <cellStyle name="Ввод  16 3 4" xfId="11602"/>
    <cellStyle name="Ввод  16 3 4 2" xfId="14500"/>
    <cellStyle name="Ввод  16 3 4 2 2" xfId="19783"/>
    <cellStyle name="Ввод  16 3 4 2 2 2" xfId="33593"/>
    <cellStyle name="Ввод  16 3 4 2 2 3" xfId="43461"/>
    <cellStyle name="Ввод  16 3 4 2 3" xfId="28320"/>
    <cellStyle name="Ввод  16 3 4 2 4" xfId="38195"/>
    <cellStyle name="Ввод  16 3 4 3" xfId="15733"/>
    <cellStyle name="Ввод  16 3 4 3 2" xfId="22875"/>
    <cellStyle name="Ввод  16 3 4 3 3" xfId="24365"/>
    <cellStyle name="Ввод  16 3 4 3 4" xfId="29552"/>
    <cellStyle name="Ввод  16 3 4 3 5" xfId="39427"/>
    <cellStyle name="Ввод  16 3 4 4" xfId="23355"/>
    <cellStyle name="Ввод  16 3 4 5" xfId="25476"/>
    <cellStyle name="Ввод  16 3 4 6" xfId="35351"/>
    <cellStyle name="Ввод  16 3 5" xfId="12247"/>
    <cellStyle name="Ввод  16 3 5 2" xfId="17579"/>
    <cellStyle name="Ввод  16 3 5 2 2" xfId="31389"/>
    <cellStyle name="Ввод  16 3 5 2 3" xfId="41262"/>
    <cellStyle name="Ввод  16 3 5 3" xfId="20422"/>
    <cellStyle name="Ввод  16 3 5 4" xfId="26121"/>
    <cellStyle name="Ввод  16 3 5 5" xfId="35996"/>
    <cellStyle name="Ввод  16 3 6" xfId="13233"/>
    <cellStyle name="Ввод  16 3 6 2" xfId="16034"/>
    <cellStyle name="Ввод  16 3 6 2 2" xfId="29852"/>
    <cellStyle name="Ввод  16 3 6 2 3" xfId="39727"/>
    <cellStyle name="Ввод  16 3 6 3" xfId="18565"/>
    <cellStyle name="Ввод  16 3 6 3 2" xfId="32375"/>
    <cellStyle name="Ввод  16 3 6 3 3" xfId="42247"/>
    <cellStyle name="Ввод  16 3 6 4" xfId="27106"/>
    <cellStyle name="Ввод  16 3 6 5" xfId="36981"/>
    <cellStyle name="Ввод  16 3 7" xfId="13083"/>
    <cellStyle name="Ввод  16 3 7 2" xfId="18415"/>
    <cellStyle name="Ввод  16 3 7 2 2" xfId="32225"/>
    <cellStyle name="Ввод  16 3 7 2 3" xfId="42097"/>
    <cellStyle name="Ввод  16 3 7 3" xfId="26956"/>
    <cellStyle name="Ввод  16 3 7 4" xfId="36831"/>
    <cellStyle name="Ввод  16 3 8" xfId="17188"/>
    <cellStyle name="Ввод  16 3 8 2" xfId="21650"/>
    <cellStyle name="Ввод  16 3 8 3" xfId="30999"/>
    <cellStyle name="Ввод  16 3 8 4" xfId="40873"/>
    <cellStyle name="Ввод  16 3 9" xfId="21965"/>
    <cellStyle name="Ввод  16 4" xfId="7752"/>
    <cellStyle name="Ввод  16 5" xfId="7760"/>
    <cellStyle name="Ввод  16 6" xfId="7761"/>
    <cellStyle name="Ввод  16 7" xfId="7762"/>
    <cellStyle name="Ввод  16 8" xfId="7763"/>
    <cellStyle name="Ввод  16 9" xfId="7764"/>
    <cellStyle name="Ввод  17" xfId="1270"/>
    <cellStyle name="Ввод  17 10" xfId="7766"/>
    <cellStyle name="Ввод  17 11" xfId="7767"/>
    <cellStyle name="Ввод  17 12" xfId="7768"/>
    <cellStyle name="Ввод  17 13" xfId="7769"/>
    <cellStyle name="Ввод  17 14" xfId="7770"/>
    <cellStyle name="Ввод  17 15" xfId="11849"/>
    <cellStyle name="Ввод  17 15 10" xfId="25723"/>
    <cellStyle name="Ввод  17 15 11" xfId="35598"/>
    <cellStyle name="Ввод  17 15 2" xfId="14747"/>
    <cellStyle name="Ввод  17 15 2 2" xfId="16961"/>
    <cellStyle name="Ввод  17 15 2 2 2" xfId="23013"/>
    <cellStyle name="Ввод  17 15 2 2 3" xfId="30775"/>
    <cellStyle name="Ввод  17 15 2 2 4" xfId="40650"/>
    <cellStyle name="Ввод  17 15 2 3" xfId="20030"/>
    <cellStyle name="Ввод  17 15 2 3 2" xfId="33840"/>
    <cellStyle name="Ввод  17 15 2 3 3" xfId="43708"/>
    <cellStyle name="Ввод  17 15 2 4" xfId="28567"/>
    <cellStyle name="Ввод  17 15 2 5" xfId="38442"/>
    <cellStyle name="Ввод  17 15 3" xfId="14268"/>
    <cellStyle name="Ввод  17 15 3 2" xfId="19551"/>
    <cellStyle name="Ввод  17 15 3 2 2" xfId="33361"/>
    <cellStyle name="Ввод  17 15 3 2 3" xfId="43230"/>
    <cellStyle name="Ввод  17 15 3 3" xfId="28089"/>
    <cellStyle name="Ввод  17 15 3 4" xfId="37964"/>
    <cellStyle name="Ввод  17 15 4" xfId="20688"/>
    <cellStyle name="Ввод  17 15 5" xfId="21244"/>
    <cellStyle name="Ввод  17 15 6" xfId="21716"/>
    <cellStyle name="Ввод  17 15 7" xfId="22253"/>
    <cellStyle name="Ввод  17 15 8" xfId="22421"/>
    <cellStyle name="Ввод  17 15 9" xfId="23909"/>
    <cellStyle name="Ввод  17 16" xfId="12073"/>
    <cellStyle name="Ввод  17 16 10" xfId="24149"/>
    <cellStyle name="Ввод  17 16 11" xfId="25947"/>
    <cellStyle name="Ввод  17 16 12" xfId="35822"/>
    <cellStyle name="Ввод  17 16 2" xfId="14971"/>
    <cellStyle name="Ввод  17 16 2 2" xfId="20254"/>
    <cellStyle name="Ввод  17 16 2 2 2" xfId="34064"/>
    <cellStyle name="Ввод  17 16 2 2 3" xfId="43932"/>
    <cellStyle name="Ввод  17 16 2 3" xfId="23525"/>
    <cellStyle name="Ввод  17 16 2 4" xfId="28791"/>
    <cellStyle name="Ввод  17 16 2 5" xfId="38666"/>
    <cellStyle name="Ввод  17 16 3" xfId="20560"/>
    <cellStyle name="Ввод  17 16 4" xfId="20896"/>
    <cellStyle name="Ввод  17 16 5" xfId="21026"/>
    <cellStyle name="Ввод  17 16 6" xfId="21452"/>
    <cellStyle name="Ввод  17 16 7" xfId="21852"/>
    <cellStyle name="Ввод  17 16 8" xfId="22357"/>
    <cellStyle name="Ввод  17 16 9" xfId="22645"/>
    <cellStyle name="Ввод  17 17" xfId="12153"/>
    <cellStyle name="Ввод  17 17 10" xfId="24229"/>
    <cellStyle name="Ввод  17 17 11" xfId="26027"/>
    <cellStyle name="Ввод  17 17 12" xfId="35902"/>
    <cellStyle name="Ввод  17 17 2" xfId="15051"/>
    <cellStyle name="Ввод  17 17 2 2" xfId="20334"/>
    <cellStyle name="Ввод  17 17 2 2 2" xfId="34144"/>
    <cellStyle name="Ввод  17 17 2 2 3" xfId="44012"/>
    <cellStyle name="Ввод  17 17 2 3" xfId="23605"/>
    <cellStyle name="Ввод  17 17 2 4" xfId="28871"/>
    <cellStyle name="Ввод  17 17 2 5" xfId="38746"/>
    <cellStyle name="Ввод  17 17 3" xfId="20624"/>
    <cellStyle name="Ввод  17 17 4" xfId="20960"/>
    <cellStyle name="Ввод  17 17 5" xfId="21074"/>
    <cellStyle name="Ввод  17 17 6" xfId="21532"/>
    <cellStyle name="Ввод  17 17 7" xfId="21900"/>
    <cellStyle name="Ввод  17 17 8" xfId="22389"/>
    <cellStyle name="Ввод  17 17 9" xfId="22725"/>
    <cellStyle name="Ввод  17 18" xfId="11603"/>
    <cellStyle name="Ввод  17 18 2" xfId="14501"/>
    <cellStyle name="Ввод  17 18 2 2" xfId="19784"/>
    <cellStyle name="Ввод  17 18 2 2 2" xfId="33594"/>
    <cellStyle name="Ввод  17 18 2 2 3" xfId="43462"/>
    <cellStyle name="Ввод  17 18 2 3" xfId="28321"/>
    <cellStyle name="Ввод  17 18 2 4" xfId="38196"/>
    <cellStyle name="Ввод  17 18 3" xfId="15734"/>
    <cellStyle name="Ввод  17 18 3 2" xfId="22854"/>
    <cellStyle name="Ввод  17 18 3 3" xfId="24366"/>
    <cellStyle name="Ввод  17 18 3 4" xfId="29553"/>
    <cellStyle name="Ввод  17 18 3 5" xfId="39428"/>
    <cellStyle name="Ввод  17 18 4" xfId="23334"/>
    <cellStyle name="Ввод  17 18 5" xfId="25477"/>
    <cellStyle name="Ввод  17 18 6" xfId="35352"/>
    <cellStyle name="Ввод  17 19" xfId="13234"/>
    <cellStyle name="Ввод  17 19 2" xfId="16035"/>
    <cellStyle name="Ввод  17 19 2 2" xfId="29853"/>
    <cellStyle name="Ввод  17 19 2 3" xfId="39728"/>
    <cellStyle name="Ввод  17 19 3" xfId="18566"/>
    <cellStyle name="Ввод  17 19 3 2" xfId="32376"/>
    <cellStyle name="Ввод  17 19 3 3" xfId="42248"/>
    <cellStyle name="Ввод  17 19 4" xfId="27107"/>
    <cellStyle name="Ввод  17 19 5" xfId="36982"/>
    <cellStyle name="Ввод  17 2" xfId="1271"/>
    <cellStyle name="Ввод  17 2 10" xfId="23700"/>
    <cellStyle name="Ввод  17 2 11" xfId="24616"/>
    <cellStyle name="Ввод  17 2 12" xfId="34241"/>
    <cellStyle name="Ввод  17 2 13" xfId="34646"/>
    <cellStyle name="Ввод  17 2 2" xfId="7771"/>
    <cellStyle name="Ввод  17 2 3" xfId="11920"/>
    <cellStyle name="Ввод  17 2 3 10" xfId="25794"/>
    <cellStyle name="Ввод  17 2 3 11" xfId="35669"/>
    <cellStyle name="Ввод  17 2 3 2" xfId="14818"/>
    <cellStyle name="Ввод  17 2 3 2 2" xfId="17032"/>
    <cellStyle name="Ввод  17 2 3 2 2 2" xfId="23084"/>
    <cellStyle name="Ввод  17 2 3 2 2 3" xfId="30846"/>
    <cellStyle name="Ввод  17 2 3 2 2 4" xfId="40721"/>
    <cellStyle name="Ввод  17 2 3 2 3" xfId="20101"/>
    <cellStyle name="Ввод  17 2 3 2 3 2" xfId="33911"/>
    <cellStyle name="Ввод  17 2 3 2 3 3" xfId="43779"/>
    <cellStyle name="Ввод  17 2 3 2 4" xfId="28638"/>
    <cellStyle name="Ввод  17 2 3 2 5" xfId="38513"/>
    <cellStyle name="Ввод  17 2 3 3" xfId="13036"/>
    <cellStyle name="Ввод  17 2 3 3 2" xfId="18368"/>
    <cellStyle name="Ввод  17 2 3 3 2 2" xfId="32178"/>
    <cellStyle name="Ввод  17 2 3 3 2 3" xfId="42051"/>
    <cellStyle name="Ввод  17 2 3 3 3" xfId="26910"/>
    <cellStyle name="Ввод  17 2 3 3 4" xfId="36785"/>
    <cellStyle name="Ввод  17 2 3 4" xfId="20759"/>
    <cellStyle name="Ввод  17 2 3 5" xfId="21315"/>
    <cellStyle name="Ввод  17 2 3 6" xfId="21771"/>
    <cellStyle name="Ввод  17 2 3 7" xfId="22292"/>
    <cellStyle name="Ввод  17 2 3 8" xfId="22508"/>
    <cellStyle name="Ввод  17 2 3 9" xfId="23996"/>
    <cellStyle name="Ввод  17 2 4" xfId="11604"/>
    <cellStyle name="Ввод  17 2 4 2" xfId="14502"/>
    <cellStyle name="Ввод  17 2 4 2 2" xfId="19785"/>
    <cellStyle name="Ввод  17 2 4 2 2 2" xfId="33595"/>
    <cellStyle name="Ввод  17 2 4 2 2 3" xfId="43463"/>
    <cellStyle name="Ввод  17 2 4 2 3" xfId="28322"/>
    <cellStyle name="Ввод  17 2 4 2 4" xfId="38197"/>
    <cellStyle name="Ввод  17 2 4 3" xfId="15735"/>
    <cellStyle name="Ввод  17 2 4 3 2" xfId="22876"/>
    <cellStyle name="Ввод  17 2 4 3 3" xfId="24367"/>
    <cellStyle name="Ввод  17 2 4 3 4" xfId="29554"/>
    <cellStyle name="Ввод  17 2 4 3 5" xfId="39429"/>
    <cellStyle name="Ввод  17 2 4 4" xfId="23356"/>
    <cellStyle name="Ввод  17 2 4 5" xfId="25478"/>
    <cellStyle name="Ввод  17 2 4 6" xfId="35353"/>
    <cellStyle name="Ввод  17 2 5" xfId="12248"/>
    <cellStyle name="Ввод  17 2 5 2" xfId="17580"/>
    <cellStyle name="Ввод  17 2 5 2 2" xfId="31390"/>
    <cellStyle name="Ввод  17 2 5 2 3" xfId="41263"/>
    <cellStyle name="Ввод  17 2 5 3" xfId="20423"/>
    <cellStyle name="Ввод  17 2 5 4" xfId="26122"/>
    <cellStyle name="Ввод  17 2 5 5" xfId="35997"/>
    <cellStyle name="Ввод  17 2 6" xfId="13235"/>
    <cellStyle name="Ввод  17 2 6 2" xfId="16036"/>
    <cellStyle name="Ввод  17 2 6 2 2" xfId="29854"/>
    <cellStyle name="Ввод  17 2 6 2 3" xfId="39729"/>
    <cellStyle name="Ввод  17 2 6 3" xfId="18567"/>
    <cellStyle name="Ввод  17 2 6 3 2" xfId="32377"/>
    <cellStyle name="Ввод  17 2 6 3 3" xfId="42249"/>
    <cellStyle name="Ввод  17 2 6 4" xfId="27108"/>
    <cellStyle name="Ввод  17 2 6 5" xfId="36983"/>
    <cellStyle name="Ввод  17 2 7" xfId="13085"/>
    <cellStyle name="Ввод  17 2 7 2" xfId="18417"/>
    <cellStyle name="Ввод  17 2 7 2 2" xfId="32227"/>
    <cellStyle name="Ввод  17 2 7 2 3" xfId="42099"/>
    <cellStyle name="Ввод  17 2 7 3" xfId="26958"/>
    <cellStyle name="Ввод  17 2 7 4" xfId="36833"/>
    <cellStyle name="Ввод  17 2 8" xfId="17190"/>
    <cellStyle name="Ввод  17 2 8 2" xfId="21651"/>
    <cellStyle name="Ввод  17 2 8 3" xfId="31001"/>
    <cellStyle name="Ввод  17 2 8 4" xfId="40875"/>
    <cellStyle name="Ввод  17 2 9" xfId="21967"/>
    <cellStyle name="Ввод  17 20" xfId="13084"/>
    <cellStyle name="Ввод  17 20 2" xfId="18416"/>
    <cellStyle name="Ввод  17 20 2 2" xfId="32226"/>
    <cellStyle name="Ввод  17 20 2 3" xfId="42098"/>
    <cellStyle name="Ввод  17 20 3" xfId="26957"/>
    <cellStyle name="Ввод  17 20 4" xfId="36832"/>
    <cellStyle name="Ввод  17 21" xfId="17189"/>
    <cellStyle name="Ввод  17 21 2" xfId="21187"/>
    <cellStyle name="Ввод  17 21 3" xfId="31000"/>
    <cellStyle name="Ввод  17 21 4" xfId="40874"/>
    <cellStyle name="Ввод  17 22" xfId="21612"/>
    <cellStyle name="Ввод  17 23" xfId="21966"/>
    <cellStyle name="Ввод  17 24" xfId="23699"/>
    <cellStyle name="Ввод  17 25" xfId="24615"/>
    <cellStyle name="Ввод  17 26" xfId="34240"/>
    <cellStyle name="Ввод  17 27" xfId="34647"/>
    <cellStyle name="Ввод  17 3" xfId="1272"/>
    <cellStyle name="Ввод  17 3 10" xfId="23701"/>
    <cellStyle name="Ввод  17 3 11" xfId="24617"/>
    <cellStyle name="Ввод  17 3 12" xfId="34242"/>
    <cellStyle name="Ввод  17 3 13" xfId="34645"/>
    <cellStyle name="Ввод  17 3 2" xfId="7772"/>
    <cellStyle name="Ввод  17 3 3" xfId="11921"/>
    <cellStyle name="Ввод  17 3 3 10" xfId="25795"/>
    <cellStyle name="Ввод  17 3 3 11" xfId="35670"/>
    <cellStyle name="Ввод  17 3 3 2" xfId="14819"/>
    <cellStyle name="Ввод  17 3 3 2 2" xfId="17033"/>
    <cellStyle name="Ввод  17 3 3 2 2 2" xfId="23085"/>
    <cellStyle name="Ввод  17 3 3 2 2 3" xfId="30847"/>
    <cellStyle name="Ввод  17 3 3 2 2 4" xfId="40722"/>
    <cellStyle name="Ввод  17 3 3 2 3" xfId="20102"/>
    <cellStyle name="Ввод  17 3 3 2 3 2" xfId="33912"/>
    <cellStyle name="Ввод  17 3 3 2 3 3" xfId="43780"/>
    <cellStyle name="Ввод  17 3 3 2 4" xfId="28639"/>
    <cellStyle name="Ввод  17 3 3 2 5" xfId="38514"/>
    <cellStyle name="Ввод  17 3 3 3" xfId="14312"/>
    <cellStyle name="Ввод  17 3 3 3 2" xfId="19595"/>
    <cellStyle name="Ввод  17 3 3 3 2 2" xfId="33405"/>
    <cellStyle name="Ввод  17 3 3 3 2 3" xfId="43274"/>
    <cellStyle name="Ввод  17 3 3 3 3" xfId="28133"/>
    <cellStyle name="Ввод  17 3 3 3 4" xfId="38008"/>
    <cellStyle name="Ввод  17 3 3 4" xfId="20760"/>
    <cellStyle name="Ввод  17 3 3 5" xfId="21316"/>
    <cellStyle name="Ввод  17 3 3 6" xfId="21772"/>
    <cellStyle name="Ввод  17 3 3 7" xfId="22293"/>
    <cellStyle name="Ввод  17 3 3 8" xfId="22509"/>
    <cellStyle name="Ввод  17 3 3 9" xfId="23997"/>
    <cellStyle name="Ввод  17 3 4" xfId="11605"/>
    <cellStyle name="Ввод  17 3 4 2" xfId="14503"/>
    <cellStyle name="Ввод  17 3 4 2 2" xfId="19786"/>
    <cellStyle name="Ввод  17 3 4 2 2 2" xfId="33596"/>
    <cellStyle name="Ввод  17 3 4 2 2 3" xfId="43464"/>
    <cellStyle name="Ввод  17 3 4 2 3" xfId="28323"/>
    <cellStyle name="Ввод  17 3 4 2 4" xfId="38198"/>
    <cellStyle name="Ввод  17 3 4 3" xfId="15736"/>
    <cellStyle name="Ввод  17 3 4 3 2" xfId="22877"/>
    <cellStyle name="Ввод  17 3 4 3 3" xfId="24368"/>
    <cellStyle name="Ввод  17 3 4 3 4" xfId="29555"/>
    <cellStyle name="Ввод  17 3 4 3 5" xfId="39430"/>
    <cellStyle name="Ввод  17 3 4 4" xfId="23357"/>
    <cellStyle name="Ввод  17 3 4 5" xfId="25479"/>
    <cellStyle name="Ввод  17 3 4 6" xfId="35354"/>
    <cellStyle name="Ввод  17 3 5" xfId="12249"/>
    <cellStyle name="Ввод  17 3 5 2" xfId="17581"/>
    <cellStyle name="Ввод  17 3 5 2 2" xfId="31391"/>
    <cellStyle name="Ввод  17 3 5 2 3" xfId="41264"/>
    <cellStyle name="Ввод  17 3 5 3" xfId="20424"/>
    <cellStyle name="Ввод  17 3 5 4" xfId="26123"/>
    <cellStyle name="Ввод  17 3 5 5" xfId="35998"/>
    <cellStyle name="Ввод  17 3 6" xfId="13236"/>
    <cellStyle name="Ввод  17 3 6 2" xfId="16037"/>
    <cellStyle name="Ввод  17 3 6 2 2" xfId="29855"/>
    <cellStyle name="Ввод  17 3 6 2 3" xfId="39730"/>
    <cellStyle name="Ввод  17 3 6 3" xfId="18568"/>
    <cellStyle name="Ввод  17 3 6 3 2" xfId="32378"/>
    <cellStyle name="Ввод  17 3 6 3 3" xfId="42250"/>
    <cellStyle name="Ввод  17 3 6 4" xfId="27109"/>
    <cellStyle name="Ввод  17 3 6 5" xfId="36984"/>
    <cellStyle name="Ввод  17 3 7" xfId="13086"/>
    <cellStyle name="Ввод  17 3 7 2" xfId="18418"/>
    <cellStyle name="Ввод  17 3 7 2 2" xfId="32228"/>
    <cellStyle name="Ввод  17 3 7 2 3" xfId="42100"/>
    <cellStyle name="Ввод  17 3 7 3" xfId="26959"/>
    <cellStyle name="Ввод  17 3 7 4" xfId="36834"/>
    <cellStyle name="Ввод  17 3 8" xfId="17191"/>
    <cellStyle name="Ввод  17 3 8 2" xfId="21652"/>
    <cellStyle name="Ввод  17 3 8 3" xfId="31002"/>
    <cellStyle name="Ввод  17 3 8 4" xfId="40876"/>
    <cellStyle name="Ввод  17 3 9" xfId="21968"/>
    <cellStyle name="Ввод  17 4" xfId="7765"/>
    <cellStyle name="Ввод  17 5" xfId="7773"/>
    <cellStyle name="Ввод  17 6" xfId="7774"/>
    <cellStyle name="Ввод  17 7" xfId="7775"/>
    <cellStyle name="Ввод  17 8" xfId="7776"/>
    <cellStyle name="Ввод  17 9" xfId="7777"/>
    <cellStyle name="Ввод  18" xfId="1273"/>
    <cellStyle name="Ввод  18 10" xfId="21969"/>
    <cellStyle name="Ввод  18 11" xfId="23702"/>
    <cellStyle name="Ввод  18 12" xfId="24618"/>
    <cellStyle name="Ввод  18 13" xfId="34243"/>
    <cellStyle name="Ввод  18 14" xfId="34644"/>
    <cellStyle name="Ввод  18 2" xfId="1274"/>
    <cellStyle name="Ввод  18 2 10" xfId="23703"/>
    <cellStyle name="Ввод  18 2 11" xfId="24619"/>
    <cellStyle name="Ввод  18 2 12" xfId="34726"/>
    <cellStyle name="Ввод  18 2 2" xfId="7779"/>
    <cellStyle name="Ввод  18 2 3" xfId="11923"/>
    <cellStyle name="Ввод  18 2 3 10" xfId="25797"/>
    <cellStyle name="Ввод  18 2 3 11" xfId="35672"/>
    <cellStyle name="Ввод  18 2 3 2" xfId="14821"/>
    <cellStyle name="Ввод  18 2 3 2 2" xfId="17035"/>
    <cellStyle name="Ввод  18 2 3 2 2 2" xfId="23087"/>
    <cellStyle name="Ввод  18 2 3 2 2 3" xfId="30849"/>
    <cellStyle name="Ввод  18 2 3 2 2 4" xfId="40724"/>
    <cellStyle name="Ввод  18 2 3 2 3" xfId="20104"/>
    <cellStyle name="Ввод  18 2 3 2 3 2" xfId="33914"/>
    <cellStyle name="Ввод  18 2 3 2 3 3" xfId="43782"/>
    <cellStyle name="Ввод  18 2 3 2 4" xfId="28641"/>
    <cellStyle name="Ввод  18 2 3 2 5" xfId="38516"/>
    <cellStyle name="Ввод  18 2 3 3" xfId="14314"/>
    <cellStyle name="Ввод  18 2 3 3 2" xfId="19597"/>
    <cellStyle name="Ввод  18 2 3 3 2 2" xfId="33407"/>
    <cellStyle name="Ввод  18 2 3 3 2 3" xfId="43276"/>
    <cellStyle name="Ввод  18 2 3 3 3" xfId="28135"/>
    <cellStyle name="Ввод  18 2 3 3 4" xfId="38010"/>
    <cellStyle name="Ввод  18 2 3 4" xfId="20762"/>
    <cellStyle name="Ввод  18 2 3 5" xfId="21318"/>
    <cellStyle name="Ввод  18 2 3 6" xfId="21774"/>
    <cellStyle name="Ввод  18 2 3 7" xfId="22295"/>
    <cellStyle name="Ввод  18 2 3 8" xfId="22511"/>
    <cellStyle name="Ввод  18 2 3 9" xfId="23999"/>
    <cellStyle name="Ввод  18 2 4" xfId="11607"/>
    <cellStyle name="Ввод  18 2 4 2" xfId="14505"/>
    <cellStyle name="Ввод  18 2 4 2 2" xfId="19788"/>
    <cellStyle name="Ввод  18 2 4 2 2 2" xfId="33598"/>
    <cellStyle name="Ввод  18 2 4 2 2 3" xfId="43466"/>
    <cellStyle name="Ввод  18 2 4 2 3" xfId="28325"/>
    <cellStyle name="Ввод  18 2 4 2 4" xfId="38200"/>
    <cellStyle name="Ввод  18 2 4 3" xfId="15738"/>
    <cellStyle name="Ввод  18 2 4 3 2" xfId="22879"/>
    <cellStyle name="Ввод  18 2 4 3 3" xfId="24370"/>
    <cellStyle name="Ввод  18 2 4 3 4" xfId="29557"/>
    <cellStyle name="Ввод  18 2 4 3 5" xfId="39432"/>
    <cellStyle name="Ввод  18 2 4 4" xfId="23359"/>
    <cellStyle name="Ввод  18 2 4 5" xfId="25481"/>
    <cellStyle name="Ввод  18 2 4 6" xfId="35356"/>
    <cellStyle name="Ввод  18 2 5" xfId="12233"/>
    <cellStyle name="Ввод  18 2 5 2" xfId="17565"/>
    <cellStyle name="Ввод  18 2 5 2 2" xfId="31375"/>
    <cellStyle name="Ввод  18 2 5 2 3" xfId="41248"/>
    <cellStyle name="Ввод  18 2 5 3" xfId="20426"/>
    <cellStyle name="Ввод  18 2 5 4" xfId="26107"/>
    <cellStyle name="Ввод  18 2 5 5" xfId="35982"/>
    <cellStyle name="Ввод  18 2 6" xfId="13062"/>
    <cellStyle name="Ввод  18 2 6 2" xfId="16013"/>
    <cellStyle name="Ввод  18 2 6 2 2" xfId="29831"/>
    <cellStyle name="Ввод  18 2 6 2 3" xfId="39706"/>
    <cellStyle name="Ввод  18 2 6 3" xfId="18394"/>
    <cellStyle name="Ввод  18 2 6 3 2" xfId="32204"/>
    <cellStyle name="Ввод  18 2 6 3 3" xfId="42076"/>
    <cellStyle name="Ввод  18 2 6 4" xfId="26935"/>
    <cellStyle name="Ввод  18 2 6 5" xfId="36810"/>
    <cellStyle name="Ввод  18 2 7" xfId="21195"/>
    <cellStyle name="Ввод  18 2 8" xfId="21654"/>
    <cellStyle name="Ввод  18 2 9" xfId="21944"/>
    <cellStyle name="Ввод  18 3" xfId="7778"/>
    <cellStyle name="Ввод  18 4" xfId="11922"/>
    <cellStyle name="Ввод  18 4 10" xfId="25796"/>
    <cellStyle name="Ввод  18 4 11" xfId="35671"/>
    <cellStyle name="Ввод  18 4 2" xfId="14820"/>
    <cellStyle name="Ввод  18 4 2 2" xfId="17034"/>
    <cellStyle name="Ввод  18 4 2 2 2" xfId="23086"/>
    <cellStyle name="Ввод  18 4 2 2 3" xfId="30848"/>
    <cellStyle name="Ввод  18 4 2 2 4" xfId="40723"/>
    <cellStyle name="Ввод  18 4 2 3" xfId="20103"/>
    <cellStyle name="Ввод  18 4 2 3 2" xfId="33913"/>
    <cellStyle name="Ввод  18 4 2 3 3" xfId="43781"/>
    <cellStyle name="Ввод  18 4 2 4" xfId="28640"/>
    <cellStyle name="Ввод  18 4 2 5" xfId="38515"/>
    <cellStyle name="Ввод  18 4 3" xfId="14313"/>
    <cellStyle name="Ввод  18 4 3 2" xfId="19596"/>
    <cellStyle name="Ввод  18 4 3 2 2" xfId="33406"/>
    <cellStyle name="Ввод  18 4 3 2 3" xfId="43275"/>
    <cellStyle name="Ввод  18 4 3 3" xfId="28134"/>
    <cellStyle name="Ввод  18 4 3 4" xfId="38009"/>
    <cellStyle name="Ввод  18 4 4" xfId="20761"/>
    <cellStyle name="Ввод  18 4 5" xfId="21317"/>
    <cellStyle name="Ввод  18 4 6" xfId="21773"/>
    <cellStyle name="Ввод  18 4 7" xfId="22294"/>
    <cellStyle name="Ввод  18 4 8" xfId="22510"/>
    <cellStyle name="Ввод  18 4 9" xfId="23998"/>
    <cellStyle name="Ввод  18 5" xfId="11606"/>
    <cellStyle name="Ввод  18 5 2" xfId="14504"/>
    <cellStyle name="Ввод  18 5 2 2" xfId="19787"/>
    <cellStyle name="Ввод  18 5 2 2 2" xfId="33597"/>
    <cellStyle name="Ввод  18 5 2 2 3" xfId="43465"/>
    <cellStyle name="Ввод  18 5 2 3" xfId="28324"/>
    <cellStyle name="Ввод  18 5 2 4" xfId="38199"/>
    <cellStyle name="Ввод  18 5 3" xfId="15737"/>
    <cellStyle name="Ввод  18 5 3 2" xfId="22878"/>
    <cellStyle name="Ввод  18 5 3 3" xfId="24369"/>
    <cellStyle name="Ввод  18 5 3 4" xfId="29556"/>
    <cellStyle name="Ввод  18 5 3 5" xfId="39431"/>
    <cellStyle name="Ввод  18 5 4" xfId="23358"/>
    <cellStyle name="Ввод  18 5 5" xfId="25480"/>
    <cellStyle name="Ввод  18 5 6" xfId="35355"/>
    <cellStyle name="Ввод  18 6" xfId="12250"/>
    <cellStyle name="Ввод  18 6 2" xfId="17582"/>
    <cellStyle name="Ввод  18 6 2 2" xfId="31392"/>
    <cellStyle name="Ввод  18 6 2 3" xfId="41265"/>
    <cellStyle name="Ввод  18 6 3" xfId="20425"/>
    <cellStyle name="Ввод  18 6 4" xfId="26124"/>
    <cellStyle name="Ввод  18 6 5" xfId="35999"/>
    <cellStyle name="Ввод  18 7" xfId="13237"/>
    <cellStyle name="Ввод  18 7 2" xfId="16038"/>
    <cellStyle name="Ввод  18 7 2 2" xfId="29856"/>
    <cellStyle name="Ввод  18 7 2 3" xfId="39731"/>
    <cellStyle name="Ввод  18 7 3" xfId="18569"/>
    <cellStyle name="Ввод  18 7 3 2" xfId="32379"/>
    <cellStyle name="Ввод  18 7 3 3" xfId="42251"/>
    <cellStyle name="Ввод  18 7 4" xfId="27110"/>
    <cellStyle name="Ввод  18 7 5" xfId="36985"/>
    <cellStyle name="Ввод  18 8" xfId="13087"/>
    <cellStyle name="Ввод  18 8 2" xfId="18419"/>
    <cellStyle name="Ввод  18 8 2 2" xfId="32229"/>
    <cellStyle name="Ввод  18 8 2 3" xfId="42101"/>
    <cellStyle name="Ввод  18 8 3" xfId="26960"/>
    <cellStyle name="Ввод  18 8 4" xfId="36835"/>
    <cellStyle name="Ввод  18 9" xfId="17192"/>
    <cellStyle name="Ввод  18 9 2" xfId="21653"/>
    <cellStyle name="Ввод  18 9 3" xfId="31003"/>
    <cellStyle name="Ввод  18 9 4" xfId="40877"/>
    <cellStyle name="Ввод  19" xfId="1275"/>
    <cellStyle name="Ввод  19 10" xfId="21970"/>
    <cellStyle name="Ввод  19 11" xfId="23704"/>
    <cellStyle name="Ввод  19 12" xfId="24620"/>
    <cellStyle name="Ввод  19 13" xfId="34244"/>
    <cellStyle name="Ввод  19 14" xfId="34643"/>
    <cellStyle name="Ввод  19 2" xfId="1276"/>
    <cellStyle name="Ввод  19 2 10" xfId="23705"/>
    <cellStyle name="Ввод  19 2 11" xfId="24621"/>
    <cellStyle name="Ввод  19 2 12" xfId="34725"/>
    <cellStyle name="Ввод  19 2 2" xfId="7781"/>
    <cellStyle name="Ввод  19 2 3" xfId="11925"/>
    <cellStyle name="Ввод  19 2 3 10" xfId="25799"/>
    <cellStyle name="Ввод  19 2 3 11" xfId="35674"/>
    <cellStyle name="Ввод  19 2 3 2" xfId="14823"/>
    <cellStyle name="Ввод  19 2 3 2 2" xfId="17037"/>
    <cellStyle name="Ввод  19 2 3 2 2 2" xfId="23089"/>
    <cellStyle name="Ввод  19 2 3 2 2 3" xfId="30851"/>
    <cellStyle name="Ввод  19 2 3 2 2 4" xfId="40726"/>
    <cellStyle name="Ввод  19 2 3 2 3" xfId="20106"/>
    <cellStyle name="Ввод  19 2 3 2 3 2" xfId="33916"/>
    <cellStyle name="Ввод  19 2 3 2 3 3" xfId="43784"/>
    <cellStyle name="Ввод  19 2 3 2 4" xfId="28643"/>
    <cellStyle name="Ввод  19 2 3 2 5" xfId="38518"/>
    <cellStyle name="Ввод  19 2 3 3" xfId="14442"/>
    <cellStyle name="Ввод  19 2 3 3 2" xfId="19725"/>
    <cellStyle name="Ввод  19 2 3 3 2 2" xfId="33535"/>
    <cellStyle name="Ввод  19 2 3 3 2 3" xfId="43403"/>
    <cellStyle name="Ввод  19 2 3 3 3" xfId="28262"/>
    <cellStyle name="Ввод  19 2 3 3 4" xfId="38137"/>
    <cellStyle name="Ввод  19 2 3 4" xfId="20764"/>
    <cellStyle name="Ввод  19 2 3 5" xfId="21320"/>
    <cellStyle name="Ввод  19 2 3 6" xfId="21776"/>
    <cellStyle name="Ввод  19 2 3 7" xfId="22297"/>
    <cellStyle name="Ввод  19 2 3 8" xfId="22513"/>
    <cellStyle name="Ввод  19 2 3 9" xfId="24001"/>
    <cellStyle name="Ввод  19 2 4" xfId="11609"/>
    <cellStyle name="Ввод  19 2 4 2" xfId="14507"/>
    <cellStyle name="Ввод  19 2 4 2 2" xfId="19790"/>
    <cellStyle name="Ввод  19 2 4 2 2 2" xfId="33600"/>
    <cellStyle name="Ввод  19 2 4 2 2 3" xfId="43468"/>
    <cellStyle name="Ввод  19 2 4 2 3" xfId="28327"/>
    <cellStyle name="Ввод  19 2 4 2 4" xfId="38202"/>
    <cellStyle name="Ввод  19 2 4 3" xfId="15740"/>
    <cellStyle name="Ввод  19 2 4 3 2" xfId="22881"/>
    <cellStyle name="Ввод  19 2 4 3 3" xfId="24372"/>
    <cellStyle name="Ввод  19 2 4 3 4" xfId="29559"/>
    <cellStyle name="Ввод  19 2 4 3 5" xfId="39434"/>
    <cellStyle name="Ввод  19 2 4 4" xfId="23361"/>
    <cellStyle name="Ввод  19 2 4 5" xfId="25483"/>
    <cellStyle name="Ввод  19 2 4 6" xfId="35358"/>
    <cellStyle name="Ввод  19 2 5" xfId="12232"/>
    <cellStyle name="Ввод  19 2 5 2" xfId="17564"/>
    <cellStyle name="Ввод  19 2 5 2 2" xfId="31374"/>
    <cellStyle name="Ввод  19 2 5 2 3" xfId="41247"/>
    <cellStyle name="Ввод  19 2 5 3" xfId="20428"/>
    <cellStyle name="Ввод  19 2 5 4" xfId="26106"/>
    <cellStyle name="Ввод  19 2 5 5" xfId="35981"/>
    <cellStyle name="Ввод  19 2 6" xfId="13061"/>
    <cellStyle name="Ввод  19 2 6 2" xfId="16012"/>
    <cellStyle name="Ввод  19 2 6 2 2" xfId="29830"/>
    <cellStyle name="Ввод  19 2 6 2 3" xfId="39705"/>
    <cellStyle name="Ввод  19 2 6 3" xfId="18393"/>
    <cellStyle name="Ввод  19 2 6 3 2" xfId="32203"/>
    <cellStyle name="Ввод  19 2 6 3 3" xfId="42075"/>
    <cellStyle name="Ввод  19 2 6 4" xfId="26934"/>
    <cellStyle name="Ввод  19 2 6 5" xfId="36809"/>
    <cellStyle name="Ввод  19 2 7" xfId="21196"/>
    <cellStyle name="Ввод  19 2 8" xfId="21656"/>
    <cellStyle name="Ввод  19 2 9" xfId="21943"/>
    <cellStyle name="Ввод  19 3" xfId="7780"/>
    <cellStyle name="Ввод  19 4" xfId="11924"/>
    <cellStyle name="Ввод  19 4 10" xfId="25798"/>
    <cellStyle name="Ввод  19 4 11" xfId="35673"/>
    <cellStyle name="Ввод  19 4 2" xfId="14822"/>
    <cellStyle name="Ввод  19 4 2 2" xfId="17036"/>
    <cellStyle name="Ввод  19 4 2 2 2" xfId="23088"/>
    <cellStyle name="Ввод  19 4 2 2 3" xfId="30850"/>
    <cellStyle name="Ввод  19 4 2 2 4" xfId="40725"/>
    <cellStyle name="Ввод  19 4 2 3" xfId="20105"/>
    <cellStyle name="Ввод  19 4 2 3 2" xfId="33915"/>
    <cellStyle name="Ввод  19 4 2 3 3" xfId="43783"/>
    <cellStyle name="Ввод  19 4 2 4" xfId="28642"/>
    <cellStyle name="Ввод  19 4 2 5" xfId="38517"/>
    <cellStyle name="Ввод  19 4 3" xfId="14315"/>
    <cellStyle name="Ввод  19 4 3 2" xfId="19598"/>
    <cellStyle name="Ввод  19 4 3 2 2" xfId="33408"/>
    <cellStyle name="Ввод  19 4 3 2 3" xfId="43277"/>
    <cellStyle name="Ввод  19 4 3 3" xfId="28136"/>
    <cellStyle name="Ввод  19 4 3 4" xfId="38011"/>
    <cellStyle name="Ввод  19 4 4" xfId="20763"/>
    <cellStyle name="Ввод  19 4 5" xfId="21319"/>
    <cellStyle name="Ввод  19 4 6" xfId="21775"/>
    <cellStyle name="Ввод  19 4 7" xfId="22296"/>
    <cellStyle name="Ввод  19 4 8" xfId="22512"/>
    <cellStyle name="Ввод  19 4 9" xfId="24000"/>
    <cellStyle name="Ввод  19 5" xfId="11608"/>
    <cellStyle name="Ввод  19 5 2" xfId="14506"/>
    <cellStyle name="Ввод  19 5 2 2" xfId="19789"/>
    <cellStyle name="Ввод  19 5 2 2 2" xfId="33599"/>
    <cellStyle name="Ввод  19 5 2 2 3" xfId="43467"/>
    <cellStyle name="Ввод  19 5 2 3" xfId="28326"/>
    <cellStyle name="Ввод  19 5 2 4" xfId="38201"/>
    <cellStyle name="Ввод  19 5 3" xfId="15739"/>
    <cellStyle name="Ввод  19 5 3 2" xfId="22880"/>
    <cellStyle name="Ввод  19 5 3 3" xfId="24371"/>
    <cellStyle name="Ввод  19 5 3 4" xfId="29558"/>
    <cellStyle name="Ввод  19 5 3 5" xfId="39433"/>
    <cellStyle name="Ввод  19 5 4" xfId="23360"/>
    <cellStyle name="Ввод  19 5 5" xfId="25482"/>
    <cellStyle name="Ввод  19 5 6" xfId="35357"/>
    <cellStyle name="Ввод  19 6" xfId="12251"/>
    <cellStyle name="Ввод  19 6 2" xfId="17583"/>
    <cellStyle name="Ввод  19 6 2 2" xfId="31393"/>
    <cellStyle name="Ввод  19 6 2 3" xfId="41266"/>
    <cellStyle name="Ввод  19 6 3" xfId="20427"/>
    <cellStyle name="Ввод  19 6 4" xfId="26125"/>
    <cellStyle name="Ввод  19 6 5" xfId="36000"/>
    <cellStyle name="Ввод  19 7" xfId="13238"/>
    <cellStyle name="Ввод  19 7 2" xfId="16039"/>
    <cellStyle name="Ввод  19 7 2 2" xfId="29857"/>
    <cellStyle name="Ввод  19 7 2 3" xfId="39732"/>
    <cellStyle name="Ввод  19 7 3" xfId="18570"/>
    <cellStyle name="Ввод  19 7 3 2" xfId="32380"/>
    <cellStyle name="Ввод  19 7 3 3" xfId="42252"/>
    <cellStyle name="Ввод  19 7 4" xfId="27111"/>
    <cellStyle name="Ввод  19 7 5" xfId="36986"/>
    <cellStyle name="Ввод  19 8" xfId="13088"/>
    <cellStyle name="Ввод  19 8 2" xfId="18420"/>
    <cellStyle name="Ввод  19 8 2 2" xfId="32230"/>
    <cellStyle name="Ввод  19 8 2 3" xfId="42102"/>
    <cellStyle name="Ввод  19 8 3" xfId="26961"/>
    <cellStyle name="Ввод  19 8 4" xfId="36836"/>
    <cellStyle name="Ввод  19 9" xfId="17193"/>
    <cellStyle name="Ввод  19 9 2" xfId="21655"/>
    <cellStyle name="Ввод  19 9 3" xfId="31004"/>
    <cellStyle name="Ввод  19 9 4" xfId="40878"/>
    <cellStyle name="Ввод  2" xfId="1277"/>
    <cellStyle name="Ввод  2 10" xfId="7783"/>
    <cellStyle name="Ввод  2 11" xfId="7784"/>
    <cellStyle name="Ввод  2 12" xfId="7785"/>
    <cellStyle name="Ввод  2 13" xfId="7786"/>
    <cellStyle name="Ввод  2 14" xfId="7787"/>
    <cellStyle name="Ввод  2 15" xfId="11850"/>
    <cellStyle name="Ввод  2 15 10" xfId="25724"/>
    <cellStyle name="Ввод  2 15 11" xfId="35599"/>
    <cellStyle name="Ввод  2 15 2" xfId="14748"/>
    <cellStyle name="Ввод  2 15 2 2" xfId="16962"/>
    <cellStyle name="Ввод  2 15 2 2 2" xfId="23014"/>
    <cellStyle name="Ввод  2 15 2 2 3" xfId="30776"/>
    <cellStyle name="Ввод  2 15 2 2 4" xfId="40651"/>
    <cellStyle name="Ввод  2 15 2 3" xfId="20031"/>
    <cellStyle name="Ввод  2 15 2 3 2" xfId="33841"/>
    <cellStyle name="Ввод  2 15 2 3 3" xfId="43709"/>
    <cellStyle name="Ввод  2 15 2 4" xfId="28568"/>
    <cellStyle name="Ввод  2 15 2 5" xfId="38443"/>
    <cellStyle name="Ввод  2 15 3" xfId="14269"/>
    <cellStyle name="Ввод  2 15 3 2" xfId="19552"/>
    <cellStyle name="Ввод  2 15 3 2 2" xfId="33362"/>
    <cellStyle name="Ввод  2 15 3 2 3" xfId="43231"/>
    <cellStyle name="Ввод  2 15 3 3" xfId="28090"/>
    <cellStyle name="Ввод  2 15 3 4" xfId="37965"/>
    <cellStyle name="Ввод  2 15 4" xfId="20689"/>
    <cellStyle name="Ввод  2 15 5" xfId="21245"/>
    <cellStyle name="Ввод  2 15 6" xfId="21717"/>
    <cellStyle name="Ввод  2 15 7" xfId="22254"/>
    <cellStyle name="Ввод  2 15 8" xfId="22422"/>
    <cellStyle name="Ввод  2 15 9" xfId="23910"/>
    <cellStyle name="Ввод  2 16" xfId="12074"/>
    <cellStyle name="Ввод  2 16 10" xfId="24150"/>
    <cellStyle name="Ввод  2 16 11" xfId="25948"/>
    <cellStyle name="Ввод  2 16 12" xfId="35823"/>
    <cellStyle name="Ввод  2 16 2" xfId="14972"/>
    <cellStyle name="Ввод  2 16 2 2" xfId="20255"/>
    <cellStyle name="Ввод  2 16 2 2 2" xfId="34065"/>
    <cellStyle name="Ввод  2 16 2 2 3" xfId="43933"/>
    <cellStyle name="Ввод  2 16 2 3" xfId="23526"/>
    <cellStyle name="Ввод  2 16 2 4" xfId="28792"/>
    <cellStyle name="Ввод  2 16 2 5" xfId="38667"/>
    <cellStyle name="Ввод  2 16 3" xfId="20561"/>
    <cellStyle name="Ввод  2 16 4" xfId="20897"/>
    <cellStyle name="Ввод  2 16 5" xfId="21027"/>
    <cellStyle name="Ввод  2 16 6" xfId="21453"/>
    <cellStyle name="Ввод  2 16 7" xfId="21853"/>
    <cellStyle name="Ввод  2 16 8" xfId="22358"/>
    <cellStyle name="Ввод  2 16 9" xfId="22646"/>
    <cellStyle name="Ввод  2 17" xfId="12154"/>
    <cellStyle name="Ввод  2 17 10" xfId="24230"/>
    <cellStyle name="Ввод  2 17 11" xfId="26028"/>
    <cellStyle name="Ввод  2 17 12" xfId="35903"/>
    <cellStyle name="Ввод  2 17 2" xfId="15052"/>
    <cellStyle name="Ввод  2 17 2 2" xfId="20335"/>
    <cellStyle name="Ввод  2 17 2 2 2" xfId="34145"/>
    <cellStyle name="Ввод  2 17 2 2 3" xfId="44013"/>
    <cellStyle name="Ввод  2 17 2 3" xfId="23606"/>
    <cellStyle name="Ввод  2 17 2 4" xfId="28872"/>
    <cellStyle name="Ввод  2 17 2 5" xfId="38747"/>
    <cellStyle name="Ввод  2 17 3" xfId="20625"/>
    <cellStyle name="Ввод  2 17 4" xfId="20961"/>
    <cellStyle name="Ввод  2 17 5" xfId="21075"/>
    <cellStyle name="Ввод  2 17 6" xfId="21533"/>
    <cellStyle name="Ввод  2 17 7" xfId="21901"/>
    <cellStyle name="Ввод  2 17 8" xfId="22390"/>
    <cellStyle name="Ввод  2 17 9" xfId="22726"/>
    <cellStyle name="Ввод  2 18" xfId="11610"/>
    <cellStyle name="Ввод  2 18 2" xfId="14508"/>
    <cellStyle name="Ввод  2 18 2 2" xfId="19791"/>
    <cellStyle name="Ввод  2 18 2 2 2" xfId="33601"/>
    <cellStyle name="Ввод  2 18 2 2 3" xfId="43469"/>
    <cellStyle name="Ввод  2 18 2 3" xfId="28328"/>
    <cellStyle name="Ввод  2 18 2 4" xfId="38203"/>
    <cellStyle name="Ввод  2 18 3" xfId="15741"/>
    <cellStyle name="Ввод  2 18 3 2" xfId="22853"/>
    <cellStyle name="Ввод  2 18 3 3" xfId="24373"/>
    <cellStyle name="Ввод  2 18 3 4" xfId="29560"/>
    <cellStyle name="Ввод  2 18 3 5" xfId="39435"/>
    <cellStyle name="Ввод  2 18 4" xfId="23333"/>
    <cellStyle name="Ввод  2 18 5" xfId="25484"/>
    <cellStyle name="Ввод  2 18 6" xfId="35359"/>
    <cellStyle name="Ввод  2 19" xfId="13239"/>
    <cellStyle name="Ввод  2 19 2" xfId="16040"/>
    <cellStyle name="Ввод  2 19 2 2" xfId="29858"/>
    <cellStyle name="Ввод  2 19 2 3" xfId="39733"/>
    <cellStyle name="Ввод  2 19 3" xfId="18571"/>
    <cellStyle name="Ввод  2 19 3 2" xfId="32381"/>
    <cellStyle name="Ввод  2 19 3 3" xfId="42253"/>
    <cellStyle name="Ввод  2 19 4" xfId="27112"/>
    <cellStyle name="Ввод  2 19 5" xfId="36987"/>
    <cellStyle name="Ввод  2 2" xfId="1278"/>
    <cellStyle name="Ввод  2 2 10" xfId="23707"/>
    <cellStyle name="Ввод  2 2 11" xfId="24623"/>
    <cellStyle name="Ввод  2 2 12" xfId="34246"/>
    <cellStyle name="Ввод  2 2 13" xfId="34641"/>
    <cellStyle name="Ввод  2 2 2" xfId="7788"/>
    <cellStyle name="Ввод  2 2 3" xfId="11926"/>
    <cellStyle name="Ввод  2 2 3 10" xfId="25800"/>
    <cellStyle name="Ввод  2 2 3 11" xfId="35675"/>
    <cellStyle name="Ввод  2 2 3 2" xfId="14824"/>
    <cellStyle name="Ввод  2 2 3 2 2" xfId="17038"/>
    <cellStyle name="Ввод  2 2 3 2 2 2" xfId="23090"/>
    <cellStyle name="Ввод  2 2 3 2 2 3" xfId="30852"/>
    <cellStyle name="Ввод  2 2 3 2 2 4" xfId="40727"/>
    <cellStyle name="Ввод  2 2 3 2 3" xfId="20107"/>
    <cellStyle name="Ввод  2 2 3 2 3 2" xfId="33917"/>
    <cellStyle name="Ввод  2 2 3 2 3 3" xfId="43785"/>
    <cellStyle name="Ввод  2 2 3 2 4" xfId="28644"/>
    <cellStyle name="Ввод  2 2 3 2 5" xfId="38519"/>
    <cellStyle name="Ввод  2 2 3 3" xfId="14316"/>
    <cellStyle name="Ввод  2 2 3 3 2" xfId="19599"/>
    <cellStyle name="Ввод  2 2 3 3 2 2" xfId="33409"/>
    <cellStyle name="Ввод  2 2 3 3 2 3" xfId="43278"/>
    <cellStyle name="Ввод  2 2 3 3 3" xfId="28137"/>
    <cellStyle name="Ввод  2 2 3 3 4" xfId="38012"/>
    <cellStyle name="Ввод  2 2 3 4" xfId="20765"/>
    <cellStyle name="Ввод  2 2 3 5" xfId="21321"/>
    <cellStyle name="Ввод  2 2 3 6" xfId="21777"/>
    <cellStyle name="Ввод  2 2 3 7" xfId="22298"/>
    <cellStyle name="Ввод  2 2 3 8" xfId="22514"/>
    <cellStyle name="Ввод  2 2 3 9" xfId="24002"/>
    <cellStyle name="Ввод  2 2 4" xfId="11611"/>
    <cellStyle name="Ввод  2 2 4 2" xfId="14509"/>
    <cellStyle name="Ввод  2 2 4 2 2" xfId="19792"/>
    <cellStyle name="Ввод  2 2 4 2 2 2" xfId="33602"/>
    <cellStyle name="Ввод  2 2 4 2 2 3" xfId="43470"/>
    <cellStyle name="Ввод  2 2 4 2 3" xfId="28329"/>
    <cellStyle name="Ввод  2 2 4 2 4" xfId="38204"/>
    <cellStyle name="Ввод  2 2 4 3" xfId="15742"/>
    <cellStyle name="Ввод  2 2 4 3 2" xfId="22882"/>
    <cellStyle name="Ввод  2 2 4 3 3" xfId="24374"/>
    <cellStyle name="Ввод  2 2 4 3 4" xfId="29561"/>
    <cellStyle name="Ввод  2 2 4 3 5" xfId="39436"/>
    <cellStyle name="Ввод  2 2 4 4" xfId="23362"/>
    <cellStyle name="Ввод  2 2 4 5" xfId="25485"/>
    <cellStyle name="Ввод  2 2 4 6" xfId="35360"/>
    <cellStyle name="Ввод  2 2 5" xfId="12252"/>
    <cellStyle name="Ввод  2 2 5 2" xfId="17584"/>
    <cellStyle name="Ввод  2 2 5 2 2" xfId="31394"/>
    <cellStyle name="Ввод  2 2 5 2 3" xfId="41267"/>
    <cellStyle name="Ввод  2 2 5 3" xfId="20429"/>
    <cellStyle name="Ввод  2 2 5 4" xfId="26126"/>
    <cellStyle name="Ввод  2 2 5 5" xfId="36001"/>
    <cellStyle name="Ввод  2 2 6" xfId="13240"/>
    <cellStyle name="Ввод  2 2 6 2" xfId="16041"/>
    <cellStyle name="Ввод  2 2 6 2 2" xfId="29859"/>
    <cellStyle name="Ввод  2 2 6 2 3" xfId="39734"/>
    <cellStyle name="Ввод  2 2 6 3" xfId="18572"/>
    <cellStyle name="Ввод  2 2 6 3 2" xfId="32382"/>
    <cellStyle name="Ввод  2 2 6 3 3" xfId="42254"/>
    <cellStyle name="Ввод  2 2 6 4" xfId="27113"/>
    <cellStyle name="Ввод  2 2 6 5" xfId="36988"/>
    <cellStyle name="Ввод  2 2 7" xfId="13090"/>
    <cellStyle name="Ввод  2 2 7 2" xfId="18422"/>
    <cellStyle name="Ввод  2 2 7 2 2" xfId="32232"/>
    <cellStyle name="Ввод  2 2 7 2 3" xfId="42104"/>
    <cellStyle name="Ввод  2 2 7 3" xfId="26963"/>
    <cellStyle name="Ввод  2 2 7 4" xfId="36838"/>
    <cellStyle name="Ввод  2 2 8" xfId="17195"/>
    <cellStyle name="Ввод  2 2 8 2" xfId="21657"/>
    <cellStyle name="Ввод  2 2 8 3" xfId="31006"/>
    <cellStyle name="Ввод  2 2 8 4" xfId="40880"/>
    <cellStyle name="Ввод  2 2 9" xfId="21972"/>
    <cellStyle name="Ввод  2 20" xfId="13089"/>
    <cellStyle name="Ввод  2 20 2" xfId="18421"/>
    <cellStyle name="Ввод  2 20 2 2" xfId="32231"/>
    <cellStyle name="Ввод  2 20 2 3" xfId="42103"/>
    <cellStyle name="Ввод  2 20 3" xfId="26962"/>
    <cellStyle name="Ввод  2 20 4" xfId="36837"/>
    <cellStyle name="Ввод  2 21" xfId="17194"/>
    <cellStyle name="Ввод  2 21 2" xfId="21186"/>
    <cellStyle name="Ввод  2 21 3" xfId="31005"/>
    <cellStyle name="Ввод  2 21 4" xfId="40879"/>
    <cellStyle name="Ввод  2 22" xfId="21613"/>
    <cellStyle name="Ввод  2 23" xfId="21971"/>
    <cellStyle name="Ввод  2 24" xfId="23706"/>
    <cellStyle name="Ввод  2 25" xfId="24622"/>
    <cellStyle name="Ввод  2 26" xfId="34245"/>
    <cellStyle name="Ввод  2 27" xfId="34642"/>
    <cellStyle name="Ввод  2 3" xfId="1279"/>
    <cellStyle name="Ввод  2 3 10" xfId="23708"/>
    <cellStyle name="Ввод  2 3 11" xfId="24624"/>
    <cellStyle name="Ввод  2 3 12" xfId="34247"/>
    <cellStyle name="Ввод  2 3 13" xfId="34640"/>
    <cellStyle name="Ввод  2 3 2" xfId="7789"/>
    <cellStyle name="Ввод  2 3 3" xfId="11927"/>
    <cellStyle name="Ввод  2 3 3 10" xfId="25801"/>
    <cellStyle name="Ввод  2 3 3 11" xfId="35676"/>
    <cellStyle name="Ввод  2 3 3 2" xfId="14825"/>
    <cellStyle name="Ввод  2 3 3 2 2" xfId="17039"/>
    <cellStyle name="Ввод  2 3 3 2 2 2" xfId="23091"/>
    <cellStyle name="Ввод  2 3 3 2 2 3" xfId="30853"/>
    <cellStyle name="Ввод  2 3 3 2 2 4" xfId="40728"/>
    <cellStyle name="Ввод  2 3 3 2 3" xfId="20108"/>
    <cellStyle name="Ввод  2 3 3 2 3 2" xfId="33918"/>
    <cellStyle name="Ввод  2 3 3 2 3 3" xfId="43786"/>
    <cellStyle name="Ввод  2 3 3 2 4" xfId="28645"/>
    <cellStyle name="Ввод  2 3 3 2 5" xfId="38520"/>
    <cellStyle name="Ввод  2 3 3 3" xfId="13035"/>
    <cellStyle name="Ввод  2 3 3 3 2" xfId="18367"/>
    <cellStyle name="Ввод  2 3 3 3 2 2" xfId="32177"/>
    <cellStyle name="Ввод  2 3 3 3 2 3" xfId="42050"/>
    <cellStyle name="Ввод  2 3 3 3 3" xfId="26909"/>
    <cellStyle name="Ввод  2 3 3 3 4" xfId="36784"/>
    <cellStyle name="Ввод  2 3 3 4" xfId="20766"/>
    <cellStyle name="Ввод  2 3 3 5" xfId="21322"/>
    <cellStyle name="Ввод  2 3 3 6" xfId="21778"/>
    <cellStyle name="Ввод  2 3 3 7" xfId="22299"/>
    <cellStyle name="Ввод  2 3 3 8" xfId="22515"/>
    <cellStyle name="Ввод  2 3 3 9" xfId="24003"/>
    <cellStyle name="Ввод  2 3 4" xfId="11612"/>
    <cellStyle name="Ввод  2 3 4 2" xfId="14510"/>
    <cellStyle name="Ввод  2 3 4 2 2" xfId="19793"/>
    <cellStyle name="Ввод  2 3 4 2 2 2" xfId="33603"/>
    <cellStyle name="Ввод  2 3 4 2 2 3" xfId="43471"/>
    <cellStyle name="Ввод  2 3 4 2 3" xfId="28330"/>
    <cellStyle name="Ввод  2 3 4 2 4" xfId="38205"/>
    <cellStyle name="Ввод  2 3 4 3" xfId="15743"/>
    <cellStyle name="Ввод  2 3 4 3 2" xfId="22883"/>
    <cellStyle name="Ввод  2 3 4 3 3" xfId="24375"/>
    <cellStyle name="Ввод  2 3 4 3 4" xfId="29562"/>
    <cellStyle name="Ввод  2 3 4 3 5" xfId="39437"/>
    <cellStyle name="Ввод  2 3 4 4" xfId="23363"/>
    <cellStyle name="Ввод  2 3 4 5" xfId="25486"/>
    <cellStyle name="Ввод  2 3 4 6" xfId="35361"/>
    <cellStyle name="Ввод  2 3 5" xfId="12253"/>
    <cellStyle name="Ввод  2 3 5 2" xfId="17585"/>
    <cellStyle name="Ввод  2 3 5 2 2" xfId="31395"/>
    <cellStyle name="Ввод  2 3 5 2 3" xfId="41268"/>
    <cellStyle name="Ввод  2 3 5 3" xfId="20430"/>
    <cellStyle name="Ввод  2 3 5 4" xfId="26127"/>
    <cellStyle name="Ввод  2 3 5 5" xfId="36002"/>
    <cellStyle name="Ввод  2 3 6" xfId="13241"/>
    <cellStyle name="Ввод  2 3 6 2" xfId="16042"/>
    <cellStyle name="Ввод  2 3 6 2 2" xfId="29860"/>
    <cellStyle name="Ввод  2 3 6 2 3" xfId="39735"/>
    <cellStyle name="Ввод  2 3 6 3" xfId="18573"/>
    <cellStyle name="Ввод  2 3 6 3 2" xfId="32383"/>
    <cellStyle name="Ввод  2 3 6 3 3" xfId="42255"/>
    <cellStyle name="Ввод  2 3 6 4" xfId="27114"/>
    <cellStyle name="Ввод  2 3 6 5" xfId="36989"/>
    <cellStyle name="Ввод  2 3 7" xfId="13091"/>
    <cellStyle name="Ввод  2 3 7 2" xfId="18423"/>
    <cellStyle name="Ввод  2 3 7 2 2" xfId="32233"/>
    <cellStyle name="Ввод  2 3 7 2 3" xfId="42105"/>
    <cellStyle name="Ввод  2 3 7 3" xfId="26964"/>
    <cellStyle name="Ввод  2 3 7 4" xfId="36839"/>
    <cellStyle name="Ввод  2 3 8" xfId="17196"/>
    <cellStyle name="Ввод  2 3 8 2" xfId="21658"/>
    <cellStyle name="Ввод  2 3 8 3" xfId="31007"/>
    <cellStyle name="Ввод  2 3 8 4" xfId="40881"/>
    <cellStyle name="Ввод  2 3 9" xfId="21973"/>
    <cellStyle name="Ввод  2 4" xfId="7782"/>
    <cellStyle name="Ввод  2 5" xfId="7790"/>
    <cellStyle name="Ввод  2 6" xfId="7791"/>
    <cellStyle name="Ввод  2 7" xfId="7792"/>
    <cellStyle name="Ввод  2 8" xfId="7793"/>
    <cellStyle name="Ввод  2 9" xfId="7794"/>
    <cellStyle name="Ввод  3" xfId="1280"/>
    <cellStyle name="Ввод  3 10" xfId="7796"/>
    <cellStyle name="Ввод  3 11" xfId="7797"/>
    <cellStyle name="Ввод  3 12" xfId="7798"/>
    <cellStyle name="Ввод  3 13" xfId="7799"/>
    <cellStyle name="Ввод  3 14" xfId="7800"/>
    <cellStyle name="Ввод  3 15" xfId="11851"/>
    <cellStyle name="Ввод  3 15 10" xfId="25725"/>
    <cellStyle name="Ввод  3 15 11" xfId="35600"/>
    <cellStyle name="Ввод  3 15 2" xfId="14749"/>
    <cellStyle name="Ввод  3 15 2 2" xfId="16963"/>
    <cellStyle name="Ввод  3 15 2 2 2" xfId="23015"/>
    <cellStyle name="Ввод  3 15 2 2 3" xfId="30777"/>
    <cellStyle name="Ввод  3 15 2 2 4" xfId="40652"/>
    <cellStyle name="Ввод  3 15 2 3" xfId="20032"/>
    <cellStyle name="Ввод  3 15 2 3 2" xfId="33842"/>
    <cellStyle name="Ввод  3 15 2 3 3" xfId="43710"/>
    <cellStyle name="Ввод  3 15 2 4" xfId="28569"/>
    <cellStyle name="Ввод  3 15 2 5" xfId="38444"/>
    <cellStyle name="Ввод  3 15 3" xfId="14435"/>
    <cellStyle name="Ввод  3 15 3 2" xfId="19718"/>
    <cellStyle name="Ввод  3 15 3 2 2" xfId="33528"/>
    <cellStyle name="Ввод  3 15 3 2 3" xfId="43396"/>
    <cellStyle name="Ввод  3 15 3 3" xfId="28255"/>
    <cellStyle name="Ввод  3 15 3 4" xfId="38130"/>
    <cellStyle name="Ввод  3 15 4" xfId="20690"/>
    <cellStyle name="Ввод  3 15 5" xfId="21246"/>
    <cellStyle name="Ввод  3 15 6" xfId="21718"/>
    <cellStyle name="Ввод  3 15 7" xfId="22255"/>
    <cellStyle name="Ввод  3 15 8" xfId="22423"/>
    <cellStyle name="Ввод  3 15 9" xfId="23911"/>
    <cellStyle name="Ввод  3 16" xfId="12075"/>
    <cellStyle name="Ввод  3 16 10" xfId="24151"/>
    <cellStyle name="Ввод  3 16 11" xfId="25949"/>
    <cellStyle name="Ввод  3 16 12" xfId="35824"/>
    <cellStyle name="Ввод  3 16 2" xfId="14973"/>
    <cellStyle name="Ввод  3 16 2 2" xfId="20256"/>
    <cellStyle name="Ввод  3 16 2 2 2" xfId="34066"/>
    <cellStyle name="Ввод  3 16 2 2 3" xfId="43934"/>
    <cellStyle name="Ввод  3 16 2 3" xfId="23527"/>
    <cellStyle name="Ввод  3 16 2 4" xfId="28793"/>
    <cellStyle name="Ввод  3 16 2 5" xfId="38668"/>
    <cellStyle name="Ввод  3 16 3" xfId="20562"/>
    <cellStyle name="Ввод  3 16 4" xfId="20898"/>
    <cellStyle name="Ввод  3 16 5" xfId="21028"/>
    <cellStyle name="Ввод  3 16 6" xfId="21454"/>
    <cellStyle name="Ввод  3 16 7" xfId="21854"/>
    <cellStyle name="Ввод  3 16 8" xfId="22359"/>
    <cellStyle name="Ввод  3 16 9" xfId="22647"/>
    <cellStyle name="Ввод  3 17" xfId="12155"/>
    <cellStyle name="Ввод  3 17 10" xfId="24231"/>
    <cellStyle name="Ввод  3 17 11" xfId="26029"/>
    <cellStyle name="Ввод  3 17 12" xfId="35904"/>
    <cellStyle name="Ввод  3 17 2" xfId="15053"/>
    <cellStyle name="Ввод  3 17 2 2" xfId="20336"/>
    <cellStyle name="Ввод  3 17 2 2 2" xfId="34146"/>
    <cellStyle name="Ввод  3 17 2 2 3" xfId="44014"/>
    <cellStyle name="Ввод  3 17 2 3" xfId="23607"/>
    <cellStyle name="Ввод  3 17 2 4" xfId="28873"/>
    <cellStyle name="Ввод  3 17 2 5" xfId="38748"/>
    <cellStyle name="Ввод  3 17 3" xfId="20626"/>
    <cellStyle name="Ввод  3 17 4" xfId="20962"/>
    <cellStyle name="Ввод  3 17 5" xfId="21076"/>
    <cellStyle name="Ввод  3 17 6" xfId="21534"/>
    <cellStyle name="Ввод  3 17 7" xfId="21902"/>
    <cellStyle name="Ввод  3 17 8" xfId="22391"/>
    <cellStyle name="Ввод  3 17 9" xfId="22727"/>
    <cellStyle name="Ввод  3 18" xfId="11613"/>
    <cellStyle name="Ввод  3 18 2" xfId="14511"/>
    <cellStyle name="Ввод  3 18 2 2" xfId="19794"/>
    <cellStyle name="Ввод  3 18 2 2 2" xfId="33604"/>
    <cellStyle name="Ввод  3 18 2 2 3" xfId="43472"/>
    <cellStyle name="Ввод  3 18 2 3" xfId="28331"/>
    <cellStyle name="Ввод  3 18 2 4" xfId="38206"/>
    <cellStyle name="Ввод  3 18 3" xfId="15744"/>
    <cellStyle name="Ввод  3 18 3 2" xfId="22852"/>
    <cellStyle name="Ввод  3 18 3 3" xfId="24376"/>
    <cellStyle name="Ввод  3 18 3 4" xfId="29563"/>
    <cellStyle name="Ввод  3 18 3 5" xfId="39438"/>
    <cellStyle name="Ввод  3 18 4" xfId="23332"/>
    <cellStyle name="Ввод  3 18 5" xfId="25487"/>
    <cellStyle name="Ввод  3 18 6" xfId="35362"/>
    <cellStyle name="Ввод  3 19" xfId="13242"/>
    <cellStyle name="Ввод  3 19 2" xfId="16043"/>
    <cellStyle name="Ввод  3 19 2 2" xfId="29861"/>
    <cellStyle name="Ввод  3 19 2 3" xfId="39736"/>
    <cellStyle name="Ввод  3 19 3" xfId="18574"/>
    <cellStyle name="Ввод  3 19 3 2" xfId="32384"/>
    <cellStyle name="Ввод  3 19 3 3" xfId="42256"/>
    <cellStyle name="Ввод  3 19 4" xfId="27115"/>
    <cellStyle name="Ввод  3 19 5" xfId="36990"/>
    <cellStyle name="Ввод  3 2" xfId="1281"/>
    <cellStyle name="Ввод  3 2 10" xfId="23710"/>
    <cellStyle name="Ввод  3 2 11" xfId="24626"/>
    <cellStyle name="Ввод  3 2 12" xfId="34249"/>
    <cellStyle name="Ввод  3 2 13" xfId="34638"/>
    <cellStyle name="Ввод  3 2 2" xfId="7801"/>
    <cellStyle name="Ввод  3 2 3" xfId="11928"/>
    <cellStyle name="Ввод  3 2 3 10" xfId="25802"/>
    <cellStyle name="Ввод  3 2 3 11" xfId="35677"/>
    <cellStyle name="Ввод  3 2 3 2" xfId="14826"/>
    <cellStyle name="Ввод  3 2 3 2 2" xfId="17040"/>
    <cellStyle name="Ввод  3 2 3 2 2 2" xfId="23092"/>
    <cellStyle name="Ввод  3 2 3 2 2 3" xfId="30854"/>
    <cellStyle name="Ввод  3 2 3 2 2 4" xfId="40729"/>
    <cellStyle name="Ввод  3 2 3 2 3" xfId="20109"/>
    <cellStyle name="Ввод  3 2 3 2 3 2" xfId="33919"/>
    <cellStyle name="Ввод  3 2 3 2 3 3" xfId="43787"/>
    <cellStyle name="Ввод  3 2 3 2 4" xfId="28646"/>
    <cellStyle name="Ввод  3 2 3 2 5" xfId="38521"/>
    <cellStyle name="Ввод  3 2 3 3" xfId="14317"/>
    <cellStyle name="Ввод  3 2 3 3 2" xfId="19600"/>
    <cellStyle name="Ввод  3 2 3 3 2 2" xfId="33410"/>
    <cellStyle name="Ввод  3 2 3 3 2 3" xfId="43279"/>
    <cellStyle name="Ввод  3 2 3 3 3" xfId="28138"/>
    <cellStyle name="Ввод  3 2 3 3 4" xfId="38013"/>
    <cellStyle name="Ввод  3 2 3 4" xfId="20767"/>
    <cellStyle name="Ввод  3 2 3 5" xfId="21323"/>
    <cellStyle name="Ввод  3 2 3 6" xfId="21779"/>
    <cellStyle name="Ввод  3 2 3 7" xfId="22300"/>
    <cellStyle name="Ввод  3 2 3 8" xfId="22516"/>
    <cellStyle name="Ввод  3 2 3 9" xfId="24004"/>
    <cellStyle name="Ввод  3 2 4" xfId="11614"/>
    <cellStyle name="Ввод  3 2 4 2" xfId="14512"/>
    <cellStyle name="Ввод  3 2 4 2 2" xfId="19795"/>
    <cellStyle name="Ввод  3 2 4 2 2 2" xfId="33605"/>
    <cellStyle name="Ввод  3 2 4 2 2 3" xfId="43473"/>
    <cellStyle name="Ввод  3 2 4 2 3" xfId="28332"/>
    <cellStyle name="Ввод  3 2 4 2 4" xfId="38207"/>
    <cellStyle name="Ввод  3 2 4 3" xfId="15745"/>
    <cellStyle name="Ввод  3 2 4 3 2" xfId="22884"/>
    <cellStyle name="Ввод  3 2 4 3 3" xfId="24377"/>
    <cellStyle name="Ввод  3 2 4 3 4" xfId="29564"/>
    <cellStyle name="Ввод  3 2 4 3 5" xfId="39439"/>
    <cellStyle name="Ввод  3 2 4 4" xfId="23364"/>
    <cellStyle name="Ввод  3 2 4 5" xfId="25488"/>
    <cellStyle name="Ввод  3 2 4 6" xfId="35363"/>
    <cellStyle name="Ввод  3 2 5" xfId="12254"/>
    <cellStyle name="Ввод  3 2 5 2" xfId="17586"/>
    <cellStyle name="Ввод  3 2 5 2 2" xfId="31396"/>
    <cellStyle name="Ввод  3 2 5 2 3" xfId="41269"/>
    <cellStyle name="Ввод  3 2 5 3" xfId="20431"/>
    <cellStyle name="Ввод  3 2 5 4" xfId="26128"/>
    <cellStyle name="Ввод  3 2 5 5" xfId="36003"/>
    <cellStyle name="Ввод  3 2 6" xfId="13243"/>
    <cellStyle name="Ввод  3 2 6 2" xfId="16044"/>
    <cellStyle name="Ввод  3 2 6 2 2" xfId="29862"/>
    <cellStyle name="Ввод  3 2 6 2 3" xfId="39737"/>
    <cellStyle name="Ввод  3 2 6 3" xfId="18575"/>
    <cellStyle name="Ввод  3 2 6 3 2" xfId="32385"/>
    <cellStyle name="Ввод  3 2 6 3 3" xfId="42257"/>
    <cellStyle name="Ввод  3 2 6 4" xfId="27116"/>
    <cellStyle name="Ввод  3 2 6 5" xfId="36991"/>
    <cellStyle name="Ввод  3 2 7" xfId="13093"/>
    <cellStyle name="Ввод  3 2 7 2" xfId="18425"/>
    <cellStyle name="Ввод  3 2 7 2 2" xfId="32235"/>
    <cellStyle name="Ввод  3 2 7 2 3" xfId="42107"/>
    <cellStyle name="Ввод  3 2 7 3" xfId="26966"/>
    <cellStyle name="Ввод  3 2 7 4" xfId="36841"/>
    <cellStyle name="Ввод  3 2 8" xfId="17198"/>
    <cellStyle name="Ввод  3 2 8 2" xfId="21659"/>
    <cellStyle name="Ввод  3 2 8 3" xfId="31009"/>
    <cellStyle name="Ввод  3 2 8 4" xfId="40883"/>
    <cellStyle name="Ввод  3 2 9" xfId="21975"/>
    <cellStyle name="Ввод  3 20" xfId="13092"/>
    <cellStyle name="Ввод  3 20 2" xfId="18424"/>
    <cellStyle name="Ввод  3 20 2 2" xfId="32234"/>
    <cellStyle name="Ввод  3 20 2 3" xfId="42106"/>
    <cellStyle name="Ввод  3 20 3" xfId="26965"/>
    <cellStyle name="Ввод  3 20 4" xfId="36840"/>
    <cellStyle name="Ввод  3 21" xfId="17197"/>
    <cellStyle name="Ввод  3 21 2" xfId="21185"/>
    <cellStyle name="Ввод  3 21 3" xfId="31008"/>
    <cellStyle name="Ввод  3 21 4" xfId="40882"/>
    <cellStyle name="Ввод  3 22" xfId="21614"/>
    <cellStyle name="Ввод  3 23" xfId="21974"/>
    <cellStyle name="Ввод  3 24" xfId="23709"/>
    <cellStyle name="Ввод  3 25" xfId="24625"/>
    <cellStyle name="Ввод  3 26" xfId="34248"/>
    <cellStyle name="Ввод  3 27" xfId="34639"/>
    <cellStyle name="Ввод  3 3" xfId="1282"/>
    <cellStyle name="Ввод  3 3 10" xfId="23711"/>
    <cellStyle name="Ввод  3 3 11" xfId="24627"/>
    <cellStyle name="Ввод  3 3 12" xfId="34250"/>
    <cellStyle name="Ввод  3 3 13" xfId="34637"/>
    <cellStyle name="Ввод  3 3 2" xfId="7802"/>
    <cellStyle name="Ввод  3 3 3" xfId="11929"/>
    <cellStyle name="Ввод  3 3 3 10" xfId="25803"/>
    <cellStyle name="Ввод  3 3 3 11" xfId="35678"/>
    <cellStyle name="Ввод  3 3 3 2" xfId="14827"/>
    <cellStyle name="Ввод  3 3 3 2 2" xfId="17041"/>
    <cellStyle name="Ввод  3 3 3 2 2 2" xfId="23093"/>
    <cellStyle name="Ввод  3 3 3 2 2 3" xfId="30855"/>
    <cellStyle name="Ввод  3 3 3 2 2 4" xfId="40730"/>
    <cellStyle name="Ввод  3 3 3 2 3" xfId="20110"/>
    <cellStyle name="Ввод  3 3 3 2 3 2" xfId="33920"/>
    <cellStyle name="Ввод  3 3 3 2 3 3" xfId="43788"/>
    <cellStyle name="Ввод  3 3 3 2 4" xfId="28647"/>
    <cellStyle name="Ввод  3 3 3 2 5" xfId="38522"/>
    <cellStyle name="Ввод  3 3 3 3" xfId="13034"/>
    <cellStyle name="Ввод  3 3 3 3 2" xfId="18366"/>
    <cellStyle name="Ввод  3 3 3 3 2 2" xfId="32176"/>
    <cellStyle name="Ввод  3 3 3 3 2 3" xfId="42049"/>
    <cellStyle name="Ввод  3 3 3 3 3" xfId="26908"/>
    <cellStyle name="Ввод  3 3 3 3 4" xfId="36783"/>
    <cellStyle name="Ввод  3 3 3 4" xfId="20768"/>
    <cellStyle name="Ввод  3 3 3 5" xfId="21324"/>
    <cellStyle name="Ввод  3 3 3 6" xfId="21780"/>
    <cellStyle name="Ввод  3 3 3 7" xfId="22301"/>
    <cellStyle name="Ввод  3 3 3 8" xfId="22517"/>
    <cellStyle name="Ввод  3 3 3 9" xfId="24005"/>
    <cellStyle name="Ввод  3 3 4" xfId="11615"/>
    <cellStyle name="Ввод  3 3 4 2" xfId="14513"/>
    <cellStyle name="Ввод  3 3 4 2 2" xfId="19796"/>
    <cellStyle name="Ввод  3 3 4 2 2 2" xfId="33606"/>
    <cellStyle name="Ввод  3 3 4 2 2 3" xfId="43474"/>
    <cellStyle name="Ввод  3 3 4 2 3" xfId="28333"/>
    <cellStyle name="Ввод  3 3 4 2 4" xfId="38208"/>
    <cellStyle name="Ввод  3 3 4 3" xfId="15746"/>
    <cellStyle name="Ввод  3 3 4 3 2" xfId="22885"/>
    <cellStyle name="Ввод  3 3 4 3 3" xfId="24378"/>
    <cellStyle name="Ввод  3 3 4 3 4" xfId="29565"/>
    <cellStyle name="Ввод  3 3 4 3 5" xfId="39440"/>
    <cellStyle name="Ввод  3 3 4 4" xfId="23365"/>
    <cellStyle name="Ввод  3 3 4 5" xfId="25489"/>
    <cellStyle name="Ввод  3 3 4 6" xfId="35364"/>
    <cellStyle name="Ввод  3 3 5" xfId="12255"/>
    <cellStyle name="Ввод  3 3 5 2" xfId="17587"/>
    <cellStyle name="Ввод  3 3 5 2 2" xfId="31397"/>
    <cellStyle name="Ввод  3 3 5 2 3" xfId="41270"/>
    <cellStyle name="Ввод  3 3 5 3" xfId="20432"/>
    <cellStyle name="Ввод  3 3 5 4" xfId="26129"/>
    <cellStyle name="Ввод  3 3 5 5" xfId="36004"/>
    <cellStyle name="Ввод  3 3 6" xfId="13244"/>
    <cellStyle name="Ввод  3 3 6 2" xfId="16045"/>
    <cellStyle name="Ввод  3 3 6 2 2" xfId="29863"/>
    <cellStyle name="Ввод  3 3 6 2 3" xfId="39738"/>
    <cellStyle name="Ввод  3 3 6 3" xfId="18576"/>
    <cellStyle name="Ввод  3 3 6 3 2" xfId="32386"/>
    <cellStyle name="Ввод  3 3 6 3 3" xfId="42258"/>
    <cellStyle name="Ввод  3 3 6 4" xfId="27117"/>
    <cellStyle name="Ввод  3 3 6 5" xfId="36992"/>
    <cellStyle name="Ввод  3 3 7" xfId="13094"/>
    <cellStyle name="Ввод  3 3 7 2" xfId="18426"/>
    <cellStyle name="Ввод  3 3 7 2 2" xfId="32236"/>
    <cellStyle name="Ввод  3 3 7 2 3" xfId="42108"/>
    <cellStyle name="Ввод  3 3 7 3" xfId="26967"/>
    <cellStyle name="Ввод  3 3 7 4" xfId="36842"/>
    <cellStyle name="Ввод  3 3 8" xfId="17199"/>
    <cellStyle name="Ввод  3 3 8 2" xfId="21660"/>
    <cellStyle name="Ввод  3 3 8 3" xfId="31010"/>
    <cellStyle name="Ввод  3 3 8 4" xfId="40884"/>
    <cellStyle name="Ввод  3 3 9" xfId="21976"/>
    <cellStyle name="Ввод  3 4" xfId="7795"/>
    <cellStyle name="Ввод  3 5" xfId="7803"/>
    <cellStyle name="Ввод  3 6" xfId="7804"/>
    <cellStyle name="Ввод  3 7" xfId="7805"/>
    <cellStyle name="Ввод  3 8" xfId="7806"/>
    <cellStyle name="Ввод  3 9" xfId="7807"/>
    <cellStyle name="Ввод  4" xfId="1283"/>
    <cellStyle name="Ввод  4 10" xfId="7809"/>
    <cellStyle name="Ввод  4 11" xfId="7810"/>
    <cellStyle name="Ввод  4 12" xfId="7811"/>
    <cellStyle name="Ввод  4 13" xfId="7812"/>
    <cellStyle name="Ввод  4 14" xfId="7813"/>
    <cellStyle name="Ввод  4 15" xfId="11852"/>
    <cellStyle name="Ввод  4 15 10" xfId="25726"/>
    <cellStyle name="Ввод  4 15 11" xfId="35601"/>
    <cellStyle name="Ввод  4 15 2" xfId="14750"/>
    <cellStyle name="Ввод  4 15 2 2" xfId="16964"/>
    <cellStyle name="Ввод  4 15 2 2 2" xfId="23016"/>
    <cellStyle name="Ввод  4 15 2 2 3" xfId="30778"/>
    <cellStyle name="Ввод  4 15 2 2 4" xfId="40653"/>
    <cellStyle name="Ввод  4 15 2 3" xfId="20033"/>
    <cellStyle name="Ввод  4 15 2 3 2" xfId="33843"/>
    <cellStyle name="Ввод  4 15 2 3 3" xfId="43711"/>
    <cellStyle name="Ввод  4 15 2 4" xfId="28570"/>
    <cellStyle name="Ввод  4 15 2 5" xfId="38445"/>
    <cellStyle name="Ввод  4 15 3" xfId="14270"/>
    <cellStyle name="Ввод  4 15 3 2" xfId="19553"/>
    <cellStyle name="Ввод  4 15 3 2 2" xfId="33363"/>
    <cellStyle name="Ввод  4 15 3 2 3" xfId="43232"/>
    <cellStyle name="Ввод  4 15 3 3" xfId="28091"/>
    <cellStyle name="Ввод  4 15 3 4" xfId="37966"/>
    <cellStyle name="Ввод  4 15 4" xfId="20691"/>
    <cellStyle name="Ввод  4 15 5" xfId="21247"/>
    <cellStyle name="Ввод  4 15 6" xfId="21719"/>
    <cellStyle name="Ввод  4 15 7" xfId="22256"/>
    <cellStyle name="Ввод  4 15 8" xfId="22424"/>
    <cellStyle name="Ввод  4 15 9" xfId="23912"/>
    <cellStyle name="Ввод  4 16" xfId="12076"/>
    <cellStyle name="Ввод  4 16 10" xfId="24152"/>
    <cellStyle name="Ввод  4 16 11" xfId="25950"/>
    <cellStyle name="Ввод  4 16 12" xfId="35825"/>
    <cellStyle name="Ввод  4 16 2" xfId="14974"/>
    <cellStyle name="Ввод  4 16 2 2" xfId="20257"/>
    <cellStyle name="Ввод  4 16 2 2 2" xfId="34067"/>
    <cellStyle name="Ввод  4 16 2 2 3" xfId="43935"/>
    <cellStyle name="Ввод  4 16 2 3" xfId="23528"/>
    <cellStyle name="Ввод  4 16 2 4" xfId="28794"/>
    <cellStyle name="Ввод  4 16 2 5" xfId="38669"/>
    <cellStyle name="Ввод  4 16 3" xfId="20563"/>
    <cellStyle name="Ввод  4 16 4" xfId="20899"/>
    <cellStyle name="Ввод  4 16 5" xfId="21029"/>
    <cellStyle name="Ввод  4 16 6" xfId="21455"/>
    <cellStyle name="Ввод  4 16 7" xfId="21855"/>
    <cellStyle name="Ввод  4 16 8" xfId="22360"/>
    <cellStyle name="Ввод  4 16 9" xfId="22648"/>
    <cellStyle name="Ввод  4 17" xfId="12156"/>
    <cellStyle name="Ввод  4 17 10" xfId="24232"/>
    <cellStyle name="Ввод  4 17 11" xfId="26030"/>
    <cellStyle name="Ввод  4 17 12" xfId="35905"/>
    <cellStyle name="Ввод  4 17 2" xfId="15054"/>
    <cellStyle name="Ввод  4 17 2 2" xfId="20337"/>
    <cellStyle name="Ввод  4 17 2 2 2" xfId="34147"/>
    <cellStyle name="Ввод  4 17 2 2 3" xfId="44015"/>
    <cellStyle name="Ввод  4 17 2 3" xfId="23608"/>
    <cellStyle name="Ввод  4 17 2 4" xfId="28874"/>
    <cellStyle name="Ввод  4 17 2 5" xfId="38749"/>
    <cellStyle name="Ввод  4 17 3" xfId="20627"/>
    <cellStyle name="Ввод  4 17 4" xfId="20963"/>
    <cellStyle name="Ввод  4 17 5" xfId="21077"/>
    <cellStyle name="Ввод  4 17 6" xfId="21535"/>
    <cellStyle name="Ввод  4 17 7" xfId="21903"/>
    <cellStyle name="Ввод  4 17 8" xfId="22392"/>
    <cellStyle name="Ввод  4 17 9" xfId="22728"/>
    <cellStyle name="Ввод  4 18" xfId="11616"/>
    <cellStyle name="Ввод  4 18 2" xfId="14514"/>
    <cellStyle name="Ввод  4 18 2 2" xfId="19797"/>
    <cellStyle name="Ввод  4 18 2 2 2" xfId="33607"/>
    <cellStyle name="Ввод  4 18 2 2 3" xfId="43475"/>
    <cellStyle name="Ввод  4 18 2 3" xfId="28334"/>
    <cellStyle name="Ввод  4 18 2 4" xfId="38209"/>
    <cellStyle name="Ввод  4 18 3" xfId="15747"/>
    <cellStyle name="Ввод  4 18 3 2" xfId="22851"/>
    <cellStyle name="Ввод  4 18 3 3" xfId="24379"/>
    <cellStyle name="Ввод  4 18 3 4" xfId="29566"/>
    <cellStyle name="Ввод  4 18 3 5" xfId="39441"/>
    <cellStyle name="Ввод  4 18 4" xfId="23331"/>
    <cellStyle name="Ввод  4 18 5" xfId="25490"/>
    <cellStyle name="Ввод  4 18 6" xfId="35365"/>
    <cellStyle name="Ввод  4 19" xfId="13245"/>
    <cellStyle name="Ввод  4 19 2" xfId="16046"/>
    <cellStyle name="Ввод  4 19 2 2" xfId="29864"/>
    <cellStyle name="Ввод  4 19 2 3" xfId="39739"/>
    <cellStyle name="Ввод  4 19 3" xfId="18577"/>
    <cellStyle name="Ввод  4 19 3 2" xfId="32387"/>
    <cellStyle name="Ввод  4 19 3 3" xfId="42259"/>
    <cellStyle name="Ввод  4 19 4" xfId="27118"/>
    <cellStyle name="Ввод  4 19 5" xfId="36993"/>
    <cellStyle name="Ввод  4 2" xfId="1284"/>
    <cellStyle name="Ввод  4 2 10" xfId="23713"/>
    <cellStyle name="Ввод  4 2 11" xfId="24629"/>
    <cellStyle name="Ввод  4 2 12" xfId="34252"/>
    <cellStyle name="Ввод  4 2 13" xfId="34635"/>
    <cellStyle name="Ввод  4 2 2" xfId="7814"/>
    <cellStyle name="Ввод  4 2 3" xfId="11930"/>
    <cellStyle name="Ввод  4 2 3 10" xfId="25804"/>
    <cellStyle name="Ввод  4 2 3 11" xfId="35679"/>
    <cellStyle name="Ввод  4 2 3 2" xfId="14828"/>
    <cellStyle name="Ввод  4 2 3 2 2" xfId="17042"/>
    <cellStyle name="Ввод  4 2 3 2 2 2" xfId="23094"/>
    <cellStyle name="Ввод  4 2 3 2 2 3" xfId="30856"/>
    <cellStyle name="Ввод  4 2 3 2 2 4" xfId="40731"/>
    <cellStyle name="Ввод  4 2 3 2 3" xfId="20111"/>
    <cellStyle name="Ввод  4 2 3 2 3 2" xfId="33921"/>
    <cellStyle name="Ввод  4 2 3 2 3 3" xfId="43789"/>
    <cellStyle name="Ввод  4 2 3 2 4" xfId="28648"/>
    <cellStyle name="Ввод  4 2 3 2 5" xfId="38523"/>
    <cellStyle name="Ввод  4 2 3 3" xfId="14318"/>
    <cellStyle name="Ввод  4 2 3 3 2" xfId="19601"/>
    <cellStyle name="Ввод  4 2 3 3 2 2" xfId="33411"/>
    <cellStyle name="Ввод  4 2 3 3 2 3" xfId="43280"/>
    <cellStyle name="Ввод  4 2 3 3 3" xfId="28139"/>
    <cellStyle name="Ввод  4 2 3 3 4" xfId="38014"/>
    <cellStyle name="Ввод  4 2 3 4" xfId="20769"/>
    <cellStyle name="Ввод  4 2 3 5" xfId="21325"/>
    <cellStyle name="Ввод  4 2 3 6" xfId="21781"/>
    <cellStyle name="Ввод  4 2 3 7" xfId="22302"/>
    <cellStyle name="Ввод  4 2 3 8" xfId="22518"/>
    <cellStyle name="Ввод  4 2 3 9" xfId="24006"/>
    <cellStyle name="Ввод  4 2 4" xfId="11617"/>
    <cellStyle name="Ввод  4 2 4 2" xfId="14515"/>
    <cellStyle name="Ввод  4 2 4 2 2" xfId="19798"/>
    <cellStyle name="Ввод  4 2 4 2 2 2" xfId="33608"/>
    <cellStyle name="Ввод  4 2 4 2 2 3" xfId="43476"/>
    <cellStyle name="Ввод  4 2 4 2 3" xfId="28335"/>
    <cellStyle name="Ввод  4 2 4 2 4" xfId="38210"/>
    <cellStyle name="Ввод  4 2 4 3" xfId="15748"/>
    <cellStyle name="Ввод  4 2 4 3 2" xfId="22886"/>
    <cellStyle name="Ввод  4 2 4 3 3" xfId="24380"/>
    <cellStyle name="Ввод  4 2 4 3 4" xfId="29567"/>
    <cellStyle name="Ввод  4 2 4 3 5" xfId="39442"/>
    <cellStyle name="Ввод  4 2 4 4" xfId="23366"/>
    <cellStyle name="Ввод  4 2 4 5" xfId="25491"/>
    <cellStyle name="Ввод  4 2 4 6" xfId="35366"/>
    <cellStyle name="Ввод  4 2 5" xfId="12256"/>
    <cellStyle name="Ввод  4 2 5 2" xfId="17588"/>
    <cellStyle name="Ввод  4 2 5 2 2" xfId="31398"/>
    <cellStyle name="Ввод  4 2 5 2 3" xfId="41271"/>
    <cellStyle name="Ввод  4 2 5 3" xfId="20433"/>
    <cellStyle name="Ввод  4 2 5 4" xfId="26130"/>
    <cellStyle name="Ввод  4 2 5 5" xfId="36005"/>
    <cellStyle name="Ввод  4 2 6" xfId="13246"/>
    <cellStyle name="Ввод  4 2 6 2" xfId="16047"/>
    <cellStyle name="Ввод  4 2 6 2 2" xfId="29865"/>
    <cellStyle name="Ввод  4 2 6 2 3" xfId="39740"/>
    <cellStyle name="Ввод  4 2 6 3" xfId="18578"/>
    <cellStyle name="Ввод  4 2 6 3 2" xfId="32388"/>
    <cellStyle name="Ввод  4 2 6 3 3" xfId="42260"/>
    <cellStyle name="Ввод  4 2 6 4" xfId="27119"/>
    <cellStyle name="Ввод  4 2 6 5" xfId="36994"/>
    <cellStyle name="Ввод  4 2 7" xfId="13096"/>
    <cellStyle name="Ввод  4 2 7 2" xfId="18428"/>
    <cellStyle name="Ввод  4 2 7 2 2" xfId="32238"/>
    <cellStyle name="Ввод  4 2 7 2 3" xfId="42110"/>
    <cellStyle name="Ввод  4 2 7 3" xfId="26969"/>
    <cellStyle name="Ввод  4 2 7 4" xfId="36844"/>
    <cellStyle name="Ввод  4 2 8" xfId="17201"/>
    <cellStyle name="Ввод  4 2 8 2" xfId="21661"/>
    <cellStyle name="Ввод  4 2 8 3" xfId="31012"/>
    <cellStyle name="Ввод  4 2 8 4" xfId="40886"/>
    <cellStyle name="Ввод  4 2 9" xfId="21978"/>
    <cellStyle name="Ввод  4 20" xfId="13095"/>
    <cellStyle name="Ввод  4 20 2" xfId="18427"/>
    <cellStyle name="Ввод  4 20 2 2" xfId="32237"/>
    <cellStyle name="Ввод  4 20 2 3" xfId="42109"/>
    <cellStyle name="Ввод  4 20 3" xfId="26968"/>
    <cellStyle name="Ввод  4 20 4" xfId="36843"/>
    <cellStyle name="Ввод  4 21" xfId="17200"/>
    <cellStyle name="Ввод  4 21 2" xfId="21184"/>
    <cellStyle name="Ввод  4 21 3" xfId="31011"/>
    <cellStyle name="Ввод  4 21 4" xfId="40885"/>
    <cellStyle name="Ввод  4 22" xfId="21615"/>
    <cellStyle name="Ввод  4 23" xfId="21977"/>
    <cellStyle name="Ввод  4 24" xfId="23712"/>
    <cellStyle name="Ввод  4 25" xfId="24628"/>
    <cellStyle name="Ввод  4 26" xfId="34251"/>
    <cellStyle name="Ввод  4 27" xfId="34636"/>
    <cellStyle name="Ввод  4 3" xfId="1285"/>
    <cellStyle name="Ввод  4 3 10" xfId="23714"/>
    <cellStyle name="Ввод  4 3 11" xfId="24630"/>
    <cellStyle name="Ввод  4 3 12" xfId="34253"/>
    <cellStyle name="Ввод  4 3 13" xfId="34634"/>
    <cellStyle name="Ввод  4 3 2" xfId="7815"/>
    <cellStyle name="Ввод  4 3 3" xfId="11931"/>
    <cellStyle name="Ввод  4 3 3 10" xfId="25805"/>
    <cellStyle name="Ввод  4 3 3 11" xfId="35680"/>
    <cellStyle name="Ввод  4 3 3 2" xfId="14829"/>
    <cellStyle name="Ввод  4 3 3 2 2" xfId="17043"/>
    <cellStyle name="Ввод  4 3 3 2 2 2" xfId="23095"/>
    <cellStyle name="Ввод  4 3 3 2 2 3" xfId="30857"/>
    <cellStyle name="Ввод  4 3 3 2 2 4" xfId="40732"/>
    <cellStyle name="Ввод  4 3 3 2 3" xfId="20112"/>
    <cellStyle name="Ввод  4 3 3 2 3 2" xfId="33922"/>
    <cellStyle name="Ввод  4 3 3 2 3 3" xfId="43790"/>
    <cellStyle name="Ввод  4 3 3 2 4" xfId="28649"/>
    <cellStyle name="Ввод  4 3 3 2 5" xfId="38524"/>
    <cellStyle name="Ввод  4 3 3 3" xfId="14311"/>
    <cellStyle name="Ввод  4 3 3 3 2" xfId="19594"/>
    <cellStyle name="Ввод  4 3 3 3 2 2" xfId="33404"/>
    <cellStyle name="Ввод  4 3 3 3 2 3" xfId="43273"/>
    <cellStyle name="Ввод  4 3 3 3 3" xfId="28132"/>
    <cellStyle name="Ввод  4 3 3 3 4" xfId="38007"/>
    <cellStyle name="Ввод  4 3 3 4" xfId="20770"/>
    <cellStyle name="Ввод  4 3 3 5" xfId="21326"/>
    <cellStyle name="Ввод  4 3 3 6" xfId="21782"/>
    <cellStyle name="Ввод  4 3 3 7" xfId="22303"/>
    <cellStyle name="Ввод  4 3 3 8" xfId="22519"/>
    <cellStyle name="Ввод  4 3 3 9" xfId="24007"/>
    <cellStyle name="Ввод  4 3 4" xfId="11618"/>
    <cellStyle name="Ввод  4 3 4 2" xfId="14516"/>
    <cellStyle name="Ввод  4 3 4 2 2" xfId="19799"/>
    <cellStyle name="Ввод  4 3 4 2 2 2" xfId="33609"/>
    <cellStyle name="Ввод  4 3 4 2 2 3" xfId="43477"/>
    <cellStyle name="Ввод  4 3 4 2 3" xfId="28336"/>
    <cellStyle name="Ввод  4 3 4 2 4" xfId="38211"/>
    <cellStyle name="Ввод  4 3 4 3" xfId="15749"/>
    <cellStyle name="Ввод  4 3 4 3 2" xfId="22887"/>
    <cellStyle name="Ввод  4 3 4 3 3" xfId="24381"/>
    <cellStyle name="Ввод  4 3 4 3 4" xfId="29568"/>
    <cellStyle name="Ввод  4 3 4 3 5" xfId="39443"/>
    <cellStyle name="Ввод  4 3 4 4" xfId="23367"/>
    <cellStyle name="Ввод  4 3 4 5" xfId="25492"/>
    <cellStyle name="Ввод  4 3 4 6" xfId="35367"/>
    <cellStyle name="Ввод  4 3 5" xfId="12257"/>
    <cellStyle name="Ввод  4 3 5 2" xfId="17589"/>
    <cellStyle name="Ввод  4 3 5 2 2" xfId="31399"/>
    <cellStyle name="Ввод  4 3 5 2 3" xfId="41272"/>
    <cellStyle name="Ввод  4 3 5 3" xfId="20434"/>
    <cellStyle name="Ввод  4 3 5 4" xfId="26131"/>
    <cellStyle name="Ввод  4 3 5 5" xfId="36006"/>
    <cellStyle name="Ввод  4 3 6" xfId="13247"/>
    <cellStyle name="Ввод  4 3 6 2" xfId="16048"/>
    <cellStyle name="Ввод  4 3 6 2 2" xfId="29866"/>
    <cellStyle name="Ввод  4 3 6 2 3" xfId="39741"/>
    <cellStyle name="Ввод  4 3 6 3" xfId="18579"/>
    <cellStyle name="Ввод  4 3 6 3 2" xfId="32389"/>
    <cellStyle name="Ввод  4 3 6 3 3" xfId="42261"/>
    <cellStyle name="Ввод  4 3 6 4" xfId="27120"/>
    <cellStyle name="Ввод  4 3 6 5" xfId="36995"/>
    <cellStyle name="Ввод  4 3 7" xfId="13097"/>
    <cellStyle name="Ввод  4 3 7 2" xfId="18429"/>
    <cellStyle name="Ввод  4 3 7 2 2" xfId="32239"/>
    <cellStyle name="Ввод  4 3 7 2 3" xfId="42111"/>
    <cellStyle name="Ввод  4 3 7 3" xfId="26970"/>
    <cellStyle name="Ввод  4 3 7 4" xfId="36845"/>
    <cellStyle name="Ввод  4 3 8" xfId="17202"/>
    <cellStyle name="Ввод  4 3 8 2" xfId="21662"/>
    <cellStyle name="Ввод  4 3 8 3" xfId="31013"/>
    <cellStyle name="Ввод  4 3 8 4" xfId="40887"/>
    <cellStyle name="Ввод  4 3 9" xfId="21979"/>
    <cellStyle name="Ввод  4 4" xfId="7808"/>
    <cellStyle name="Ввод  4 5" xfId="7816"/>
    <cellStyle name="Ввод  4 6" xfId="7817"/>
    <cellStyle name="Ввод  4 7" xfId="7818"/>
    <cellStyle name="Ввод  4 8" xfId="7819"/>
    <cellStyle name="Ввод  4 9" xfId="7820"/>
    <cellStyle name="Ввод  5" xfId="1286"/>
    <cellStyle name="Ввод  5 10" xfId="7822"/>
    <cellStyle name="Ввод  5 11" xfId="7823"/>
    <cellStyle name="Ввод  5 12" xfId="7824"/>
    <cellStyle name="Ввод  5 13" xfId="7825"/>
    <cellStyle name="Ввод  5 14" xfId="7826"/>
    <cellStyle name="Ввод  5 15" xfId="11853"/>
    <cellStyle name="Ввод  5 15 10" xfId="25727"/>
    <cellStyle name="Ввод  5 15 11" xfId="35602"/>
    <cellStyle name="Ввод  5 15 2" xfId="14751"/>
    <cellStyle name="Ввод  5 15 2 2" xfId="16965"/>
    <cellStyle name="Ввод  5 15 2 2 2" xfId="23017"/>
    <cellStyle name="Ввод  5 15 2 2 3" xfId="30779"/>
    <cellStyle name="Ввод  5 15 2 2 4" xfId="40654"/>
    <cellStyle name="Ввод  5 15 2 3" xfId="20034"/>
    <cellStyle name="Ввод  5 15 2 3 2" xfId="33844"/>
    <cellStyle name="Ввод  5 15 2 3 3" xfId="43712"/>
    <cellStyle name="Ввод  5 15 2 4" xfId="28571"/>
    <cellStyle name="Ввод  5 15 2 5" xfId="38446"/>
    <cellStyle name="Ввод  5 15 3" xfId="14271"/>
    <cellStyle name="Ввод  5 15 3 2" xfId="19554"/>
    <cellStyle name="Ввод  5 15 3 2 2" xfId="33364"/>
    <cellStyle name="Ввод  5 15 3 2 3" xfId="43233"/>
    <cellStyle name="Ввод  5 15 3 3" xfId="28092"/>
    <cellStyle name="Ввод  5 15 3 4" xfId="37967"/>
    <cellStyle name="Ввод  5 15 4" xfId="20692"/>
    <cellStyle name="Ввод  5 15 5" xfId="21248"/>
    <cellStyle name="Ввод  5 15 6" xfId="21720"/>
    <cellStyle name="Ввод  5 15 7" xfId="22257"/>
    <cellStyle name="Ввод  5 15 8" xfId="22425"/>
    <cellStyle name="Ввод  5 15 9" xfId="23913"/>
    <cellStyle name="Ввод  5 16" xfId="12077"/>
    <cellStyle name="Ввод  5 16 10" xfId="24153"/>
    <cellStyle name="Ввод  5 16 11" xfId="25951"/>
    <cellStyle name="Ввод  5 16 12" xfId="35826"/>
    <cellStyle name="Ввод  5 16 2" xfId="14975"/>
    <cellStyle name="Ввод  5 16 2 2" xfId="20258"/>
    <cellStyle name="Ввод  5 16 2 2 2" xfId="34068"/>
    <cellStyle name="Ввод  5 16 2 2 3" xfId="43936"/>
    <cellStyle name="Ввод  5 16 2 3" xfId="23529"/>
    <cellStyle name="Ввод  5 16 2 4" xfId="28795"/>
    <cellStyle name="Ввод  5 16 2 5" xfId="38670"/>
    <cellStyle name="Ввод  5 16 3" xfId="20564"/>
    <cellStyle name="Ввод  5 16 4" xfId="20900"/>
    <cellStyle name="Ввод  5 16 5" xfId="21030"/>
    <cellStyle name="Ввод  5 16 6" xfId="21456"/>
    <cellStyle name="Ввод  5 16 7" xfId="21856"/>
    <cellStyle name="Ввод  5 16 8" xfId="22361"/>
    <cellStyle name="Ввод  5 16 9" xfId="22649"/>
    <cellStyle name="Ввод  5 17" xfId="12157"/>
    <cellStyle name="Ввод  5 17 10" xfId="24233"/>
    <cellStyle name="Ввод  5 17 11" xfId="26031"/>
    <cellStyle name="Ввод  5 17 12" xfId="35906"/>
    <cellStyle name="Ввод  5 17 2" xfId="15055"/>
    <cellStyle name="Ввод  5 17 2 2" xfId="20338"/>
    <cellStyle name="Ввод  5 17 2 2 2" xfId="34148"/>
    <cellStyle name="Ввод  5 17 2 2 3" xfId="44016"/>
    <cellStyle name="Ввод  5 17 2 3" xfId="23609"/>
    <cellStyle name="Ввод  5 17 2 4" xfId="28875"/>
    <cellStyle name="Ввод  5 17 2 5" xfId="38750"/>
    <cellStyle name="Ввод  5 17 3" xfId="20628"/>
    <cellStyle name="Ввод  5 17 4" xfId="20964"/>
    <cellStyle name="Ввод  5 17 5" xfId="21078"/>
    <cellStyle name="Ввод  5 17 6" xfId="21536"/>
    <cellStyle name="Ввод  5 17 7" xfId="21904"/>
    <cellStyle name="Ввод  5 17 8" xfId="22393"/>
    <cellStyle name="Ввод  5 17 9" xfId="22729"/>
    <cellStyle name="Ввод  5 18" xfId="11619"/>
    <cellStyle name="Ввод  5 18 2" xfId="14517"/>
    <cellStyle name="Ввод  5 18 2 2" xfId="19800"/>
    <cellStyle name="Ввод  5 18 2 2 2" xfId="33610"/>
    <cellStyle name="Ввод  5 18 2 2 3" xfId="43478"/>
    <cellStyle name="Ввод  5 18 2 3" xfId="28337"/>
    <cellStyle name="Ввод  5 18 2 4" xfId="38212"/>
    <cellStyle name="Ввод  5 18 3" xfId="15750"/>
    <cellStyle name="Ввод  5 18 3 2" xfId="22850"/>
    <cellStyle name="Ввод  5 18 3 3" xfId="24382"/>
    <cellStyle name="Ввод  5 18 3 4" xfId="29569"/>
    <cellStyle name="Ввод  5 18 3 5" xfId="39444"/>
    <cellStyle name="Ввод  5 18 4" xfId="23330"/>
    <cellStyle name="Ввод  5 18 5" xfId="25493"/>
    <cellStyle name="Ввод  5 18 6" xfId="35368"/>
    <cellStyle name="Ввод  5 19" xfId="13248"/>
    <cellStyle name="Ввод  5 19 2" xfId="16049"/>
    <cellStyle name="Ввод  5 19 2 2" xfId="29867"/>
    <cellStyle name="Ввод  5 19 2 3" xfId="39742"/>
    <cellStyle name="Ввод  5 19 3" xfId="18580"/>
    <cellStyle name="Ввод  5 19 3 2" xfId="32390"/>
    <cellStyle name="Ввод  5 19 3 3" xfId="42262"/>
    <cellStyle name="Ввод  5 19 4" xfId="27121"/>
    <cellStyle name="Ввод  5 19 5" xfId="36996"/>
    <cellStyle name="Ввод  5 2" xfId="1287"/>
    <cellStyle name="Ввод  5 2 10" xfId="23716"/>
    <cellStyle name="Ввод  5 2 11" xfId="24632"/>
    <cellStyle name="Ввод  5 2 12" xfId="34255"/>
    <cellStyle name="Ввод  5 2 13" xfId="34632"/>
    <cellStyle name="Ввод  5 2 2" xfId="7827"/>
    <cellStyle name="Ввод  5 2 3" xfId="11932"/>
    <cellStyle name="Ввод  5 2 3 10" xfId="25806"/>
    <cellStyle name="Ввод  5 2 3 11" xfId="35681"/>
    <cellStyle name="Ввод  5 2 3 2" xfId="14830"/>
    <cellStyle name="Ввод  5 2 3 2 2" xfId="17044"/>
    <cellStyle name="Ввод  5 2 3 2 2 2" xfId="23096"/>
    <cellStyle name="Ввод  5 2 3 2 2 3" xfId="30858"/>
    <cellStyle name="Ввод  5 2 3 2 2 4" xfId="40733"/>
    <cellStyle name="Ввод  5 2 3 2 3" xfId="20113"/>
    <cellStyle name="Ввод  5 2 3 2 3 2" xfId="33923"/>
    <cellStyle name="Ввод  5 2 3 2 3 3" xfId="43791"/>
    <cellStyle name="Ввод  5 2 3 2 4" xfId="28650"/>
    <cellStyle name="Ввод  5 2 3 2 5" xfId="38525"/>
    <cellStyle name="Ввод  5 2 3 3" xfId="14450"/>
    <cellStyle name="Ввод  5 2 3 3 2" xfId="19733"/>
    <cellStyle name="Ввод  5 2 3 3 2 2" xfId="33543"/>
    <cellStyle name="Ввод  5 2 3 3 2 3" xfId="43411"/>
    <cellStyle name="Ввод  5 2 3 3 3" xfId="28270"/>
    <cellStyle name="Ввод  5 2 3 3 4" xfId="38145"/>
    <cellStyle name="Ввод  5 2 3 4" xfId="20771"/>
    <cellStyle name="Ввод  5 2 3 5" xfId="21327"/>
    <cellStyle name="Ввод  5 2 3 6" xfId="21783"/>
    <cellStyle name="Ввод  5 2 3 7" xfId="22304"/>
    <cellStyle name="Ввод  5 2 3 8" xfId="22520"/>
    <cellStyle name="Ввод  5 2 3 9" xfId="24008"/>
    <cellStyle name="Ввод  5 2 4" xfId="11620"/>
    <cellStyle name="Ввод  5 2 4 2" xfId="14518"/>
    <cellStyle name="Ввод  5 2 4 2 2" xfId="19801"/>
    <cellStyle name="Ввод  5 2 4 2 2 2" xfId="33611"/>
    <cellStyle name="Ввод  5 2 4 2 2 3" xfId="43479"/>
    <cellStyle name="Ввод  5 2 4 2 3" xfId="28338"/>
    <cellStyle name="Ввод  5 2 4 2 4" xfId="38213"/>
    <cellStyle name="Ввод  5 2 4 3" xfId="15751"/>
    <cellStyle name="Ввод  5 2 4 3 2" xfId="22888"/>
    <cellStyle name="Ввод  5 2 4 3 3" xfId="24383"/>
    <cellStyle name="Ввод  5 2 4 3 4" xfId="29570"/>
    <cellStyle name="Ввод  5 2 4 3 5" xfId="39445"/>
    <cellStyle name="Ввод  5 2 4 4" xfId="23368"/>
    <cellStyle name="Ввод  5 2 4 5" xfId="25494"/>
    <cellStyle name="Ввод  5 2 4 6" xfId="35369"/>
    <cellStyle name="Ввод  5 2 5" xfId="12258"/>
    <cellStyle name="Ввод  5 2 5 2" xfId="17590"/>
    <cellStyle name="Ввод  5 2 5 2 2" xfId="31400"/>
    <cellStyle name="Ввод  5 2 5 2 3" xfId="41273"/>
    <cellStyle name="Ввод  5 2 5 3" xfId="20435"/>
    <cellStyle name="Ввод  5 2 5 4" xfId="26132"/>
    <cellStyle name="Ввод  5 2 5 5" xfId="36007"/>
    <cellStyle name="Ввод  5 2 6" xfId="13249"/>
    <cellStyle name="Ввод  5 2 6 2" xfId="16050"/>
    <cellStyle name="Ввод  5 2 6 2 2" xfId="29868"/>
    <cellStyle name="Ввод  5 2 6 2 3" xfId="39743"/>
    <cellStyle name="Ввод  5 2 6 3" xfId="18581"/>
    <cellStyle name="Ввод  5 2 6 3 2" xfId="32391"/>
    <cellStyle name="Ввод  5 2 6 3 3" xfId="42263"/>
    <cellStyle name="Ввод  5 2 6 4" xfId="27122"/>
    <cellStyle name="Ввод  5 2 6 5" xfId="36997"/>
    <cellStyle name="Ввод  5 2 7" xfId="13099"/>
    <cellStyle name="Ввод  5 2 7 2" xfId="18431"/>
    <cellStyle name="Ввод  5 2 7 2 2" xfId="32241"/>
    <cellStyle name="Ввод  5 2 7 2 3" xfId="42113"/>
    <cellStyle name="Ввод  5 2 7 3" xfId="26972"/>
    <cellStyle name="Ввод  5 2 7 4" xfId="36847"/>
    <cellStyle name="Ввод  5 2 8" xfId="17204"/>
    <cellStyle name="Ввод  5 2 8 2" xfId="21663"/>
    <cellStyle name="Ввод  5 2 8 3" xfId="31015"/>
    <cellStyle name="Ввод  5 2 8 4" xfId="40889"/>
    <cellStyle name="Ввод  5 2 9" xfId="21981"/>
    <cellStyle name="Ввод  5 20" xfId="13098"/>
    <cellStyle name="Ввод  5 20 2" xfId="18430"/>
    <cellStyle name="Ввод  5 20 2 2" xfId="32240"/>
    <cellStyle name="Ввод  5 20 2 3" xfId="42112"/>
    <cellStyle name="Ввод  5 20 3" xfId="26971"/>
    <cellStyle name="Ввод  5 20 4" xfId="36846"/>
    <cellStyle name="Ввод  5 21" xfId="17203"/>
    <cellStyle name="Ввод  5 21 2" xfId="21183"/>
    <cellStyle name="Ввод  5 21 3" xfId="31014"/>
    <cellStyle name="Ввод  5 21 4" xfId="40888"/>
    <cellStyle name="Ввод  5 22" xfId="21616"/>
    <cellStyle name="Ввод  5 23" xfId="21980"/>
    <cellStyle name="Ввод  5 24" xfId="23715"/>
    <cellStyle name="Ввод  5 25" xfId="24631"/>
    <cellStyle name="Ввод  5 26" xfId="34254"/>
    <cellStyle name="Ввод  5 27" xfId="34633"/>
    <cellStyle name="Ввод  5 3" xfId="1288"/>
    <cellStyle name="Ввод  5 3 10" xfId="23717"/>
    <cellStyle name="Ввод  5 3 11" xfId="24633"/>
    <cellStyle name="Ввод  5 3 12" xfId="34256"/>
    <cellStyle name="Ввод  5 3 13" xfId="34631"/>
    <cellStyle name="Ввод  5 3 2" xfId="7828"/>
    <cellStyle name="Ввод  5 3 3" xfId="11933"/>
    <cellStyle name="Ввод  5 3 3 10" xfId="25807"/>
    <cellStyle name="Ввод  5 3 3 11" xfId="35682"/>
    <cellStyle name="Ввод  5 3 3 2" xfId="14831"/>
    <cellStyle name="Ввод  5 3 3 2 2" xfId="17045"/>
    <cellStyle name="Ввод  5 3 3 2 2 2" xfId="23097"/>
    <cellStyle name="Ввод  5 3 3 2 2 3" xfId="30859"/>
    <cellStyle name="Ввод  5 3 3 2 2 4" xfId="40734"/>
    <cellStyle name="Ввод  5 3 3 2 3" xfId="20114"/>
    <cellStyle name="Ввод  5 3 3 2 3 2" xfId="33924"/>
    <cellStyle name="Ввод  5 3 3 2 3 3" xfId="43792"/>
    <cellStyle name="Ввод  5 3 3 2 4" xfId="28651"/>
    <cellStyle name="Ввод  5 3 3 2 5" xfId="38526"/>
    <cellStyle name="Ввод  5 3 3 3" xfId="14451"/>
    <cellStyle name="Ввод  5 3 3 3 2" xfId="19734"/>
    <cellStyle name="Ввод  5 3 3 3 2 2" xfId="33544"/>
    <cellStyle name="Ввод  5 3 3 3 2 3" xfId="43412"/>
    <cellStyle name="Ввод  5 3 3 3 3" xfId="28271"/>
    <cellStyle name="Ввод  5 3 3 3 4" xfId="38146"/>
    <cellStyle name="Ввод  5 3 3 4" xfId="20772"/>
    <cellStyle name="Ввод  5 3 3 5" xfId="21328"/>
    <cellStyle name="Ввод  5 3 3 6" xfId="21784"/>
    <cellStyle name="Ввод  5 3 3 7" xfId="22305"/>
    <cellStyle name="Ввод  5 3 3 8" xfId="22521"/>
    <cellStyle name="Ввод  5 3 3 9" xfId="24009"/>
    <cellStyle name="Ввод  5 3 4" xfId="11621"/>
    <cellStyle name="Ввод  5 3 4 2" xfId="14519"/>
    <cellStyle name="Ввод  5 3 4 2 2" xfId="19802"/>
    <cellStyle name="Ввод  5 3 4 2 2 2" xfId="33612"/>
    <cellStyle name="Ввод  5 3 4 2 2 3" xfId="43480"/>
    <cellStyle name="Ввод  5 3 4 2 3" xfId="28339"/>
    <cellStyle name="Ввод  5 3 4 2 4" xfId="38214"/>
    <cellStyle name="Ввод  5 3 4 3" xfId="15752"/>
    <cellStyle name="Ввод  5 3 4 3 2" xfId="22889"/>
    <cellStyle name="Ввод  5 3 4 3 3" xfId="24384"/>
    <cellStyle name="Ввод  5 3 4 3 4" xfId="29571"/>
    <cellStyle name="Ввод  5 3 4 3 5" xfId="39446"/>
    <cellStyle name="Ввод  5 3 4 4" xfId="23369"/>
    <cellStyle name="Ввод  5 3 4 5" xfId="25495"/>
    <cellStyle name="Ввод  5 3 4 6" xfId="35370"/>
    <cellStyle name="Ввод  5 3 5" xfId="12259"/>
    <cellStyle name="Ввод  5 3 5 2" xfId="17591"/>
    <cellStyle name="Ввод  5 3 5 2 2" xfId="31401"/>
    <cellStyle name="Ввод  5 3 5 2 3" xfId="41274"/>
    <cellStyle name="Ввод  5 3 5 3" xfId="20436"/>
    <cellStyle name="Ввод  5 3 5 4" xfId="26133"/>
    <cellStyle name="Ввод  5 3 5 5" xfId="36008"/>
    <cellStyle name="Ввод  5 3 6" xfId="13250"/>
    <cellStyle name="Ввод  5 3 6 2" xfId="16051"/>
    <cellStyle name="Ввод  5 3 6 2 2" xfId="29869"/>
    <cellStyle name="Ввод  5 3 6 2 3" xfId="39744"/>
    <cellStyle name="Ввод  5 3 6 3" xfId="18582"/>
    <cellStyle name="Ввод  5 3 6 3 2" xfId="32392"/>
    <cellStyle name="Ввод  5 3 6 3 3" xfId="42264"/>
    <cellStyle name="Ввод  5 3 6 4" xfId="27123"/>
    <cellStyle name="Ввод  5 3 6 5" xfId="36998"/>
    <cellStyle name="Ввод  5 3 7" xfId="13100"/>
    <cellStyle name="Ввод  5 3 7 2" xfId="18432"/>
    <cellStyle name="Ввод  5 3 7 2 2" xfId="32242"/>
    <cellStyle name="Ввод  5 3 7 2 3" xfId="42114"/>
    <cellStyle name="Ввод  5 3 7 3" xfId="26973"/>
    <cellStyle name="Ввод  5 3 7 4" xfId="36848"/>
    <cellStyle name="Ввод  5 3 8" xfId="17205"/>
    <cellStyle name="Ввод  5 3 8 2" xfId="21664"/>
    <cellStyle name="Ввод  5 3 8 3" xfId="31016"/>
    <cellStyle name="Ввод  5 3 8 4" xfId="40890"/>
    <cellStyle name="Ввод  5 3 9" xfId="21982"/>
    <cellStyle name="Ввод  5 4" xfId="7821"/>
    <cellStyle name="Ввод  5 5" xfId="7829"/>
    <cellStyle name="Ввод  5 6" xfId="7830"/>
    <cellStyle name="Ввод  5 7" xfId="7831"/>
    <cellStyle name="Ввод  5 8" xfId="7832"/>
    <cellStyle name="Ввод  5 9" xfId="7833"/>
    <cellStyle name="Ввод  6" xfId="1289"/>
    <cellStyle name="Ввод  6 10" xfId="7835"/>
    <cellStyle name="Ввод  6 11" xfId="7836"/>
    <cellStyle name="Ввод  6 12" xfId="7837"/>
    <cellStyle name="Ввод  6 13" xfId="7838"/>
    <cellStyle name="Ввод  6 14" xfId="7839"/>
    <cellStyle name="Ввод  6 15" xfId="11854"/>
    <cellStyle name="Ввод  6 15 10" xfId="25728"/>
    <cellStyle name="Ввод  6 15 11" xfId="35603"/>
    <cellStyle name="Ввод  6 15 2" xfId="14752"/>
    <cellStyle name="Ввод  6 15 2 2" xfId="16966"/>
    <cellStyle name="Ввод  6 15 2 2 2" xfId="23018"/>
    <cellStyle name="Ввод  6 15 2 2 3" xfId="30780"/>
    <cellStyle name="Ввод  6 15 2 2 4" xfId="40655"/>
    <cellStyle name="Ввод  6 15 2 3" xfId="20035"/>
    <cellStyle name="Ввод  6 15 2 3 2" xfId="33845"/>
    <cellStyle name="Ввод  6 15 2 3 3" xfId="43713"/>
    <cellStyle name="Ввод  6 15 2 4" xfId="28572"/>
    <cellStyle name="Ввод  6 15 2 5" xfId="38447"/>
    <cellStyle name="Ввод  6 15 3" xfId="13045"/>
    <cellStyle name="Ввод  6 15 3 2" xfId="18377"/>
    <cellStyle name="Ввод  6 15 3 2 2" xfId="32187"/>
    <cellStyle name="Ввод  6 15 3 2 3" xfId="42060"/>
    <cellStyle name="Ввод  6 15 3 3" xfId="26919"/>
    <cellStyle name="Ввод  6 15 3 4" xfId="36794"/>
    <cellStyle name="Ввод  6 15 4" xfId="20693"/>
    <cellStyle name="Ввод  6 15 5" xfId="21249"/>
    <cellStyle name="Ввод  6 15 6" xfId="21721"/>
    <cellStyle name="Ввод  6 15 7" xfId="22258"/>
    <cellStyle name="Ввод  6 15 8" xfId="22426"/>
    <cellStyle name="Ввод  6 15 9" xfId="23914"/>
    <cellStyle name="Ввод  6 16" xfId="12078"/>
    <cellStyle name="Ввод  6 16 10" xfId="24154"/>
    <cellStyle name="Ввод  6 16 11" xfId="25952"/>
    <cellStyle name="Ввод  6 16 12" xfId="35827"/>
    <cellStyle name="Ввод  6 16 2" xfId="14976"/>
    <cellStyle name="Ввод  6 16 2 2" xfId="20259"/>
    <cellStyle name="Ввод  6 16 2 2 2" xfId="34069"/>
    <cellStyle name="Ввод  6 16 2 2 3" xfId="43937"/>
    <cellStyle name="Ввод  6 16 2 3" xfId="23530"/>
    <cellStyle name="Ввод  6 16 2 4" xfId="28796"/>
    <cellStyle name="Ввод  6 16 2 5" xfId="38671"/>
    <cellStyle name="Ввод  6 16 3" xfId="20565"/>
    <cellStyle name="Ввод  6 16 4" xfId="20901"/>
    <cellStyle name="Ввод  6 16 5" xfId="21031"/>
    <cellStyle name="Ввод  6 16 6" xfId="21457"/>
    <cellStyle name="Ввод  6 16 7" xfId="21857"/>
    <cellStyle name="Ввод  6 16 8" xfId="22362"/>
    <cellStyle name="Ввод  6 16 9" xfId="22650"/>
    <cellStyle name="Ввод  6 17" xfId="12158"/>
    <cellStyle name="Ввод  6 17 10" xfId="24234"/>
    <cellStyle name="Ввод  6 17 11" xfId="26032"/>
    <cellStyle name="Ввод  6 17 12" xfId="35907"/>
    <cellStyle name="Ввод  6 17 2" xfId="15056"/>
    <cellStyle name="Ввод  6 17 2 2" xfId="20339"/>
    <cellStyle name="Ввод  6 17 2 2 2" xfId="34149"/>
    <cellStyle name="Ввод  6 17 2 2 3" xfId="44017"/>
    <cellStyle name="Ввод  6 17 2 3" xfId="23610"/>
    <cellStyle name="Ввод  6 17 2 4" xfId="28876"/>
    <cellStyle name="Ввод  6 17 2 5" xfId="38751"/>
    <cellStyle name="Ввод  6 17 3" xfId="20629"/>
    <cellStyle name="Ввод  6 17 4" xfId="20965"/>
    <cellStyle name="Ввод  6 17 5" xfId="21079"/>
    <cellStyle name="Ввод  6 17 6" xfId="21537"/>
    <cellStyle name="Ввод  6 17 7" xfId="21905"/>
    <cellStyle name="Ввод  6 17 8" xfId="22394"/>
    <cellStyle name="Ввод  6 17 9" xfId="22730"/>
    <cellStyle name="Ввод  6 18" xfId="11622"/>
    <cellStyle name="Ввод  6 18 2" xfId="14520"/>
    <cellStyle name="Ввод  6 18 2 2" xfId="19803"/>
    <cellStyle name="Ввод  6 18 2 2 2" xfId="33613"/>
    <cellStyle name="Ввод  6 18 2 2 3" xfId="43481"/>
    <cellStyle name="Ввод  6 18 2 3" xfId="28340"/>
    <cellStyle name="Ввод  6 18 2 4" xfId="38215"/>
    <cellStyle name="Ввод  6 18 3" xfId="15753"/>
    <cellStyle name="Ввод  6 18 3 2" xfId="22849"/>
    <cellStyle name="Ввод  6 18 3 3" xfId="24385"/>
    <cellStyle name="Ввод  6 18 3 4" xfId="29572"/>
    <cellStyle name="Ввод  6 18 3 5" xfId="39447"/>
    <cellStyle name="Ввод  6 18 4" xfId="23329"/>
    <cellStyle name="Ввод  6 18 5" xfId="25496"/>
    <cellStyle name="Ввод  6 18 6" xfId="35371"/>
    <cellStyle name="Ввод  6 19" xfId="13251"/>
    <cellStyle name="Ввод  6 19 2" xfId="16052"/>
    <cellStyle name="Ввод  6 19 2 2" xfId="29870"/>
    <cellStyle name="Ввод  6 19 2 3" xfId="39745"/>
    <cellStyle name="Ввод  6 19 3" xfId="18583"/>
    <cellStyle name="Ввод  6 19 3 2" xfId="32393"/>
    <cellStyle name="Ввод  6 19 3 3" xfId="42265"/>
    <cellStyle name="Ввод  6 19 4" xfId="27124"/>
    <cellStyle name="Ввод  6 19 5" xfId="36999"/>
    <cellStyle name="Ввод  6 2" xfId="1290"/>
    <cellStyle name="Ввод  6 2 10" xfId="23719"/>
    <cellStyle name="Ввод  6 2 11" xfId="24635"/>
    <cellStyle name="Ввод  6 2 12" xfId="34258"/>
    <cellStyle name="Ввод  6 2 13" xfId="34629"/>
    <cellStyle name="Ввод  6 2 2" xfId="7840"/>
    <cellStyle name="Ввод  6 2 3" xfId="11934"/>
    <cellStyle name="Ввод  6 2 3 10" xfId="25808"/>
    <cellStyle name="Ввод  6 2 3 11" xfId="35683"/>
    <cellStyle name="Ввод  6 2 3 2" xfId="14832"/>
    <cellStyle name="Ввод  6 2 3 2 2" xfId="17046"/>
    <cellStyle name="Ввод  6 2 3 2 2 2" xfId="23098"/>
    <cellStyle name="Ввод  6 2 3 2 2 3" xfId="30860"/>
    <cellStyle name="Ввод  6 2 3 2 2 4" xfId="40735"/>
    <cellStyle name="Ввод  6 2 3 2 3" xfId="20115"/>
    <cellStyle name="Ввод  6 2 3 2 3 2" xfId="33925"/>
    <cellStyle name="Ввод  6 2 3 2 3 3" xfId="43793"/>
    <cellStyle name="Ввод  6 2 3 2 4" xfId="28652"/>
    <cellStyle name="Ввод  6 2 3 2 5" xfId="38527"/>
    <cellStyle name="Ввод  6 2 3 3" xfId="14319"/>
    <cellStyle name="Ввод  6 2 3 3 2" xfId="19602"/>
    <cellStyle name="Ввод  6 2 3 3 2 2" xfId="33412"/>
    <cellStyle name="Ввод  6 2 3 3 2 3" xfId="43281"/>
    <cellStyle name="Ввод  6 2 3 3 3" xfId="28140"/>
    <cellStyle name="Ввод  6 2 3 3 4" xfId="38015"/>
    <cellStyle name="Ввод  6 2 3 4" xfId="20773"/>
    <cellStyle name="Ввод  6 2 3 5" xfId="21329"/>
    <cellStyle name="Ввод  6 2 3 6" xfId="21785"/>
    <cellStyle name="Ввод  6 2 3 7" xfId="22306"/>
    <cellStyle name="Ввод  6 2 3 8" xfId="22522"/>
    <cellStyle name="Ввод  6 2 3 9" xfId="24010"/>
    <cellStyle name="Ввод  6 2 4" xfId="11623"/>
    <cellStyle name="Ввод  6 2 4 2" xfId="14521"/>
    <cellStyle name="Ввод  6 2 4 2 2" xfId="19804"/>
    <cellStyle name="Ввод  6 2 4 2 2 2" xfId="33614"/>
    <cellStyle name="Ввод  6 2 4 2 2 3" xfId="43482"/>
    <cellStyle name="Ввод  6 2 4 2 3" xfId="28341"/>
    <cellStyle name="Ввод  6 2 4 2 4" xfId="38216"/>
    <cellStyle name="Ввод  6 2 4 3" xfId="15754"/>
    <cellStyle name="Ввод  6 2 4 3 2" xfId="22890"/>
    <cellStyle name="Ввод  6 2 4 3 3" xfId="24386"/>
    <cellStyle name="Ввод  6 2 4 3 4" xfId="29573"/>
    <cellStyle name="Ввод  6 2 4 3 5" xfId="39448"/>
    <cellStyle name="Ввод  6 2 4 4" xfId="23370"/>
    <cellStyle name="Ввод  6 2 4 5" xfId="25497"/>
    <cellStyle name="Ввод  6 2 4 6" xfId="35372"/>
    <cellStyle name="Ввод  6 2 5" xfId="12260"/>
    <cellStyle name="Ввод  6 2 5 2" xfId="17592"/>
    <cellStyle name="Ввод  6 2 5 2 2" xfId="31402"/>
    <cellStyle name="Ввод  6 2 5 2 3" xfId="41275"/>
    <cellStyle name="Ввод  6 2 5 3" xfId="20437"/>
    <cellStyle name="Ввод  6 2 5 4" xfId="26134"/>
    <cellStyle name="Ввод  6 2 5 5" xfId="36009"/>
    <cellStyle name="Ввод  6 2 6" xfId="13252"/>
    <cellStyle name="Ввод  6 2 6 2" xfId="16053"/>
    <cellStyle name="Ввод  6 2 6 2 2" xfId="29871"/>
    <cellStyle name="Ввод  6 2 6 2 3" xfId="39746"/>
    <cellStyle name="Ввод  6 2 6 3" xfId="18584"/>
    <cellStyle name="Ввод  6 2 6 3 2" xfId="32394"/>
    <cellStyle name="Ввод  6 2 6 3 3" xfId="42266"/>
    <cellStyle name="Ввод  6 2 6 4" xfId="27125"/>
    <cellStyle name="Ввод  6 2 6 5" xfId="37000"/>
    <cellStyle name="Ввод  6 2 7" xfId="13102"/>
    <cellStyle name="Ввод  6 2 7 2" xfId="18434"/>
    <cellStyle name="Ввод  6 2 7 2 2" xfId="32244"/>
    <cellStyle name="Ввод  6 2 7 2 3" xfId="42116"/>
    <cellStyle name="Ввод  6 2 7 3" xfId="26975"/>
    <cellStyle name="Ввод  6 2 7 4" xfId="36850"/>
    <cellStyle name="Ввод  6 2 8" xfId="17207"/>
    <cellStyle name="Ввод  6 2 8 2" xfId="21665"/>
    <cellStyle name="Ввод  6 2 8 3" xfId="31018"/>
    <cellStyle name="Ввод  6 2 8 4" xfId="40892"/>
    <cellStyle name="Ввод  6 2 9" xfId="21984"/>
    <cellStyle name="Ввод  6 20" xfId="13101"/>
    <cellStyle name="Ввод  6 20 2" xfId="18433"/>
    <cellStyle name="Ввод  6 20 2 2" xfId="32243"/>
    <cellStyle name="Ввод  6 20 2 3" xfId="42115"/>
    <cellStyle name="Ввод  6 20 3" xfId="26974"/>
    <cellStyle name="Ввод  6 20 4" xfId="36849"/>
    <cellStyle name="Ввод  6 21" xfId="17206"/>
    <cellStyle name="Ввод  6 21 2" xfId="21182"/>
    <cellStyle name="Ввод  6 21 3" xfId="31017"/>
    <cellStyle name="Ввод  6 21 4" xfId="40891"/>
    <cellStyle name="Ввод  6 22" xfId="21617"/>
    <cellStyle name="Ввод  6 23" xfId="21983"/>
    <cellStyle name="Ввод  6 24" xfId="23718"/>
    <cellStyle name="Ввод  6 25" xfId="24634"/>
    <cellStyle name="Ввод  6 26" xfId="34257"/>
    <cellStyle name="Ввод  6 27" xfId="34630"/>
    <cellStyle name="Ввод  6 3" xfId="1291"/>
    <cellStyle name="Ввод  6 3 10" xfId="23720"/>
    <cellStyle name="Ввод  6 3 11" xfId="24636"/>
    <cellStyle name="Ввод  6 3 12" xfId="34259"/>
    <cellStyle name="Ввод  6 3 13" xfId="34628"/>
    <cellStyle name="Ввод  6 3 2" xfId="7841"/>
    <cellStyle name="Ввод  6 3 3" xfId="11935"/>
    <cellStyle name="Ввод  6 3 3 10" xfId="25809"/>
    <cellStyle name="Ввод  6 3 3 11" xfId="35684"/>
    <cellStyle name="Ввод  6 3 3 2" xfId="14833"/>
    <cellStyle name="Ввод  6 3 3 2 2" xfId="17047"/>
    <cellStyle name="Ввод  6 3 3 2 2 2" xfId="23099"/>
    <cellStyle name="Ввод  6 3 3 2 2 3" xfId="30861"/>
    <cellStyle name="Ввод  6 3 3 2 2 4" xfId="40736"/>
    <cellStyle name="Ввод  6 3 3 2 3" xfId="20116"/>
    <cellStyle name="Ввод  6 3 3 2 3 2" xfId="33926"/>
    <cellStyle name="Ввод  6 3 3 2 3 3" xfId="43794"/>
    <cellStyle name="Ввод  6 3 3 2 4" xfId="28653"/>
    <cellStyle name="Ввод  6 3 3 2 5" xfId="38528"/>
    <cellStyle name="Ввод  6 3 3 3" xfId="14320"/>
    <cellStyle name="Ввод  6 3 3 3 2" xfId="19603"/>
    <cellStyle name="Ввод  6 3 3 3 2 2" xfId="33413"/>
    <cellStyle name="Ввод  6 3 3 3 2 3" xfId="43282"/>
    <cellStyle name="Ввод  6 3 3 3 3" xfId="28141"/>
    <cellStyle name="Ввод  6 3 3 3 4" xfId="38016"/>
    <cellStyle name="Ввод  6 3 3 4" xfId="20774"/>
    <cellStyle name="Ввод  6 3 3 5" xfId="21330"/>
    <cellStyle name="Ввод  6 3 3 6" xfId="21786"/>
    <cellStyle name="Ввод  6 3 3 7" xfId="22307"/>
    <cellStyle name="Ввод  6 3 3 8" xfId="22523"/>
    <cellStyle name="Ввод  6 3 3 9" xfId="24011"/>
    <cellStyle name="Ввод  6 3 4" xfId="11624"/>
    <cellStyle name="Ввод  6 3 4 2" xfId="14522"/>
    <cellStyle name="Ввод  6 3 4 2 2" xfId="19805"/>
    <cellStyle name="Ввод  6 3 4 2 2 2" xfId="33615"/>
    <cellStyle name="Ввод  6 3 4 2 2 3" xfId="43483"/>
    <cellStyle name="Ввод  6 3 4 2 3" xfId="28342"/>
    <cellStyle name="Ввод  6 3 4 2 4" xfId="38217"/>
    <cellStyle name="Ввод  6 3 4 3" xfId="15755"/>
    <cellStyle name="Ввод  6 3 4 3 2" xfId="22891"/>
    <cellStyle name="Ввод  6 3 4 3 3" xfId="24387"/>
    <cellStyle name="Ввод  6 3 4 3 4" xfId="29574"/>
    <cellStyle name="Ввод  6 3 4 3 5" xfId="39449"/>
    <cellStyle name="Ввод  6 3 4 4" xfId="23371"/>
    <cellStyle name="Ввод  6 3 4 5" xfId="25498"/>
    <cellStyle name="Ввод  6 3 4 6" xfId="35373"/>
    <cellStyle name="Ввод  6 3 5" xfId="12261"/>
    <cellStyle name="Ввод  6 3 5 2" xfId="17593"/>
    <cellStyle name="Ввод  6 3 5 2 2" xfId="31403"/>
    <cellStyle name="Ввод  6 3 5 2 3" xfId="41276"/>
    <cellStyle name="Ввод  6 3 5 3" xfId="20438"/>
    <cellStyle name="Ввод  6 3 5 4" xfId="26135"/>
    <cellStyle name="Ввод  6 3 5 5" xfId="36010"/>
    <cellStyle name="Ввод  6 3 6" xfId="13253"/>
    <cellStyle name="Ввод  6 3 6 2" xfId="16054"/>
    <cellStyle name="Ввод  6 3 6 2 2" xfId="29872"/>
    <cellStyle name="Ввод  6 3 6 2 3" xfId="39747"/>
    <cellStyle name="Ввод  6 3 6 3" xfId="18585"/>
    <cellStyle name="Ввод  6 3 6 3 2" xfId="32395"/>
    <cellStyle name="Ввод  6 3 6 3 3" xfId="42267"/>
    <cellStyle name="Ввод  6 3 6 4" xfId="27126"/>
    <cellStyle name="Ввод  6 3 6 5" xfId="37001"/>
    <cellStyle name="Ввод  6 3 7" xfId="13103"/>
    <cellStyle name="Ввод  6 3 7 2" xfId="18435"/>
    <cellStyle name="Ввод  6 3 7 2 2" xfId="32245"/>
    <cellStyle name="Ввод  6 3 7 2 3" xfId="42117"/>
    <cellStyle name="Ввод  6 3 7 3" xfId="26976"/>
    <cellStyle name="Ввод  6 3 7 4" xfId="36851"/>
    <cellStyle name="Ввод  6 3 8" xfId="17208"/>
    <cellStyle name="Ввод  6 3 8 2" xfId="21666"/>
    <cellStyle name="Ввод  6 3 8 3" xfId="31019"/>
    <cellStyle name="Ввод  6 3 8 4" xfId="40893"/>
    <cellStyle name="Ввод  6 3 9" xfId="21985"/>
    <cellStyle name="Ввод  6 4" xfId="7834"/>
    <cellStyle name="Ввод  6 5" xfId="7842"/>
    <cellStyle name="Ввод  6 6" xfId="7843"/>
    <cellStyle name="Ввод  6 7" xfId="7844"/>
    <cellStyle name="Ввод  6 8" xfId="7845"/>
    <cellStyle name="Ввод  6 9" xfId="7846"/>
    <cellStyle name="Ввод  7" xfId="1292"/>
    <cellStyle name="Ввод  7 10" xfId="7848"/>
    <cellStyle name="Ввод  7 11" xfId="7849"/>
    <cellStyle name="Ввод  7 12" xfId="7850"/>
    <cellStyle name="Ввод  7 13" xfId="7851"/>
    <cellStyle name="Ввод  7 14" xfId="7852"/>
    <cellStyle name="Ввод  7 15" xfId="11855"/>
    <cellStyle name="Ввод  7 15 10" xfId="25729"/>
    <cellStyle name="Ввод  7 15 11" xfId="35604"/>
    <cellStyle name="Ввод  7 15 2" xfId="14753"/>
    <cellStyle name="Ввод  7 15 2 2" xfId="16967"/>
    <cellStyle name="Ввод  7 15 2 2 2" xfId="23019"/>
    <cellStyle name="Ввод  7 15 2 2 3" xfId="30781"/>
    <cellStyle name="Ввод  7 15 2 2 4" xfId="40656"/>
    <cellStyle name="Ввод  7 15 2 3" xfId="20036"/>
    <cellStyle name="Ввод  7 15 2 3 2" xfId="33846"/>
    <cellStyle name="Ввод  7 15 2 3 3" xfId="43714"/>
    <cellStyle name="Ввод  7 15 2 4" xfId="28573"/>
    <cellStyle name="Ввод  7 15 2 5" xfId="38448"/>
    <cellStyle name="Ввод  7 15 3" xfId="14273"/>
    <cellStyle name="Ввод  7 15 3 2" xfId="19556"/>
    <cellStyle name="Ввод  7 15 3 2 2" xfId="33366"/>
    <cellStyle name="Ввод  7 15 3 2 3" xfId="43235"/>
    <cellStyle name="Ввод  7 15 3 3" xfId="28094"/>
    <cellStyle name="Ввод  7 15 3 4" xfId="37969"/>
    <cellStyle name="Ввод  7 15 4" xfId="20694"/>
    <cellStyle name="Ввод  7 15 5" xfId="21250"/>
    <cellStyle name="Ввод  7 15 6" xfId="21722"/>
    <cellStyle name="Ввод  7 15 7" xfId="22259"/>
    <cellStyle name="Ввод  7 15 8" xfId="22427"/>
    <cellStyle name="Ввод  7 15 9" xfId="23915"/>
    <cellStyle name="Ввод  7 16" xfId="12079"/>
    <cellStyle name="Ввод  7 16 10" xfId="24155"/>
    <cellStyle name="Ввод  7 16 11" xfId="25953"/>
    <cellStyle name="Ввод  7 16 12" xfId="35828"/>
    <cellStyle name="Ввод  7 16 2" xfId="14977"/>
    <cellStyle name="Ввод  7 16 2 2" xfId="20260"/>
    <cellStyle name="Ввод  7 16 2 2 2" xfId="34070"/>
    <cellStyle name="Ввод  7 16 2 2 3" xfId="43938"/>
    <cellStyle name="Ввод  7 16 2 3" xfId="23531"/>
    <cellStyle name="Ввод  7 16 2 4" xfId="28797"/>
    <cellStyle name="Ввод  7 16 2 5" xfId="38672"/>
    <cellStyle name="Ввод  7 16 3" xfId="20566"/>
    <cellStyle name="Ввод  7 16 4" xfId="20902"/>
    <cellStyle name="Ввод  7 16 5" xfId="21032"/>
    <cellStyle name="Ввод  7 16 6" xfId="21458"/>
    <cellStyle name="Ввод  7 16 7" xfId="21858"/>
    <cellStyle name="Ввод  7 16 8" xfId="22363"/>
    <cellStyle name="Ввод  7 16 9" xfId="22651"/>
    <cellStyle name="Ввод  7 17" xfId="12159"/>
    <cellStyle name="Ввод  7 17 10" xfId="24235"/>
    <cellStyle name="Ввод  7 17 11" xfId="26033"/>
    <cellStyle name="Ввод  7 17 12" xfId="35908"/>
    <cellStyle name="Ввод  7 17 2" xfId="15057"/>
    <cellStyle name="Ввод  7 17 2 2" xfId="20340"/>
    <cellStyle name="Ввод  7 17 2 2 2" xfId="34150"/>
    <cellStyle name="Ввод  7 17 2 2 3" xfId="44018"/>
    <cellStyle name="Ввод  7 17 2 3" xfId="23611"/>
    <cellStyle name="Ввод  7 17 2 4" xfId="28877"/>
    <cellStyle name="Ввод  7 17 2 5" xfId="38752"/>
    <cellStyle name="Ввод  7 17 3" xfId="20630"/>
    <cellStyle name="Ввод  7 17 4" xfId="20966"/>
    <cellStyle name="Ввод  7 17 5" xfId="21080"/>
    <cellStyle name="Ввод  7 17 6" xfId="21538"/>
    <cellStyle name="Ввод  7 17 7" xfId="21906"/>
    <cellStyle name="Ввод  7 17 8" xfId="22395"/>
    <cellStyle name="Ввод  7 17 9" xfId="22731"/>
    <cellStyle name="Ввод  7 18" xfId="11625"/>
    <cellStyle name="Ввод  7 18 2" xfId="14523"/>
    <cellStyle name="Ввод  7 18 2 2" xfId="19806"/>
    <cellStyle name="Ввод  7 18 2 2 2" xfId="33616"/>
    <cellStyle name="Ввод  7 18 2 2 3" xfId="43484"/>
    <cellStyle name="Ввод  7 18 2 3" xfId="28343"/>
    <cellStyle name="Ввод  7 18 2 4" xfId="38218"/>
    <cellStyle name="Ввод  7 18 3" xfId="15756"/>
    <cellStyle name="Ввод  7 18 3 2" xfId="22848"/>
    <cellStyle name="Ввод  7 18 3 3" xfId="24388"/>
    <cellStyle name="Ввод  7 18 3 4" xfId="29575"/>
    <cellStyle name="Ввод  7 18 3 5" xfId="39450"/>
    <cellStyle name="Ввод  7 18 4" xfId="23328"/>
    <cellStyle name="Ввод  7 18 5" xfId="25499"/>
    <cellStyle name="Ввод  7 18 6" xfId="35374"/>
    <cellStyle name="Ввод  7 19" xfId="13254"/>
    <cellStyle name="Ввод  7 19 2" xfId="16055"/>
    <cellStyle name="Ввод  7 19 2 2" xfId="29873"/>
    <cellStyle name="Ввод  7 19 2 3" xfId="39748"/>
    <cellStyle name="Ввод  7 19 3" xfId="18586"/>
    <cellStyle name="Ввод  7 19 3 2" xfId="32396"/>
    <cellStyle name="Ввод  7 19 3 3" xfId="42268"/>
    <cellStyle name="Ввод  7 19 4" xfId="27127"/>
    <cellStyle name="Ввод  7 19 5" xfId="37002"/>
    <cellStyle name="Ввод  7 2" xfId="1293"/>
    <cellStyle name="Ввод  7 2 10" xfId="23722"/>
    <cellStyle name="Ввод  7 2 11" xfId="24638"/>
    <cellStyle name="Ввод  7 2 12" xfId="34261"/>
    <cellStyle name="Ввод  7 2 13" xfId="34626"/>
    <cellStyle name="Ввод  7 2 2" xfId="7853"/>
    <cellStyle name="Ввод  7 2 3" xfId="11936"/>
    <cellStyle name="Ввод  7 2 3 10" xfId="25810"/>
    <cellStyle name="Ввод  7 2 3 11" xfId="35685"/>
    <cellStyle name="Ввод  7 2 3 2" xfId="14834"/>
    <cellStyle name="Ввод  7 2 3 2 2" xfId="17048"/>
    <cellStyle name="Ввод  7 2 3 2 2 2" xfId="23100"/>
    <cellStyle name="Ввод  7 2 3 2 2 3" xfId="30862"/>
    <cellStyle name="Ввод  7 2 3 2 2 4" xfId="40737"/>
    <cellStyle name="Ввод  7 2 3 2 3" xfId="20117"/>
    <cellStyle name="Ввод  7 2 3 2 3 2" xfId="33927"/>
    <cellStyle name="Ввод  7 2 3 2 3 3" xfId="43795"/>
    <cellStyle name="Ввод  7 2 3 2 4" xfId="28654"/>
    <cellStyle name="Ввод  7 2 3 2 5" xfId="38529"/>
    <cellStyle name="Ввод  7 2 3 3" xfId="14321"/>
    <cellStyle name="Ввод  7 2 3 3 2" xfId="19604"/>
    <cellStyle name="Ввод  7 2 3 3 2 2" xfId="33414"/>
    <cellStyle name="Ввод  7 2 3 3 2 3" xfId="43283"/>
    <cellStyle name="Ввод  7 2 3 3 3" xfId="28142"/>
    <cellStyle name="Ввод  7 2 3 3 4" xfId="38017"/>
    <cellStyle name="Ввод  7 2 3 4" xfId="20775"/>
    <cellStyle name="Ввод  7 2 3 5" xfId="21331"/>
    <cellStyle name="Ввод  7 2 3 6" xfId="21787"/>
    <cellStyle name="Ввод  7 2 3 7" xfId="22308"/>
    <cellStyle name="Ввод  7 2 3 8" xfId="22524"/>
    <cellStyle name="Ввод  7 2 3 9" xfId="24012"/>
    <cellStyle name="Ввод  7 2 4" xfId="11626"/>
    <cellStyle name="Ввод  7 2 4 2" xfId="14524"/>
    <cellStyle name="Ввод  7 2 4 2 2" xfId="19807"/>
    <cellStyle name="Ввод  7 2 4 2 2 2" xfId="33617"/>
    <cellStyle name="Ввод  7 2 4 2 2 3" xfId="43485"/>
    <cellStyle name="Ввод  7 2 4 2 3" xfId="28344"/>
    <cellStyle name="Ввод  7 2 4 2 4" xfId="38219"/>
    <cellStyle name="Ввод  7 2 4 3" xfId="15757"/>
    <cellStyle name="Ввод  7 2 4 3 2" xfId="22892"/>
    <cellStyle name="Ввод  7 2 4 3 3" xfId="24389"/>
    <cellStyle name="Ввод  7 2 4 3 4" xfId="29576"/>
    <cellStyle name="Ввод  7 2 4 3 5" xfId="39451"/>
    <cellStyle name="Ввод  7 2 4 4" xfId="23372"/>
    <cellStyle name="Ввод  7 2 4 5" xfId="25500"/>
    <cellStyle name="Ввод  7 2 4 6" xfId="35375"/>
    <cellStyle name="Ввод  7 2 5" xfId="12262"/>
    <cellStyle name="Ввод  7 2 5 2" xfId="17594"/>
    <cellStyle name="Ввод  7 2 5 2 2" xfId="31404"/>
    <cellStyle name="Ввод  7 2 5 2 3" xfId="41277"/>
    <cellStyle name="Ввод  7 2 5 3" xfId="20439"/>
    <cellStyle name="Ввод  7 2 5 4" xfId="26136"/>
    <cellStyle name="Ввод  7 2 5 5" xfId="36011"/>
    <cellStyle name="Ввод  7 2 6" xfId="13255"/>
    <cellStyle name="Ввод  7 2 6 2" xfId="16056"/>
    <cellStyle name="Ввод  7 2 6 2 2" xfId="29874"/>
    <cellStyle name="Ввод  7 2 6 2 3" xfId="39749"/>
    <cellStyle name="Ввод  7 2 6 3" xfId="18587"/>
    <cellStyle name="Ввод  7 2 6 3 2" xfId="32397"/>
    <cellStyle name="Ввод  7 2 6 3 3" xfId="42269"/>
    <cellStyle name="Ввод  7 2 6 4" xfId="27128"/>
    <cellStyle name="Ввод  7 2 6 5" xfId="37003"/>
    <cellStyle name="Ввод  7 2 7" xfId="13105"/>
    <cellStyle name="Ввод  7 2 7 2" xfId="18437"/>
    <cellStyle name="Ввод  7 2 7 2 2" xfId="32247"/>
    <cellStyle name="Ввод  7 2 7 2 3" xfId="42119"/>
    <cellStyle name="Ввод  7 2 7 3" xfId="26978"/>
    <cellStyle name="Ввод  7 2 7 4" xfId="36853"/>
    <cellStyle name="Ввод  7 2 8" xfId="17210"/>
    <cellStyle name="Ввод  7 2 8 2" xfId="21667"/>
    <cellStyle name="Ввод  7 2 8 3" xfId="31021"/>
    <cellStyle name="Ввод  7 2 8 4" xfId="40895"/>
    <cellStyle name="Ввод  7 2 9" xfId="21987"/>
    <cellStyle name="Ввод  7 20" xfId="13104"/>
    <cellStyle name="Ввод  7 20 2" xfId="18436"/>
    <cellStyle name="Ввод  7 20 2 2" xfId="32246"/>
    <cellStyle name="Ввод  7 20 2 3" xfId="42118"/>
    <cellStyle name="Ввод  7 20 3" xfId="26977"/>
    <cellStyle name="Ввод  7 20 4" xfId="36852"/>
    <cellStyle name="Ввод  7 21" xfId="17209"/>
    <cellStyle name="Ввод  7 21 2" xfId="21181"/>
    <cellStyle name="Ввод  7 21 3" xfId="31020"/>
    <cellStyle name="Ввод  7 21 4" xfId="40894"/>
    <cellStyle name="Ввод  7 22" xfId="21618"/>
    <cellStyle name="Ввод  7 23" xfId="21986"/>
    <cellStyle name="Ввод  7 24" xfId="23721"/>
    <cellStyle name="Ввод  7 25" xfId="24637"/>
    <cellStyle name="Ввод  7 26" xfId="34260"/>
    <cellStyle name="Ввод  7 27" xfId="34627"/>
    <cellStyle name="Ввод  7 3" xfId="1294"/>
    <cellStyle name="Ввод  7 3 10" xfId="23723"/>
    <cellStyle name="Ввод  7 3 11" xfId="24639"/>
    <cellStyle name="Ввод  7 3 12" xfId="34262"/>
    <cellStyle name="Ввод  7 3 13" xfId="34625"/>
    <cellStyle name="Ввод  7 3 2" xfId="7854"/>
    <cellStyle name="Ввод  7 3 3" xfId="11937"/>
    <cellStyle name="Ввод  7 3 3 10" xfId="25811"/>
    <cellStyle name="Ввод  7 3 3 11" xfId="35686"/>
    <cellStyle name="Ввод  7 3 3 2" xfId="14835"/>
    <cellStyle name="Ввод  7 3 3 2 2" xfId="17049"/>
    <cellStyle name="Ввод  7 3 3 2 2 2" xfId="23101"/>
    <cellStyle name="Ввод  7 3 3 2 2 3" xfId="30863"/>
    <cellStyle name="Ввод  7 3 3 2 2 4" xfId="40738"/>
    <cellStyle name="Ввод  7 3 3 2 3" xfId="20118"/>
    <cellStyle name="Ввод  7 3 3 2 3 2" xfId="33928"/>
    <cellStyle name="Ввод  7 3 3 2 3 3" xfId="43796"/>
    <cellStyle name="Ввод  7 3 3 2 4" xfId="28655"/>
    <cellStyle name="Ввод  7 3 3 2 5" xfId="38530"/>
    <cellStyle name="Ввод  7 3 3 3" xfId="14322"/>
    <cellStyle name="Ввод  7 3 3 3 2" xfId="19605"/>
    <cellStyle name="Ввод  7 3 3 3 2 2" xfId="33415"/>
    <cellStyle name="Ввод  7 3 3 3 2 3" xfId="43284"/>
    <cellStyle name="Ввод  7 3 3 3 3" xfId="28143"/>
    <cellStyle name="Ввод  7 3 3 3 4" xfId="38018"/>
    <cellStyle name="Ввод  7 3 3 4" xfId="20776"/>
    <cellStyle name="Ввод  7 3 3 5" xfId="21332"/>
    <cellStyle name="Ввод  7 3 3 6" xfId="21788"/>
    <cellStyle name="Ввод  7 3 3 7" xfId="22309"/>
    <cellStyle name="Ввод  7 3 3 8" xfId="22525"/>
    <cellStyle name="Ввод  7 3 3 9" xfId="24013"/>
    <cellStyle name="Ввод  7 3 4" xfId="11627"/>
    <cellStyle name="Ввод  7 3 4 2" xfId="14525"/>
    <cellStyle name="Ввод  7 3 4 2 2" xfId="19808"/>
    <cellStyle name="Ввод  7 3 4 2 2 2" xfId="33618"/>
    <cellStyle name="Ввод  7 3 4 2 2 3" xfId="43486"/>
    <cellStyle name="Ввод  7 3 4 2 3" xfId="28345"/>
    <cellStyle name="Ввод  7 3 4 2 4" xfId="38220"/>
    <cellStyle name="Ввод  7 3 4 3" xfId="15758"/>
    <cellStyle name="Ввод  7 3 4 3 2" xfId="22893"/>
    <cellStyle name="Ввод  7 3 4 3 3" xfId="24390"/>
    <cellStyle name="Ввод  7 3 4 3 4" xfId="29577"/>
    <cellStyle name="Ввод  7 3 4 3 5" xfId="39452"/>
    <cellStyle name="Ввод  7 3 4 4" xfId="23373"/>
    <cellStyle name="Ввод  7 3 4 5" xfId="25501"/>
    <cellStyle name="Ввод  7 3 4 6" xfId="35376"/>
    <cellStyle name="Ввод  7 3 5" xfId="12263"/>
    <cellStyle name="Ввод  7 3 5 2" xfId="17595"/>
    <cellStyle name="Ввод  7 3 5 2 2" xfId="31405"/>
    <cellStyle name="Ввод  7 3 5 2 3" xfId="41278"/>
    <cellStyle name="Ввод  7 3 5 3" xfId="20440"/>
    <cellStyle name="Ввод  7 3 5 4" xfId="26137"/>
    <cellStyle name="Ввод  7 3 5 5" xfId="36012"/>
    <cellStyle name="Ввод  7 3 6" xfId="13256"/>
    <cellStyle name="Ввод  7 3 6 2" xfId="16057"/>
    <cellStyle name="Ввод  7 3 6 2 2" xfId="29875"/>
    <cellStyle name="Ввод  7 3 6 2 3" xfId="39750"/>
    <cellStyle name="Ввод  7 3 6 3" xfId="18588"/>
    <cellStyle name="Ввод  7 3 6 3 2" xfId="32398"/>
    <cellStyle name="Ввод  7 3 6 3 3" xfId="42270"/>
    <cellStyle name="Ввод  7 3 6 4" xfId="27129"/>
    <cellStyle name="Ввод  7 3 6 5" xfId="37004"/>
    <cellStyle name="Ввод  7 3 7" xfId="13106"/>
    <cellStyle name="Ввод  7 3 7 2" xfId="18438"/>
    <cellStyle name="Ввод  7 3 7 2 2" xfId="32248"/>
    <cellStyle name="Ввод  7 3 7 2 3" xfId="42120"/>
    <cellStyle name="Ввод  7 3 7 3" xfId="26979"/>
    <cellStyle name="Ввод  7 3 7 4" xfId="36854"/>
    <cellStyle name="Ввод  7 3 8" xfId="17211"/>
    <cellStyle name="Ввод  7 3 8 2" xfId="21668"/>
    <cellStyle name="Ввод  7 3 8 3" xfId="31022"/>
    <cellStyle name="Ввод  7 3 8 4" xfId="40896"/>
    <cellStyle name="Ввод  7 3 9" xfId="21988"/>
    <cellStyle name="Ввод  7 4" xfId="7847"/>
    <cellStyle name="Ввод  7 5" xfId="7855"/>
    <cellStyle name="Ввод  7 6" xfId="7856"/>
    <cellStyle name="Ввод  7 7" xfId="7857"/>
    <cellStyle name="Ввод  7 8" xfId="7858"/>
    <cellStyle name="Ввод  7 9" xfId="7859"/>
    <cellStyle name="Ввод  8" xfId="1295"/>
    <cellStyle name="Ввод  8 10" xfId="7861"/>
    <cellStyle name="Ввод  8 11" xfId="7862"/>
    <cellStyle name="Ввод  8 12" xfId="7863"/>
    <cellStyle name="Ввод  8 13" xfId="7864"/>
    <cellStyle name="Ввод  8 14" xfId="7865"/>
    <cellStyle name="Ввод  8 15" xfId="11856"/>
    <cellStyle name="Ввод  8 15 10" xfId="25730"/>
    <cellStyle name="Ввод  8 15 11" xfId="35605"/>
    <cellStyle name="Ввод  8 15 2" xfId="14754"/>
    <cellStyle name="Ввод  8 15 2 2" xfId="16968"/>
    <cellStyle name="Ввод  8 15 2 2 2" xfId="23020"/>
    <cellStyle name="Ввод  8 15 2 2 3" xfId="30782"/>
    <cellStyle name="Ввод  8 15 2 2 4" xfId="40657"/>
    <cellStyle name="Ввод  8 15 2 3" xfId="20037"/>
    <cellStyle name="Ввод  8 15 2 3 2" xfId="33847"/>
    <cellStyle name="Ввод  8 15 2 3 3" xfId="43715"/>
    <cellStyle name="Ввод  8 15 2 4" xfId="28574"/>
    <cellStyle name="Ввод  8 15 2 5" xfId="38449"/>
    <cellStyle name="Ввод  8 15 3" xfId="14274"/>
    <cellStyle name="Ввод  8 15 3 2" xfId="19557"/>
    <cellStyle name="Ввод  8 15 3 2 2" xfId="33367"/>
    <cellStyle name="Ввод  8 15 3 2 3" xfId="43236"/>
    <cellStyle name="Ввод  8 15 3 3" xfId="28095"/>
    <cellStyle name="Ввод  8 15 3 4" xfId="37970"/>
    <cellStyle name="Ввод  8 15 4" xfId="20695"/>
    <cellStyle name="Ввод  8 15 5" xfId="21251"/>
    <cellStyle name="Ввод  8 15 6" xfId="21723"/>
    <cellStyle name="Ввод  8 15 7" xfId="22260"/>
    <cellStyle name="Ввод  8 15 8" xfId="22428"/>
    <cellStyle name="Ввод  8 15 9" xfId="23916"/>
    <cellStyle name="Ввод  8 16" xfId="12080"/>
    <cellStyle name="Ввод  8 16 10" xfId="24156"/>
    <cellStyle name="Ввод  8 16 11" xfId="25954"/>
    <cellStyle name="Ввод  8 16 12" xfId="35829"/>
    <cellStyle name="Ввод  8 16 2" xfId="14978"/>
    <cellStyle name="Ввод  8 16 2 2" xfId="20261"/>
    <cellStyle name="Ввод  8 16 2 2 2" xfId="34071"/>
    <cellStyle name="Ввод  8 16 2 2 3" xfId="43939"/>
    <cellStyle name="Ввод  8 16 2 3" xfId="23532"/>
    <cellStyle name="Ввод  8 16 2 4" xfId="28798"/>
    <cellStyle name="Ввод  8 16 2 5" xfId="38673"/>
    <cellStyle name="Ввод  8 16 3" xfId="20567"/>
    <cellStyle name="Ввод  8 16 4" xfId="20903"/>
    <cellStyle name="Ввод  8 16 5" xfId="21033"/>
    <cellStyle name="Ввод  8 16 6" xfId="21459"/>
    <cellStyle name="Ввод  8 16 7" xfId="21859"/>
    <cellStyle name="Ввод  8 16 8" xfId="22364"/>
    <cellStyle name="Ввод  8 16 9" xfId="22652"/>
    <cellStyle name="Ввод  8 17" xfId="12160"/>
    <cellStyle name="Ввод  8 17 10" xfId="24236"/>
    <cellStyle name="Ввод  8 17 11" xfId="26034"/>
    <cellStyle name="Ввод  8 17 12" xfId="35909"/>
    <cellStyle name="Ввод  8 17 2" xfId="15058"/>
    <cellStyle name="Ввод  8 17 2 2" xfId="20341"/>
    <cellStyle name="Ввод  8 17 2 2 2" xfId="34151"/>
    <cellStyle name="Ввод  8 17 2 2 3" xfId="44019"/>
    <cellStyle name="Ввод  8 17 2 3" xfId="23612"/>
    <cellStyle name="Ввод  8 17 2 4" xfId="28878"/>
    <cellStyle name="Ввод  8 17 2 5" xfId="38753"/>
    <cellStyle name="Ввод  8 17 3" xfId="20631"/>
    <cellStyle name="Ввод  8 17 4" xfId="20967"/>
    <cellStyle name="Ввод  8 17 5" xfId="21081"/>
    <cellStyle name="Ввод  8 17 6" xfId="21539"/>
    <cellStyle name="Ввод  8 17 7" xfId="21907"/>
    <cellStyle name="Ввод  8 17 8" xfId="22396"/>
    <cellStyle name="Ввод  8 17 9" xfId="22732"/>
    <cellStyle name="Ввод  8 18" xfId="11628"/>
    <cellStyle name="Ввод  8 18 2" xfId="14526"/>
    <cellStyle name="Ввод  8 18 2 2" xfId="19809"/>
    <cellStyle name="Ввод  8 18 2 2 2" xfId="33619"/>
    <cellStyle name="Ввод  8 18 2 2 3" xfId="43487"/>
    <cellStyle name="Ввод  8 18 2 3" xfId="28346"/>
    <cellStyle name="Ввод  8 18 2 4" xfId="38221"/>
    <cellStyle name="Ввод  8 18 3" xfId="15759"/>
    <cellStyle name="Ввод  8 18 3 2" xfId="22847"/>
    <cellStyle name="Ввод  8 18 3 3" xfId="24391"/>
    <cellStyle name="Ввод  8 18 3 4" xfId="29578"/>
    <cellStyle name="Ввод  8 18 3 5" xfId="39453"/>
    <cellStyle name="Ввод  8 18 4" xfId="23327"/>
    <cellStyle name="Ввод  8 18 5" xfId="25502"/>
    <cellStyle name="Ввод  8 18 6" xfId="35377"/>
    <cellStyle name="Ввод  8 19" xfId="13257"/>
    <cellStyle name="Ввод  8 19 2" xfId="16058"/>
    <cellStyle name="Ввод  8 19 2 2" xfId="29876"/>
    <cellStyle name="Ввод  8 19 2 3" xfId="39751"/>
    <cellStyle name="Ввод  8 19 3" xfId="18589"/>
    <cellStyle name="Ввод  8 19 3 2" xfId="32399"/>
    <cellStyle name="Ввод  8 19 3 3" xfId="42271"/>
    <cellStyle name="Ввод  8 19 4" xfId="27130"/>
    <cellStyle name="Ввод  8 19 5" xfId="37005"/>
    <cellStyle name="Ввод  8 2" xfId="1296"/>
    <cellStyle name="Ввод  8 2 10" xfId="23725"/>
    <cellStyle name="Ввод  8 2 11" xfId="24641"/>
    <cellStyle name="Ввод  8 2 12" xfId="34264"/>
    <cellStyle name="Ввод  8 2 13" xfId="34623"/>
    <cellStyle name="Ввод  8 2 2" xfId="7866"/>
    <cellStyle name="Ввод  8 2 3" xfId="11938"/>
    <cellStyle name="Ввод  8 2 3 10" xfId="25812"/>
    <cellStyle name="Ввод  8 2 3 11" xfId="35687"/>
    <cellStyle name="Ввод  8 2 3 2" xfId="14836"/>
    <cellStyle name="Ввод  8 2 3 2 2" xfId="17050"/>
    <cellStyle name="Ввод  8 2 3 2 2 2" xfId="23102"/>
    <cellStyle name="Ввод  8 2 3 2 2 3" xfId="30864"/>
    <cellStyle name="Ввод  8 2 3 2 2 4" xfId="40739"/>
    <cellStyle name="Ввод  8 2 3 2 3" xfId="20119"/>
    <cellStyle name="Ввод  8 2 3 2 3 2" xfId="33929"/>
    <cellStyle name="Ввод  8 2 3 2 3 3" xfId="43797"/>
    <cellStyle name="Ввод  8 2 3 2 4" xfId="28656"/>
    <cellStyle name="Ввод  8 2 3 2 5" xfId="38531"/>
    <cellStyle name="Ввод  8 2 3 3" xfId="14323"/>
    <cellStyle name="Ввод  8 2 3 3 2" xfId="19606"/>
    <cellStyle name="Ввод  8 2 3 3 2 2" xfId="33416"/>
    <cellStyle name="Ввод  8 2 3 3 2 3" xfId="43285"/>
    <cellStyle name="Ввод  8 2 3 3 3" xfId="28144"/>
    <cellStyle name="Ввод  8 2 3 3 4" xfId="38019"/>
    <cellStyle name="Ввод  8 2 3 4" xfId="20777"/>
    <cellStyle name="Ввод  8 2 3 5" xfId="21333"/>
    <cellStyle name="Ввод  8 2 3 6" xfId="21789"/>
    <cellStyle name="Ввод  8 2 3 7" xfId="22310"/>
    <cellStyle name="Ввод  8 2 3 8" xfId="22526"/>
    <cellStyle name="Ввод  8 2 3 9" xfId="24014"/>
    <cellStyle name="Ввод  8 2 4" xfId="11629"/>
    <cellStyle name="Ввод  8 2 4 2" xfId="14527"/>
    <cellStyle name="Ввод  8 2 4 2 2" xfId="19810"/>
    <cellStyle name="Ввод  8 2 4 2 2 2" xfId="33620"/>
    <cellStyle name="Ввод  8 2 4 2 2 3" xfId="43488"/>
    <cellStyle name="Ввод  8 2 4 2 3" xfId="28347"/>
    <cellStyle name="Ввод  8 2 4 2 4" xfId="38222"/>
    <cellStyle name="Ввод  8 2 4 3" xfId="15760"/>
    <cellStyle name="Ввод  8 2 4 3 2" xfId="22894"/>
    <cellStyle name="Ввод  8 2 4 3 3" xfId="24392"/>
    <cellStyle name="Ввод  8 2 4 3 4" xfId="29579"/>
    <cellStyle name="Ввод  8 2 4 3 5" xfId="39454"/>
    <cellStyle name="Ввод  8 2 4 4" xfId="23374"/>
    <cellStyle name="Ввод  8 2 4 5" xfId="25503"/>
    <cellStyle name="Ввод  8 2 4 6" xfId="35378"/>
    <cellStyle name="Ввод  8 2 5" xfId="12264"/>
    <cellStyle name="Ввод  8 2 5 2" xfId="17596"/>
    <cellStyle name="Ввод  8 2 5 2 2" xfId="31406"/>
    <cellStyle name="Ввод  8 2 5 2 3" xfId="41279"/>
    <cellStyle name="Ввод  8 2 5 3" xfId="20441"/>
    <cellStyle name="Ввод  8 2 5 4" xfId="26138"/>
    <cellStyle name="Ввод  8 2 5 5" xfId="36013"/>
    <cellStyle name="Ввод  8 2 6" xfId="13258"/>
    <cellStyle name="Ввод  8 2 6 2" xfId="16059"/>
    <cellStyle name="Ввод  8 2 6 2 2" xfId="29877"/>
    <cellStyle name="Ввод  8 2 6 2 3" xfId="39752"/>
    <cellStyle name="Ввод  8 2 6 3" xfId="18590"/>
    <cellStyle name="Ввод  8 2 6 3 2" xfId="32400"/>
    <cellStyle name="Ввод  8 2 6 3 3" xfId="42272"/>
    <cellStyle name="Ввод  8 2 6 4" xfId="27131"/>
    <cellStyle name="Ввод  8 2 6 5" xfId="37006"/>
    <cellStyle name="Ввод  8 2 7" xfId="13108"/>
    <cellStyle name="Ввод  8 2 7 2" xfId="18440"/>
    <cellStyle name="Ввод  8 2 7 2 2" xfId="32250"/>
    <cellStyle name="Ввод  8 2 7 2 3" xfId="42122"/>
    <cellStyle name="Ввод  8 2 7 3" xfId="26981"/>
    <cellStyle name="Ввод  8 2 7 4" xfId="36856"/>
    <cellStyle name="Ввод  8 2 8" xfId="17213"/>
    <cellStyle name="Ввод  8 2 8 2" xfId="21669"/>
    <cellStyle name="Ввод  8 2 8 3" xfId="31024"/>
    <cellStyle name="Ввод  8 2 8 4" xfId="40898"/>
    <cellStyle name="Ввод  8 2 9" xfId="21990"/>
    <cellStyle name="Ввод  8 20" xfId="13107"/>
    <cellStyle name="Ввод  8 20 2" xfId="18439"/>
    <cellStyle name="Ввод  8 20 2 2" xfId="32249"/>
    <cellStyle name="Ввод  8 20 2 3" xfId="42121"/>
    <cellStyle name="Ввод  8 20 3" xfId="26980"/>
    <cellStyle name="Ввод  8 20 4" xfId="36855"/>
    <cellStyle name="Ввод  8 21" xfId="17212"/>
    <cellStyle name="Ввод  8 21 2" xfId="21180"/>
    <cellStyle name="Ввод  8 21 3" xfId="31023"/>
    <cellStyle name="Ввод  8 21 4" xfId="40897"/>
    <cellStyle name="Ввод  8 22" xfId="21619"/>
    <cellStyle name="Ввод  8 23" xfId="21989"/>
    <cellStyle name="Ввод  8 24" xfId="23724"/>
    <cellStyle name="Ввод  8 25" xfId="24640"/>
    <cellStyle name="Ввод  8 26" xfId="34263"/>
    <cellStyle name="Ввод  8 27" xfId="34624"/>
    <cellStyle name="Ввод  8 3" xfId="1297"/>
    <cellStyle name="Ввод  8 3 10" xfId="23726"/>
    <cellStyle name="Ввод  8 3 11" xfId="24642"/>
    <cellStyle name="Ввод  8 3 12" xfId="34265"/>
    <cellStyle name="Ввод  8 3 13" xfId="34622"/>
    <cellStyle name="Ввод  8 3 2" xfId="7867"/>
    <cellStyle name="Ввод  8 3 3" xfId="11939"/>
    <cellStyle name="Ввод  8 3 3 10" xfId="25813"/>
    <cellStyle name="Ввод  8 3 3 11" xfId="35688"/>
    <cellStyle name="Ввод  8 3 3 2" xfId="14837"/>
    <cellStyle name="Ввод  8 3 3 2 2" xfId="17051"/>
    <cellStyle name="Ввод  8 3 3 2 2 2" xfId="23103"/>
    <cellStyle name="Ввод  8 3 3 2 2 3" xfId="30865"/>
    <cellStyle name="Ввод  8 3 3 2 2 4" xfId="40740"/>
    <cellStyle name="Ввод  8 3 3 2 3" xfId="20120"/>
    <cellStyle name="Ввод  8 3 3 2 3 2" xfId="33930"/>
    <cellStyle name="Ввод  8 3 3 2 3 3" xfId="43798"/>
    <cellStyle name="Ввод  8 3 3 2 4" xfId="28657"/>
    <cellStyle name="Ввод  8 3 3 2 5" xfId="38532"/>
    <cellStyle name="Ввод  8 3 3 3" xfId="14452"/>
    <cellStyle name="Ввод  8 3 3 3 2" xfId="19735"/>
    <cellStyle name="Ввод  8 3 3 3 2 2" xfId="33545"/>
    <cellStyle name="Ввод  8 3 3 3 2 3" xfId="43413"/>
    <cellStyle name="Ввод  8 3 3 3 3" xfId="28272"/>
    <cellStyle name="Ввод  8 3 3 3 4" xfId="38147"/>
    <cellStyle name="Ввод  8 3 3 4" xfId="20778"/>
    <cellStyle name="Ввод  8 3 3 5" xfId="21334"/>
    <cellStyle name="Ввод  8 3 3 6" xfId="21790"/>
    <cellStyle name="Ввод  8 3 3 7" xfId="22311"/>
    <cellStyle name="Ввод  8 3 3 8" xfId="22527"/>
    <cellStyle name="Ввод  8 3 3 9" xfId="24015"/>
    <cellStyle name="Ввод  8 3 4" xfId="11630"/>
    <cellStyle name="Ввод  8 3 4 2" xfId="14528"/>
    <cellStyle name="Ввод  8 3 4 2 2" xfId="19811"/>
    <cellStyle name="Ввод  8 3 4 2 2 2" xfId="33621"/>
    <cellStyle name="Ввод  8 3 4 2 2 3" xfId="43489"/>
    <cellStyle name="Ввод  8 3 4 2 3" xfId="28348"/>
    <cellStyle name="Ввод  8 3 4 2 4" xfId="38223"/>
    <cellStyle name="Ввод  8 3 4 3" xfId="15761"/>
    <cellStyle name="Ввод  8 3 4 3 2" xfId="22895"/>
    <cellStyle name="Ввод  8 3 4 3 3" xfId="24393"/>
    <cellStyle name="Ввод  8 3 4 3 4" xfId="29580"/>
    <cellStyle name="Ввод  8 3 4 3 5" xfId="39455"/>
    <cellStyle name="Ввод  8 3 4 4" xfId="23375"/>
    <cellStyle name="Ввод  8 3 4 5" xfId="25504"/>
    <cellStyle name="Ввод  8 3 4 6" xfId="35379"/>
    <cellStyle name="Ввод  8 3 5" xfId="12265"/>
    <cellStyle name="Ввод  8 3 5 2" xfId="17597"/>
    <cellStyle name="Ввод  8 3 5 2 2" xfId="31407"/>
    <cellStyle name="Ввод  8 3 5 2 3" xfId="41280"/>
    <cellStyle name="Ввод  8 3 5 3" xfId="20442"/>
    <cellStyle name="Ввод  8 3 5 4" xfId="26139"/>
    <cellStyle name="Ввод  8 3 5 5" xfId="36014"/>
    <cellStyle name="Ввод  8 3 6" xfId="13259"/>
    <cellStyle name="Ввод  8 3 6 2" xfId="16060"/>
    <cellStyle name="Ввод  8 3 6 2 2" xfId="29878"/>
    <cellStyle name="Ввод  8 3 6 2 3" xfId="39753"/>
    <cellStyle name="Ввод  8 3 6 3" xfId="18591"/>
    <cellStyle name="Ввод  8 3 6 3 2" xfId="32401"/>
    <cellStyle name="Ввод  8 3 6 3 3" xfId="42273"/>
    <cellStyle name="Ввод  8 3 6 4" xfId="27132"/>
    <cellStyle name="Ввод  8 3 6 5" xfId="37007"/>
    <cellStyle name="Ввод  8 3 7" xfId="13109"/>
    <cellStyle name="Ввод  8 3 7 2" xfId="18441"/>
    <cellStyle name="Ввод  8 3 7 2 2" xfId="32251"/>
    <cellStyle name="Ввод  8 3 7 2 3" xfId="42123"/>
    <cellStyle name="Ввод  8 3 7 3" xfId="26982"/>
    <cellStyle name="Ввод  8 3 7 4" xfId="36857"/>
    <cellStyle name="Ввод  8 3 8" xfId="17214"/>
    <cellStyle name="Ввод  8 3 8 2" xfId="21670"/>
    <cellStyle name="Ввод  8 3 8 3" xfId="31025"/>
    <cellStyle name="Ввод  8 3 8 4" xfId="40899"/>
    <cellStyle name="Ввод  8 3 9" xfId="21991"/>
    <cellStyle name="Ввод  8 4" xfId="7860"/>
    <cellStyle name="Ввод  8 5" xfId="7868"/>
    <cellStyle name="Ввод  8 6" xfId="7869"/>
    <cellStyle name="Ввод  8 7" xfId="7870"/>
    <cellStyle name="Ввод  8 8" xfId="7871"/>
    <cellStyle name="Ввод  8 9" xfId="7872"/>
    <cellStyle name="Ввод  9" xfId="1298"/>
    <cellStyle name="Ввод  9 10" xfId="7874"/>
    <cellStyle name="Ввод  9 11" xfId="7875"/>
    <cellStyle name="Ввод  9 12" xfId="7876"/>
    <cellStyle name="Ввод  9 13" xfId="7877"/>
    <cellStyle name="Ввод  9 14" xfId="7878"/>
    <cellStyle name="Ввод  9 15" xfId="11857"/>
    <cellStyle name="Ввод  9 15 10" xfId="25731"/>
    <cellStyle name="Ввод  9 15 11" xfId="35606"/>
    <cellStyle name="Ввод  9 15 2" xfId="14755"/>
    <cellStyle name="Ввод  9 15 2 2" xfId="16969"/>
    <cellStyle name="Ввод  9 15 2 2 2" xfId="23021"/>
    <cellStyle name="Ввод  9 15 2 2 3" xfId="30783"/>
    <cellStyle name="Ввод  9 15 2 2 4" xfId="40658"/>
    <cellStyle name="Ввод  9 15 2 3" xfId="20038"/>
    <cellStyle name="Ввод  9 15 2 3 2" xfId="33848"/>
    <cellStyle name="Ввод  9 15 2 3 3" xfId="43716"/>
    <cellStyle name="Ввод  9 15 2 4" xfId="28575"/>
    <cellStyle name="Ввод  9 15 2 5" xfId="38450"/>
    <cellStyle name="Ввод  9 15 3" xfId="14275"/>
    <cellStyle name="Ввод  9 15 3 2" xfId="19558"/>
    <cellStyle name="Ввод  9 15 3 2 2" xfId="33368"/>
    <cellStyle name="Ввод  9 15 3 2 3" xfId="43237"/>
    <cellStyle name="Ввод  9 15 3 3" xfId="28096"/>
    <cellStyle name="Ввод  9 15 3 4" xfId="37971"/>
    <cellStyle name="Ввод  9 15 4" xfId="20696"/>
    <cellStyle name="Ввод  9 15 5" xfId="21252"/>
    <cellStyle name="Ввод  9 15 6" xfId="21724"/>
    <cellStyle name="Ввод  9 15 7" xfId="22261"/>
    <cellStyle name="Ввод  9 15 8" xfId="22429"/>
    <cellStyle name="Ввод  9 15 9" xfId="23917"/>
    <cellStyle name="Ввод  9 16" xfId="12081"/>
    <cellStyle name="Ввод  9 16 10" xfId="24157"/>
    <cellStyle name="Ввод  9 16 11" xfId="25955"/>
    <cellStyle name="Ввод  9 16 12" xfId="35830"/>
    <cellStyle name="Ввод  9 16 2" xfId="14979"/>
    <cellStyle name="Ввод  9 16 2 2" xfId="20262"/>
    <cellStyle name="Ввод  9 16 2 2 2" xfId="34072"/>
    <cellStyle name="Ввод  9 16 2 2 3" xfId="43940"/>
    <cellStyle name="Ввод  9 16 2 3" xfId="23533"/>
    <cellStyle name="Ввод  9 16 2 4" xfId="28799"/>
    <cellStyle name="Ввод  9 16 2 5" xfId="38674"/>
    <cellStyle name="Ввод  9 16 3" xfId="20568"/>
    <cellStyle name="Ввод  9 16 4" xfId="20904"/>
    <cellStyle name="Ввод  9 16 5" xfId="21034"/>
    <cellStyle name="Ввод  9 16 6" xfId="21460"/>
    <cellStyle name="Ввод  9 16 7" xfId="21860"/>
    <cellStyle name="Ввод  9 16 8" xfId="22365"/>
    <cellStyle name="Ввод  9 16 9" xfId="22653"/>
    <cellStyle name="Ввод  9 17" xfId="12161"/>
    <cellStyle name="Ввод  9 17 10" xfId="24237"/>
    <cellStyle name="Ввод  9 17 11" xfId="26035"/>
    <cellStyle name="Ввод  9 17 12" xfId="35910"/>
    <cellStyle name="Ввод  9 17 2" xfId="15059"/>
    <cellStyle name="Ввод  9 17 2 2" xfId="20342"/>
    <cellStyle name="Ввод  9 17 2 2 2" xfId="34152"/>
    <cellStyle name="Ввод  9 17 2 2 3" xfId="44020"/>
    <cellStyle name="Ввод  9 17 2 3" xfId="23613"/>
    <cellStyle name="Ввод  9 17 2 4" xfId="28879"/>
    <cellStyle name="Ввод  9 17 2 5" xfId="38754"/>
    <cellStyle name="Ввод  9 17 3" xfId="20632"/>
    <cellStyle name="Ввод  9 17 4" xfId="20968"/>
    <cellStyle name="Ввод  9 17 5" xfId="21082"/>
    <cellStyle name="Ввод  9 17 6" xfId="21540"/>
    <cellStyle name="Ввод  9 17 7" xfId="21908"/>
    <cellStyle name="Ввод  9 17 8" xfId="22397"/>
    <cellStyle name="Ввод  9 17 9" xfId="22733"/>
    <cellStyle name="Ввод  9 18" xfId="11631"/>
    <cellStyle name="Ввод  9 18 2" xfId="14529"/>
    <cellStyle name="Ввод  9 18 2 2" xfId="19812"/>
    <cellStyle name="Ввод  9 18 2 2 2" xfId="33622"/>
    <cellStyle name="Ввод  9 18 2 2 3" xfId="43490"/>
    <cellStyle name="Ввод  9 18 2 3" xfId="28349"/>
    <cellStyle name="Ввод  9 18 2 4" xfId="38224"/>
    <cellStyle name="Ввод  9 18 3" xfId="15762"/>
    <cellStyle name="Ввод  9 18 3 2" xfId="22846"/>
    <cellStyle name="Ввод  9 18 3 3" xfId="24394"/>
    <cellStyle name="Ввод  9 18 3 4" xfId="29581"/>
    <cellStyle name="Ввод  9 18 3 5" xfId="39456"/>
    <cellStyle name="Ввод  9 18 4" xfId="23326"/>
    <cellStyle name="Ввод  9 18 5" xfId="25505"/>
    <cellStyle name="Ввод  9 18 6" xfId="35380"/>
    <cellStyle name="Ввод  9 19" xfId="13260"/>
    <cellStyle name="Ввод  9 19 2" xfId="16061"/>
    <cellStyle name="Ввод  9 19 2 2" xfId="29879"/>
    <cellStyle name="Ввод  9 19 2 3" xfId="39754"/>
    <cellStyle name="Ввод  9 19 3" xfId="18592"/>
    <cellStyle name="Ввод  9 19 3 2" xfId="32402"/>
    <cellStyle name="Ввод  9 19 3 3" xfId="42274"/>
    <cellStyle name="Ввод  9 19 4" xfId="27133"/>
    <cellStyle name="Ввод  9 19 5" xfId="37008"/>
    <cellStyle name="Ввод  9 2" xfId="1299"/>
    <cellStyle name="Ввод  9 2 10" xfId="23728"/>
    <cellStyle name="Ввод  9 2 11" xfId="24644"/>
    <cellStyle name="Ввод  9 2 12" xfId="34267"/>
    <cellStyle name="Ввод  9 2 13" xfId="34620"/>
    <cellStyle name="Ввод  9 2 2" xfId="7879"/>
    <cellStyle name="Ввод  9 2 3" xfId="11940"/>
    <cellStyle name="Ввод  9 2 3 10" xfId="25814"/>
    <cellStyle name="Ввод  9 2 3 11" xfId="35689"/>
    <cellStyle name="Ввод  9 2 3 2" xfId="14838"/>
    <cellStyle name="Ввод  9 2 3 2 2" xfId="17052"/>
    <cellStyle name="Ввод  9 2 3 2 2 2" xfId="23104"/>
    <cellStyle name="Ввод  9 2 3 2 2 3" xfId="30866"/>
    <cellStyle name="Ввод  9 2 3 2 2 4" xfId="40741"/>
    <cellStyle name="Ввод  9 2 3 2 3" xfId="20121"/>
    <cellStyle name="Ввод  9 2 3 2 3 2" xfId="33931"/>
    <cellStyle name="Ввод  9 2 3 2 3 3" xfId="43799"/>
    <cellStyle name="Ввод  9 2 3 2 4" xfId="28658"/>
    <cellStyle name="Ввод  9 2 3 2 5" xfId="38533"/>
    <cellStyle name="Ввод  9 2 3 3" xfId="13033"/>
    <cellStyle name="Ввод  9 2 3 3 2" xfId="18365"/>
    <cellStyle name="Ввод  9 2 3 3 2 2" xfId="32175"/>
    <cellStyle name="Ввод  9 2 3 3 2 3" xfId="42048"/>
    <cellStyle name="Ввод  9 2 3 3 3" xfId="26907"/>
    <cellStyle name="Ввод  9 2 3 3 4" xfId="36782"/>
    <cellStyle name="Ввод  9 2 3 4" xfId="20779"/>
    <cellStyle name="Ввод  9 2 3 5" xfId="21335"/>
    <cellStyle name="Ввод  9 2 3 6" xfId="21791"/>
    <cellStyle name="Ввод  9 2 3 7" xfId="22312"/>
    <cellStyle name="Ввод  9 2 3 8" xfId="22528"/>
    <cellStyle name="Ввод  9 2 3 9" xfId="24016"/>
    <cellStyle name="Ввод  9 2 4" xfId="11632"/>
    <cellStyle name="Ввод  9 2 4 2" xfId="14530"/>
    <cellStyle name="Ввод  9 2 4 2 2" xfId="19813"/>
    <cellStyle name="Ввод  9 2 4 2 2 2" xfId="33623"/>
    <cellStyle name="Ввод  9 2 4 2 2 3" xfId="43491"/>
    <cellStyle name="Ввод  9 2 4 2 3" xfId="28350"/>
    <cellStyle name="Ввод  9 2 4 2 4" xfId="38225"/>
    <cellStyle name="Ввод  9 2 4 3" xfId="15763"/>
    <cellStyle name="Ввод  9 2 4 3 2" xfId="22896"/>
    <cellStyle name="Ввод  9 2 4 3 3" xfId="24395"/>
    <cellStyle name="Ввод  9 2 4 3 4" xfId="29582"/>
    <cellStyle name="Ввод  9 2 4 3 5" xfId="39457"/>
    <cellStyle name="Ввод  9 2 4 4" xfId="23376"/>
    <cellStyle name="Ввод  9 2 4 5" xfId="25506"/>
    <cellStyle name="Ввод  9 2 4 6" xfId="35381"/>
    <cellStyle name="Ввод  9 2 5" xfId="12266"/>
    <cellStyle name="Ввод  9 2 5 2" xfId="17598"/>
    <cellStyle name="Ввод  9 2 5 2 2" xfId="31408"/>
    <cellStyle name="Ввод  9 2 5 2 3" xfId="41281"/>
    <cellStyle name="Ввод  9 2 5 3" xfId="20443"/>
    <cellStyle name="Ввод  9 2 5 4" xfId="26140"/>
    <cellStyle name="Ввод  9 2 5 5" xfId="36015"/>
    <cellStyle name="Ввод  9 2 6" xfId="13261"/>
    <cellStyle name="Ввод  9 2 6 2" xfId="16062"/>
    <cellStyle name="Ввод  9 2 6 2 2" xfId="29880"/>
    <cellStyle name="Ввод  9 2 6 2 3" xfId="39755"/>
    <cellStyle name="Ввод  9 2 6 3" xfId="18593"/>
    <cellStyle name="Ввод  9 2 6 3 2" xfId="32403"/>
    <cellStyle name="Ввод  9 2 6 3 3" xfId="42275"/>
    <cellStyle name="Ввод  9 2 6 4" xfId="27134"/>
    <cellStyle name="Ввод  9 2 6 5" xfId="37009"/>
    <cellStyle name="Ввод  9 2 7" xfId="13111"/>
    <cellStyle name="Ввод  9 2 7 2" xfId="18443"/>
    <cellStyle name="Ввод  9 2 7 2 2" xfId="32253"/>
    <cellStyle name="Ввод  9 2 7 2 3" xfId="42125"/>
    <cellStyle name="Ввод  9 2 7 3" xfId="26984"/>
    <cellStyle name="Ввод  9 2 7 4" xfId="36859"/>
    <cellStyle name="Ввод  9 2 8" xfId="17216"/>
    <cellStyle name="Ввод  9 2 8 2" xfId="21671"/>
    <cellStyle name="Ввод  9 2 8 3" xfId="31027"/>
    <cellStyle name="Ввод  9 2 8 4" xfId="40901"/>
    <cellStyle name="Ввод  9 2 9" xfId="21993"/>
    <cellStyle name="Ввод  9 20" xfId="13110"/>
    <cellStyle name="Ввод  9 20 2" xfId="18442"/>
    <cellStyle name="Ввод  9 20 2 2" xfId="32252"/>
    <cellStyle name="Ввод  9 20 2 3" xfId="42124"/>
    <cellStyle name="Ввод  9 20 3" xfId="26983"/>
    <cellStyle name="Ввод  9 20 4" xfId="36858"/>
    <cellStyle name="Ввод  9 21" xfId="17215"/>
    <cellStyle name="Ввод  9 21 2" xfId="21179"/>
    <cellStyle name="Ввод  9 21 3" xfId="31026"/>
    <cellStyle name="Ввод  9 21 4" xfId="40900"/>
    <cellStyle name="Ввод  9 22" xfId="21620"/>
    <cellStyle name="Ввод  9 23" xfId="21992"/>
    <cellStyle name="Ввод  9 24" xfId="23727"/>
    <cellStyle name="Ввод  9 25" xfId="24643"/>
    <cellStyle name="Ввод  9 26" xfId="34266"/>
    <cellStyle name="Ввод  9 27" xfId="34621"/>
    <cellStyle name="Ввод  9 3" xfId="1300"/>
    <cellStyle name="Ввод  9 3 10" xfId="23729"/>
    <cellStyle name="Ввод  9 3 11" xfId="24645"/>
    <cellStyle name="Ввод  9 3 12" xfId="34268"/>
    <cellStyle name="Ввод  9 3 13" xfId="34619"/>
    <cellStyle name="Ввод  9 3 2" xfId="7880"/>
    <cellStyle name="Ввод  9 3 3" xfId="11941"/>
    <cellStyle name="Ввод  9 3 3 10" xfId="25815"/>
    <cellStyle name="Ввод  9 3 3 11" xfId="35690"/>
    <cellStyle name="Ввод  9 3 3 2" xfId="14839"/>
    <cellStyle name="Ввод  9 3 3 2 2" xfId="17053"/>
    <cellStyle name="Ввод  9 3 3 2 2 2" xfId="23105"/>
    <cellStyle name="Ввод  9 3 3 2 2 3" xfId="30867"/>
    <cellStyle name="Ввод  9 3 3 2 2 4" xfId="40742"/>
    <cellStyle name="Ввод  9 3 3 2 3" xfId="20122"/>
    <cellStyle name="Ввод  9 3 3 2 3 2" xfId="33932"/>
    <cellStyle name="Ввод  9 3 3 2 3 3" xfId="43800"/>
    <cellStyle name="Ввод  9 3 3 2 4" xfId="28659"/>
    <cellStyle name="Ввод  9 3 3 2 5" xfId="38534"/>
    <cellStyle name="Ввод  9 3 3 3" xfId="14325"/>
    <cellStyle name="Ввод  9 3 3 3 2" xfId="19608"/>
    <cellStyle name="Ввод  9 3 3 3 2 2" xfId="33418"/>
    <cellStyle name="Ввод  9 3 3 3 2 3" xfId="43287"/>
    <cellStyle name="Ввод  9 3 3 3 3" xfId="28146"/>
    <cellStyle name="Ввод  9 3 3 3 4" xfId="38021"/>
    <cellStyle name="Ввод  9 3 3 4" xfId="20780"/>
    <cellStyle name="Ввод  9 3 3 5" xfId="21336"/>
    <cellStyle name="Ввод  9 3 3 6" xfId="21792"/>
    <cellStyle name="Ввод  9 3 3 7" xfId="22313"/>
    <cellStyle name="Ввод  9 3 3 8" xfId="22529"/>
    <cellStyle name="Ввод  9 3 3 9" xfId="24017"/>
    <cellStyle name="Ввод  9 3 4" xfId="11633"/>
    <cellStyle name="Ввод  9 3 4 2" xfId="14531"/>
    <cellStyle name="Ввод  9 3 4 2 2" xfId="19814"/>
    <cellStyle name="Ввод  9 3 4 2 2 2" xfId="33624"/>
    <cellStyle name="Ввод  9 3 4 2 2 3" xfId="43492"/>
    <cellStyle name="Ввод  9 3 4 2 3" xfId="28351"/>
    <cellStyle name="Ввод  9 3 4 2 4" xfId="38226"/>
    <cellStyle name="Ввод  9 3 4 3" xfId="15764"/>
    <cellStyle name="Ввод  9 3 4 3 2" xfId="22897"/>
    <cellStyle name="Ввод  9 3 4 3 3" xfId="24396"/>
    <cellStyle name="Ввод  9 3 4 3 4" xfId="29583"/>
    <cellStyle name="Ввод  9 3 4 3 5" xfId="39458"/>
    <cellStyle name="Ввод  9 3 4 4" xfId="23377"/>
    <cellStyle name="Ввод  9 3 4 5" xfId="25507"/>
    <cellStyle name="Ввод  9 3 4 6" xfId="35382"/>
    <cellStyle name="Ввод  9 3 5" xfId="12267"/>
    <cellStyle name="Ввод  9 3 5 2" xfId="17599"/>
    <cellStyle name="Ввод  9 3 5 2 2" xfId="31409"/>
    <cellStyle name="Ввод  9 3 5 2 3" xfId="41282"/>
    <cellStyle name="Ввод  9 3 5 3" xfId="20444"/>
    <cellStyle name="Ввод  9 3 5 4" xfId="26141"/>
    <cellStyle name="Ввод  9 3 5 5" xfId="36016"/>
    <cellStyle name="Ввод  9 3 6" xfId="13262"/>
    <cellStyle name="Ввод  9 3 6 2" xfId="16063"/>
    <cellStyle name="Ввод  9 3 6 2 2" xfId="29881"/>
    <cellStyle name="Ввод  9 3 6 2 3" xfId="39756"/>
    <cellStyle name="Ввод  9 3 6 3" xfId="18594"/>
    <cellStyle name="Ввод  9 3 6 3 2" xfId="32404"/>
    <cellStyle name="Ввод  9 3 6 3 3" xfId="42276"/>
    <cellStyle name="Ввод  9 3 6 4" xfId="27135"/>
    <cellStyle name="Ввод  9 3 6 5" xfId="37010"/>
    <cellStyle name="Ввод  9 3 7" xfId="13112"/>
    <cellStyle name="Ввод  9 3 7 2" xfId="18444"/>
    <cellStyle name="Ввод  9 3 7 2 2" xfId="32254"/>
    <cellStyle name="Ввод  9 3 7 2 3" xfId="42126"/>
    <cellStyle name="Ввод  9 3 7 3" xfId="26985"/>
    <cellStyle name="Ввод  9 3 7 4" xfId="36860"/>
    <cellStyle name="Ввод  9 3 8" xfId="17217"/>
    <cellStyle name="Ввод  9 3 8 2" xfId="21672"/>
    <cellStyle name="Ввод  9 3 8 3" xfId="31028"/>
    <cellStyle name="Ввод  9 3 8 4" xfId="40902"/>
    <cellStyle name="Ввод  9 3 9" xfId="21994"/>
    <cellStyle name="Ввод  9 4" xfId="7873"/>
    <cellStyle name="Ввод  9 5" xfId="7881"/>
    <cellStyle name="Ввод  9 6" xfId="7882"/>
    <cellStyle name="Ввод  9 7" xfId="7883"/>
    <cellStyle name="Ввод  9 8" xfId="7884"/>
    <cellStyle name="Ввод  9 9" xfId="7885"/>
    <cellStyle name="Вывод 10" xfId="1301"/>
    <cellStyle name="Вывод 10 10" xfId="7887"/>
    <cellStyle name="Вывод 10 11" xfId="7888"/>
    <cellStyle name="Вывод 10 12" xfId="7889"/>
    <cellStyle name="Вывод 10 13" xfId="7890"/>
    <cellStyle name="Вывод 10 14" xfId="7891"/>
    <cellStyle name="Вывод 10 15" xfId="11858"/>
    <cellStyle name="Вывод 10 15 2" xfId="14756"/>
    <cellStyle name="Вывод 10 15 2 2" xfId="16970"/>
    <cellStyle name="Вывод 10 15 2 2 2" xfId="23022"/>
    <cellStyle name="Вывод 10 15 2 2 3" xfId="30784"/>
    <cellStyle name="Вывод 10 15 2 2 4" xfId="40659"/>
    <cellStyle name="Вывод 10 15 2 3" xfId="20039"/>
    <cellStyle name="Вывод 10 15 2 3 2" xfId="33849"/>
    <cellStyle name="Вывод 10 15 2 3 3" xfId="43717"/>
    <cellStyle name="Вывод 10 15 2 4" xfId="28576"/>
    <cellStyle name="Вывод 10 15 2 5" xfId="38451"/>
    <cellStyle name="Вывод 10 15 3" xfId="13618"/>
    <cellStyle name="Вывод 10 15 3 2" xfId="18901"/>
    <cellStyle name="Вывод 10 15 3 2 2" xfId="32711"/>
    <cellStyle name="Вывод 10 15 3 2 3" xfId="42581"/>
    <cellStyle name="Вывод 10 15 3 3" xfId="27440"/>
    <cellStyle name="Вывод 10 15 3 4" xfId="37315"/>
    <cellStyle name="Вывод 10 15 4" xfId="17474"/>
    <cellStyle name="Вывод 10 15 4 2" xfId="20697"/>
    <cellStyle name="Вывод 10 15 4 3" xfId="31284"/>
    <cellStyle name="Вывод 10 15 4 4" xfId="41157"/>
    <cellStyle name="Вывод 10 15 5" xfId="21253"/>
    <cellStyle name="Вывод 10 15 6" xfId="22430"/>
    <cellStyle name="Вывод 10 15 7" xfId="23918"/>
    <cellStyle name="Вывод 10 15 8" xfId="25732"/>
    <cellStyle name="Вывод 10 15 9" xfId="35607"/>
    <cellStyle name="Вывод 10 16" xfId="12082"/>
    <cellStyle name="Вывод 10 16 2" xfId="14980"/>
    <cellStyle name="Вывод 10 16 2 2" xfId="20263"/>
    <cellStyle name="Вывод 10 16 2 2 2" xfId="34073"/>
    <cellStyle name="Вывод 10 16 2 2 3" xfId="43941"/>
    <cellStyle name="Вывод 10 16 2 3" xfId="23534"/>
    <cellStyle name="Вывод 10 16 2 4" xfId="28800"/>
    <cellStyle name="Вывод 10 16 2 5" xfId="38675"/>
    <cellStyle name="Вывод 10 16 3" xfId="17526"/>
    <cellStyle name="Вывод 10 16 3 2" xfId="20569"/>
    <cellStyle name="Вывод 10 16 3 3" xfId="31336"/>
    <cellStyle name="Вывод 10 16 3 4" xfId="41209"/>
    <cellStyle name="Вывод 10 16 4" xfId="20905"/>
    <cellStyle name="Вывод 10 16 5" xfId="21461"/>
    <cellStyle name="Вывод 10 16 6" xfId="22654"/>
    <cellStyle name="Вывод 10 16 7" xfId="24158"/>
    <cellStyle name="Вывод 10 16 8" xfId="25956"/>
    <cellStyle name="Вывод 10 16 9" xfId="35831"/>
    <cellStyle name="Вывод 10 17" xfId="12162"/>
    <cellStyle name="Вывод 10 17 2" xfId="15060"/>
    <cellStyle name="Вывод 10 17 2 2" xfId="20343"/>
    <cellStyle name="Вывод 10 17 2 2 2" xfId="34153"/>
    <cellStyle name="Вывод 10 17 2 2 3" xfId="44021"/>
    <cellStyle name="Вывод 10 17 2 3" xfId="23614"/>
    <cellStyle name="Вывод 10 17 2 4" xfId="28880"/>
    <cellStyle name="Вывод 10 17 2 5" xfId="38755"/>
    <cellStyle name="Вывод 10 17 3" xfId="17542"/>
    <cellStyle name="Вывод 10 17 3 2" xfId="20633"/>
    <cellStyle name="Вывод 10 17 3 3" xfId="31352"/>
    <cellStyle name="Вывод 10 17 3 4" xfId="41225"/>
    <cellStyle name="Вывод 10 17 4" xfId="20969"/>
    <cellStyle name="Вывод 10 17 5" xfId="21541"/>
    <cellStyle name="Вывод 10 17 6" xfId="22734"/>
    <cellStyle name="Вывод 10 17 7" xfId="24238"/>
    <cellStyle name="Вывод 10 17 8" xfId="26036"/>
    <cellStyle name="Вывод 10 17 9" xfId="35911"/>
    <cellStyle name="Вывод 10 18" xfId="11634"/>
    <cellStyle name="Вывод 10 18 2" xfId="14532"/>
    <cellStyle name="Вывод 10 18 2 2" xfId="19815"/>
    <cellStyle name="Вывод 10 18 2 2 2" xfId="33625"/>
    <cellStyle name="Вывод 10 18 2 2 3" xfId="43493"/>
    <cellStyle name="Вывод 10 18 2 3" xfId="28352"/>
    <cellStyle name="Вывод 10 18 2 4" xfId="38227"/>
    <cellStyle name="Вывод 10 18 3" xfId="15765"/>
    <cellStyle name="Вывод 10 18 3 2" xfId="22845"/>
    <cellStyle name="Вывод 10 18 3 3" xfId="24397"/>
    <cellStyle name="Вывод 10 18 3 4" xfId="29584"/>
    <cellStyle name="Вывод 10 18 3 5" xfId="39459"/>
    <cellStyle name="Вывод 10 18 4" xfId="17422"/>
    <cellStyle name="Вывод 10 18 4 2" xfId="23325"/>
    <cellStyle name="Вывод 10 18 4 3" xfId="31232"/>
    <cellStyle name="Вывод 10 18 4 4" xfId="41105"/>
    <cellStyle name="Вывод 10 18 5" xfId="25508"/>
    <cellStyle name="Вывод 10 18 6" xfId="35383"/>
    <cellStyle name="Вывод 10 19" xfId="13263"/>
    <cellStyle name="Вывод 10 19 2" xfId="16064"/>
    <cellStyle name="Вывод 10 19 2 2" xfId="29882"/>
    <cellStyle name="Вывод 10 19 2 3" xfId="39757"/>
    <cellStyle name="Вывод 10 19 3" xfId="18595"/>
    <cellStyle name="Вывод 10 19 3 2" xfId="32405"/>
    <cellStyle name="Вывод 10 19 3 3" xfId="42277"/>
    <cellStyle name="Вывод 10 19 4" xfId="27136"/>
    <cellStyle name="Вывод 10 19 5" xfId="37011"/>
    <cellStyle name="Вывод 10 2" xfId="1302"/>
    <cellStyle name="Вывод 10 2 10" xfId="24647"/>
    <cellStyle name="Вывод 10 2 11" xfId="34270"/>
    <cellStyle name="Вывод 10 2 12" xfId="34617"/>
    <cellStyle name="Вывод 10 2 2" xfId="7892"/>
    <cellStyle name="Вывод 10 2 3" xfId="11942"/>
    <cellStyle name="Вывод 10 2 3 2" xfId="14840"/>
    <cellStyle name="Вывод 10 2 3 2 2" xfId="17054"/>
    <cellStyle name="Вывод 10 2 3 2 2 2" xfId="23106"/>
    <cellStyle name="Вывод 10 2 3 2 2 3" xfId="30868"/>
    <cellStyle name="Вывод 10 2 3 2 2 4" xfId="40743"/>
    <cellStyle name="Вывод 10 2 3 2 3" xfId="20123"/>
    <cellStyle name="Вывод 10 2 3 2 3 2" xfId="33933"/>
    <cellStyle name="Вывод 10 2 3 2 3 3" xfId="43801"/>
    <cellStyle name="Вывод 10 2 3 2 4" xfId="28660"/>
    <cellStyle name="Вывод 10 2 3 2 5" xfId="38535"/>
    <cellStyle name="Вывод 10 2 3 3" xfId="14326"/>
    <cellStyle name="Вывод 10 2 3 3 2" xfId="19609"/>
    <cellStyle name="Вывод 10 2 3 3 2 2" xfId="33419"/>
    <cellStyle name="Вывод 10 2 3 3 2 3" xfId="43288"/>
    <cellStyle name="Вывод 10 2 3 3 3" xfId="28147"/>
    <cellStyle name="Вывод 10 2 3 3 4" xfId="38022"/>
    <cellStyle name="Вывод 10 2 3 4" xfId="17490"/>
    <cellStyle name="Вывод 10 2 3 4 2" xfId="20781"/>
    <cellStyle name="Вывод 10 2 3 4 3" xfId="31300"/>
    <cellStyle name="Вывод 10 2 3 4 4" xfId="41173"/>
    <cellStyle name="Вывод 10 2 3 5" xfId="21337"/>
    <cellStyle name="Вывод 10 2 3 6" xfId="22530"/>
    <cellStyle name="Вывод 10 2 3 7" xfId="24018"/>
    <cellStyle name="Вывод 10 2 3 8" xfId="25816"/>
    <cellStyle name="Вывод 10 2 3 9" xfId="35691"/>
    <cellStyle name="Вывод 10 2 4" xfId="11635"/>
    <cellStyle name="Вывод 10 2 4 2" xfId="14533"/>
    <cellStyle name="Вывод 10 2 4 2 2" xfId="19816"/>
    <cellStyle name="Вывод 10 2 4 2 2 2" xfId="33626"/>
    <cellStyle name="Вывод 10 2 4 2 2 3" xfId="43494"/>
    <cellStyle name="Вывод 10 2 4 2 3" xfId="28353"/>
    <cellStyle name="Вывод 10 2 4 2 4" xfId="38228"/>
    <cellStyle name="Вывод 10 2 4 3" xfId="15766"/>
    <cellStyle name="Вывод 10 2 4 3 2" xfId="22898"/>
    <cellStyle name="Вывод 10 2 4 3 3" xfId="24398"/>
    <cellStyle name="Вывод 10 2 4 3 4" xfId="29585"/>
    <cellStyle name="Вывод 10 2 4 3 5" xfId="39460"/>
    <cellStyle name="Вывод 10 2 4 4" xfId="17423"/>
    <cellStyle name="Вывод 10 2 4 4 2" xfId="23378"/>
    <cellStyle name="Вывод 10 2 4 4 3" xfId="31233"/>
    <cellStyle name="Вывод 10 2 4 4 4" xfId="41106"/>
    <cellStyle name="Вывод 10 2 4 5" xfId="25509"/>
    <cellStyle name="Вывод 10 2 4 6" xfId="35384"/>
    <cellStyle name="Вывод 10 2 5" xfId="12268"/>
    <cellStyle name="Вывод 10 2 5 2" xfId="17600"/>
    <cellStyle name="Вывод 10 2 5 2 2" xfId="31410"/>
    <cellStyle name="Вывод 10 2 5 2 3" xfId="41283"/>
    <cellStyle name="Вывод 10 2 5 3" xfId="20445"/>
    <cellStyle name="Вывод 10 2 5 4" xfId="24305"/>
    <cellStyle name="Вывод 10 2 5 5" xfId="26142"/>
    <cellStyle name="Вывод 10 2 5 6" xfId="36017"/>
    <cellStyle name="Вывод 10 2 6" xfId="13264"/>
    <cellStyle name="Вывод 10 2 6 2" xfId="16065"/>
    <cellStyle name="Вывод 10 2 6 2 2" xfId="29883"/>
    <cellStyle name="Вывод 10 2 6 2 3" xfId="39758"/>
    <cellStyle name="Вывод 10 2 6 3" xfId="18596"/>
    <cellStyle name="Вывод 10 2 6 3 2" xfId="32406"/>
    <cellStyle name="Вывод 10 2 6 3 3" xfId="42278"/>
    <cellStyle name="Вывод 10 2 6 4" xfId="27137"/>
    <cellStyle name="Вывод 10 2 6 5" xfId="37012"/>
    <cellStyle name="Вывод 10 2 7" xfId="13114"/>
    <cellStyle name="Вывод 10 2 7 2" xfId="18446"/>
    <cellStyle name="Вывод 10 2 7 2 2" xfId="32256"/>
    <cellStyle name="Вывод 10 2 7 2 3" xfId="42128"/>
    <cellStyle name="Вывод 10 2 7 3" xfId="26987"/>
    <cellStyle name="Вывод 10 2 7 4" xfId="36862"/>
    <cellStyle name="Вывод 10 2 8" xfId="17219"/>
    <cellStyle name="Вывод 10 2 8 2" xfId="21197"/>
    <cellStyle name="Вывод 10 2 8 3" xfId="31030"/>
    <cellStyle name="Вывод 10 2 8 4" xfId="40904"/>
    <cellStyle name="Вывод 10 2 9" xfId="23731"/>
    <cellStyle name="Вывод 10 20" xfId="13113"/>
    <cellStyle name="Вывод 10 20 2" xfId="18445"/>
    <cellStyle name="Вывод 10 20 2 2" xfId="32255"/>
    <cellStyle name="Вывод 10 20 2 3" xfId="42127"/>
    <cellStyle name="Вывод 10 20 3" xfId="26986"/>
    <cellStyle name="Вывод 10 20 4" xfId="36861"/>
    <cellStyle name="Вывод 10 21" xfId="17218"/>
    <cellStyle name="Вывод 10 21 2" xfId="21178"/>
    <cellStyle name="Вывод 10 21 3" xfId="31029"/>
    <cellStyle name="Вывод 10 21 4" xfId="40903"/>
    <cellStyle name="Вывод 10 22" xfId="23730"/>
    <cellStyle name="Вывод 10 23" xfId="24646"/>
    <cellStyle name="Вывод 10 24" xfId="34269"/>
    <cellStyle name="Вывод 10 25" xfId="34618"/>
    <cellStyle name="Вывод 10 3" xfId="1303"/>
    <cellStyle name="Вывод 10 3 10" xfId="24648"/>
    <cellStyle name="Вывод 10 3 11" xfId="34271"/>
    <cellStyle name="Вывод 10 3 12" xfId="34616"/>
    <cellStyle name="Вывод 10 3 2" xfId="7893"/>
    <cellStyle name="Вывод 10 3 3" xfId="11943"/>
    <cellStyle name="Вывод 10 3 3 2" xfId="14841"/>
    <cellStyle name="Вывод 10 3 3 2 2" xfId="17055"/>
    <cellStyle name="Вывод 10 3 3 2 2 2" xfId="23107"/>
    <cellStyle name="Вывод 10 3 3 2 2 3" xfId="30869"/>
    <cellStyle name="Вывод 10 3 3 2 2 4" xfId="40744"/>
    <cellStyle name="Вывод 10 3 3 2 3" xfId="20124"/>
    <cellStyle name="Вывод 10 3 3 2 3 2" xfId="33934"/>
    <cellStyle name="Вывод 10 3 3 2 3 3" xfId="43802"/>
    <cellStyle name="Вывод 10 3 3 2 4" xfId="28661"/>
    <cellStyle name="Вывод 10 3 3 2 5" xfId="38536"/>
    <cellStyle name="Вывод 10 3 3 3" xfId="14327"/>
    <cellStyle name="Вывод 10 3 3 3 2" xfId="19610"/>
    <cellStyle name="Вывод 10 3 3 3 2 2" xfId="33420"/>
    <cellStyle name="Вывод 10 3 3 3 2 3" xfId="43289"/>
    <cellStyle name="Вывод 10 3 3 3 3" xfId="28148"/>
    <cellStyle name="Вывод 10 3 3 3 4" xfId="38023"/>
    <cellStyle name="Вывод 10 3 3 4" xfId="17491"/>
    <cellStyle name="Вывод 10 3 3 4 2" xfId="20782"/>
    <cellStyle name="Вывод 10 3 3 4 3" xfId="31301"/>
    <cellStyle name="Вывод 10 3 3 4 4" xfId="41174"/>
    <cellStyle name="Вывод 10 3 3 5" xfId="21338"/>
    <cellStyle name="Вывод 10 3 3 6" xfId="22531"/>
    <cellStyle name="Вывод 10 3 3 7" xfId="24019"/>
    <cellStyle name="Вывод 10 3 3 8" xfId="25817"/>
    <cellStyle name="Вывод 10 3 3 9" xfId="35692"/>
    <cellStyle name="Вывод 10 3 4" xfId="11636"/>
    <cellStyle name="Вывод 10 3 4 2" xfId="14534"/>
    <cellStyle name="Вывод 10 3 4 2 2" xfId="19817"/>
    <cellStyle name="Вывод 10 3 4 2 2 2" xfId="33627"/>
    <cellStyle name="Вывод 10 3 4 2 2 3" xfId="43495"/>
    <cellStyle name="Вывод 10 3 4 2 3" xfId="28354"/>
    <cellStyle name="Вывод 10 3 4 2 4" xfId="38229"/>
    <cellStyle name="Вывод 10 3 4 3" xfId="15767"/>
    <cellStyle name="Вывод 10 3 4 3 2" xfId="22899"/>
    <cellStyle name="Вывод 10 3 4 3 3" xfId="24399"/>
    <cellStyle name="Вывод 10 3 4 3 4" xfId="29586"/>
    <cellStyle name="Вывод 10 3 4 3 5" xfId="39461"/>
    <cellStyle name="Вывод 10 3 4 4" xfId="17424"/>
    <cellStyle name="Вывод 10 3 4 4 2" xfId="23379"/>
    <cellStyle name="Вывод 10 3 4 4 3" xfId="31234"/>
    <cellStyle name="Вывод 10 3 4 4 4" xfId="41107"/>
    <cellStyle name="Вывод 10 3 4 5" xfId="25510"/>
    <cellStyle name="Вывод 10 3 4 6" xfId="35385"/>
    <cellStyle name="Вывод 10 3 5" xfId="12269"/>
    <cellStyle name="Вывод 10 3 5 2" xfId="17601"/>
    <cellStyle name="Вывод 10 3 5 2 2" xfId="31411"/>
    <cellStyle name="Вывод 10 3 5 2 3" xfId="41284"/>
    <cellStyle name="Вывод 10 3 5 3" xfId="20446"/>
    <cellStyle name="Вывод 10 3 5 4" xfId="24306"/>
    <cellStyle name="Вывод 10 3 5 5" xfId="26143"/>
    <cellStyle name="Вывод 10 3 5 6" xfId="36018"/>
    <cellStyle name="Вывод 10 3 6" xfId="13265"/>
    <cellStyle name="Вывод 10 3 6 2" xfId="16066"/>
    <cellStyle name="Вывод 10 3 6 2 2" xfId="29884"/>
    <cellStyle name="Вывод 10 3 6 2 3" xfId="39759"/>
    <cellStyle name="Вывод 10 3 6 3" xfId="18597"/>
    <cellStyle name="Вывод 10 3 6 3 2" xfId="32407"/>
    <cellStyle name="Вывод 10 3 6 3 3" xfId="42279"/>
    <cellStyle name="Вывод 10 3 6 4" xfId="27138"/>
    <cellStyle name="Вывод 10 3 6 5" xfId="37013"/>
    <cellStyle name="Вывод 10 3 7" xfId="13115"/>
    <cellStyle name="Вывод 10 3 7 2" xfId="18447"/>
    <cellStyle name="Вывод 10 3 7 2 2" xfId="32257"/>
    <cellStyle name="Вывод 10 3 7 2 3" xfId="42129"/>
    <cellStyle name="Вывод 10 3 7 3" xfId="26988"/>
    <cellStyle name="Вывод 10 3 7 4" xfId="36863"/>
    <cellStyle name="Вывод 10 3 8" xfId="17220"/>
    <cellStyle name="Вывод 10 3 8 2" xfId="21198"/>
    <cellStyle name="Вывод 10 3 8 3" xfId="31031"/>
    <cellStyle name="Вывод 10 3 8 4" xfId="40905"/>
    <cellStyle name="Вывод 10 3 9" xfId="23732"/>
    <cellStyle name="Вывод 10 4" xfId="7886"/>
    <cellStyle name="Вывод 10 5" xfId="7894"/>
    <cellStyle name="Вывод 10 6" xfId="7895"/>
    <cellStyle name="Вывод 10 7" xfId="7896"/>
    <cellStyle name="Вывод 10 8" xfId="7897"/>
    <cellStyle name="Вывод 10 9" xfId="7898"/>
    <cellStyle name="Вывод 11" xfId="1304"/>
    <cellStyle name="Вывод 11 10" xfId="7900"/>
    <cellStyle name="Вывод 11 11" xfId="7901"/>
    <cellStyle name="Вывод 11 12" xfId="7902"/>
    <cellStyle name="Вывод 11 13" xfId="7903"/>
    <cellStyle name="Вывод 11 14" xfId="7904"/>
    <cellStyle name="Вывод 11 15" xfId="11859"/>
    <cellStyle name="Вывод 11 15 2" xfId="14757"/>
    <cellStyle name="Вывод 11 15 2 2" xfId="16971"/>
    <cellStyle name="Вывод 11 15 2 2 2" xfId="23023"/>
    <cellStyle name="Вывод 11 15 2 2 3" xfId="30785"/>
    <cellStyle name="Вывод 11 15 2 2 4" xfId="40660"/>
    <cellStyle name="Вывод 11 15 2 3" xfId="20040"/>
    <cellStyle name="Вывод 11 15 2 3 2" xfId="33850"/>
    <cellStyle name="Вывод 11 15 2 3 3" xfId="43718"/>
    <cellStyle name="Вывод 11 15 2 4" xfId="28577"/>
    <cellStyle name="Вывод 11 15 2 5" xfId="38452"/>
    <cellStyle name="Вывод 11 15 3" xfId="14436"/>
    <cellStyle name="Вывод 11 15 3 2" xfId="19719"/>
    <cellStyle name="Вывод 11 15 3 2 2" xfId="33529"/>
    <cellStyle name="Вывод 11 15 3 2 3" xfId="43397"/>
    <cellStyle name="Вывод 11 15 3 3" xfId="28256"/>
    <cellStyle name="Вывод 11 15 3 4" xfId="38131"/>
    <cellStyle name="Вывод 11 15 4" xfId="17475"/>
    <cellStyle name="Вывод 11 15 4 2" xfId="20698"/>
    <cellStyle name="Вывод 11 15 4 3" xfId="31285"/>
    <cellStyle name="Вывод 11 15 4 4" xfId="41158"/>
    <cellStyle name="Вывод 11 15 5" xfId="21254"/>
    <cellStyle name="Вывод 11 15 6" xfId="22431"/>
    <cellStyle name="Вывод 11 15 7" xfId="23919"/>
    <cellStyle name="Вывод 11 15 8" xfId="25733"/>
    <cellStyle name="Вывод 11 15 9" xfId="35608"/>
    <cellStyle name="Вывод 11 16" xfId="12083"/>
    <cellStyle name="Вывод 11 16 2" xfId="14981"/>
    <cellStyle name="Вывод 11 16 2 2" xfId="20264"/>
    <cellStyle name="Вывод 11 16 2 2 2" xfId="34074"/>
    <cellStyle name="Вывод 11 16 2 2 3" xfId="43942"/>
    <cellStyle name="Вывод 11 16 2 3" xfId="23535"/>
    <cellStyle name="Вывод 11 16 2 4" xfId="28801"/>
    <cellStyle name="Вывод 11 16 2 5" xfId="38676"/>
    <cellStyle name="Вывод 11 16 3" xfId="17527"/>
    <cellStyle name="Вывод 11 16 3 2" xfId="20570"/>
    <cellStyle name="Вывод 11 16 3 3" xfId="31337"/>
    <cellStyle name="Вывод 11 16 3 4" xfId="41210"/>
    <cellStyle name="Вывод 11 16 4" xfId="20906"/>
    <cellStyle name="Вывод 11 16 5" xfId="21462"/>
    <cellStyle name="Вывод 11 16 6" xfId="22655"/>
    <cellStyle name="Вывод 11 16 7" xfId="24159"/>
    <cellStyle name="Вывод 11 16 8" xfId="25957"/>
    <cellStyle name="Вывод 11 16 9" xfId="35832"/>
    <cellStyle name="Вывод 11 17" xfId="12163"/>
    <cellStyle name="Вывод 11 17 2" xfId="15061"/>
    <cellStyle name="Вывод 11 17 2 2" xfId="20344"/>
    <cellStyle name="Вывод 11 17 2 2 2" xfId="34154"/>
    <cellStyle name="Вывод 11 17 2 2 3" xfId="44022"/>
    <cellStyle name="Вывод 11 17 2 3" xfId="23615"/>
    <cellStyle name="Вывод 11 17 2 4" xfId="28881"/>
    <cellStyle name="Вывод 11 17 2 5" xfId="38756"/>
    <cellStyle name="Вывод 11 17 3" xfId="17543"/>
    <cellStyle name="Вывод 11 17 3 2" xfId="20634"/>
    <cellStyle name="Вывод 11 17 3 3" xfId="31353"/>
    <cellStyle name="Вывод 11 17 3 4" xfId="41226"/>
    <cellStyle name="Вывод 11 17 4" xfId="20970"/>
    <cellStyle name="Вывод 11 17 5" xfId="21542"/>
    <cellStyle name="Вывод 11 17 6" xfId="22735"/>
    <cellStyle name="Вывод 11 17 7" xfId="24239"/>
    <cellStyle name="Вывод 11 17 8" xfId="26037"/>
    <cellStyle name="Вывод 11 17 9" xfId="35912"/>
    <cellStyle name="Вывод 11 18" xfId="11637"/>
    <cellStyle name="Вывод 11 18 2" xfId="14535"/>
    <cellStyle name="Вывод 11 18 2 2" xfId="19818"/>
    <cellStyle name="Вывод 11 18 2 2 2" xfId="33628"/>
    <cellStyle name="Вывод 11 18 2 2 3" xfId="43496"/>
    <cellStyle name="Вывод 11 18 2 3" xfId="28355"/>
    <cellStyle name="Вывод 11 18 2 4" xfId="38230"/>
    <cellStyle name="Вывод 11 18 3" xfId="15768"/>
    <cellStyle name="Вывод 11 18 3 2" xfId="22844"/>
    <cellStyle name="Вывод 11 18 3 3" xfId="24400"/>
    <cellStyle name="Вывод 11 18 3 4" xfId="29587"/>
    <cellStyle name="Вывод 11 18 3 5" xfId="39462"/>
    <cellStyle name="Вывод 11 18 4" xfId="17425"/>
    <cellStyle name="Вывод 11 18 4 2" xfId="23324"/>
    <cellStyle name="Вывод 11 18 4 3" xfId="31235"/>
    <cellStyle name="Вывод 11 18 4 4" xfId="41108"/>
    <cellStyle name="Вывод 11 18 5" xfId="25511"/>
    <cellStyle name="Вывод 11 18 6" xfId="35386"/>
    <cellStyle name="Вывод 11 19" xfId="13266"/>
    <cellStyle name="Вывод 11 19 2" xfId="16067"/>
    <cellStyle name="Вывод 11 19 2 2" xfId="29885"/>
    <cellStyle name="Вывод 11 19 2 3" xfId="39760"/>
    <cellStyle name="Вывод 11 19 3" xfId="18598"/>
    <cellStyle name="Вывод 11 19 3 2" xfId="32408"/>
    <cellStyle name="Вывод 11 19 3 3" xfId="42280"/>
    <cellStyle name="Вывод 11 19 4" xfId="27139"/>
    <cellStyle name="Вывод 11 19 5" xfId="37014"/>
    <cellStyle name="Вывод 11 2" xfId="1305"/>
    <cellStyle name="Вывод 11 2 10" xfId="24650"/>
    <cellStyle name="Вывод 11 2 11" xfId="34273"/>
    <cellStyle name="Вывод 11 2 12" xfId="34614"/>
    <cellStyle name="Вывод 11 2 2" xfId="7905"/>
    <cellStyle name="Вывод 11 2 3" xfId="11944"/>
    <cellStyle name="Вывод 11 2 3 2" xfId="14842"/>
    <cellStyle name="Вывод 11 2 3 2 2" xfId="17056"/>
    <cellStyle name="Вывод 11 2 3 2 2 2" xfId="23108"/>
    <cellStyle name="Вывод 11 2 3 2 2 3" xfId="30870"/>
    <cellStyle name="Вывод 11 2 3 2 2 4" xfId="40745"/>
    <cellStyle name="Вывод 11 2 3 2 3" xfId="20125"/>
    <cellStyle name="Вывод 11 2 3 2 3 2" xfId="33935"/>
    <cellStyle name="Вывод 11 2 3 2 3 3" xfId="43803"/>
    <cellStyle name="Вывод 11 2 3 2 4" xfId="28662"/>
    <cellStyle name="Вывод 11 2 3 2 5" xfId="38537"/>
    <cellStyle name="Вывод 11 2 3 3" xfId="14328"/>
    <cellStyle name="Вывод 11 2 3 3 2" xfId="19611"/>
    <cellStyle name="Вывод 11 2 3 3 2 2" xfId="33421"/>
    <cellStyle name="Вывод 11 2 3 3 2 3" xfId="43290"/>
    <cellStyle name="Вывод 11 2 3 3 3" xfId="28149"/>
    <cellStyle name="Вывод 11 2 3 3 4" xfId="38024"/>
    <cellStyle name="Вывод 11 2 3 4" xfId="17492"/>
    <cellStyle name="Вывод 11 2 3 4 2" xfId="20783"/>
    <cellStyle name="Вывод 11 2 3 4 3" xfId="31302"/>
    <cellStyle name="Вывод 11 2 3 4 4" xfId="41175"/>
    <cellStyle name="Вывод 11 2 3 5" xfId="21339"/>
    <cellStyle name="Вывод 11 2 3 6" xfId="22532"/>
    <cellStyle name="Вывод 11 2 3 7" xfId="24020"/>
    <cellStyle name="Вывод 11 2 3 8" xfId="25818"/>
    <cellStyle name="Вывод 11 2 3 9" xfId="35693"/>
    <cellStyle name="Вывод 11 2 4" xfId="11638"/>
    <cellStyle name="Вывод 11 2 4 2" xfId="14536"/>
    <cellStyle name="Вывод 11 2 4 2 2" xfId="19819"/>
    <cellStyle name="Вывод 11 2 4 2 2 2" xfId="33629"/>
    <cellStyle name="Вывод 11 2 4 2 2 3" xfId="43497"/>
    <cellStyle name="Вывод 11 2 4 2 3" xfId="28356"/>
    <cellStyle name="Вывод 11 2 4 2 4" xfId="38231"/>
    <cellStyle name="Вывод 11 2 4 3" xfId="15769"/>
    <cellStyle name="Вывод 11 2 4 3 2" xfId="22900"/>
    <cellStyle name="Вывод 11 2 4 3 3" xfId="24401"/>
    <cellStyle name="Вывод 11 2 4 3 4" xfId="29588"/>
    <cellStyle name="Вывод 11 2 4 3 5" xfId="39463"/>
    <cellStyle name="Вывод 11 2 4 4" xfId="17426"/>
    <cellStyle name="Вывод 11 2 4 4 2" xfId="23380"/>
    <cellStyle name="Вывод 11 2 4 4 3" xfId="31236"/>
    <cellStyle name="Вывод 11 2 4 4 4" xfId="41109"/>
    <cellStyle name="Вывод 11 2 4 5" xfId="25512"/>
    <cellStyle name="Вывод 11 2 4 6" xfId="35387"/>
    <cellStyle name="Вывод 11 2 5" xfId="12270"/>
    <cellStyle name="Вывод 11 2 5 2" xfId="17602"/>
    <cellStyle name="Вывод 11 2 5 2 2" xfId="31412"/>
    <cellStyle name="Вывод 11 2 5 2 3" xfId="41285"/>
    <cellStyle name="Вывод 11 2 5 3" xfId="20447"/>
    <cellStyle name="Вывод 11 2 5 4" xfId="24307"/>
    <cellStyle name="Вывод 11 2 5 5" xfId="26144"/>
    <cellStyle name="Вывод 11 2 5 6" xfId="36019"/>
    <cellStyle name="Вывод 11 2 6" xfId="13267"/>
    <cellStyle name="Вывод 11 2 6 2" xfId="16068"/>
    <cellStyle name="Вывод 11 2 6 2 2" xfId="29886"/>
    <cellStyle name="Вывод 11 2 6 2 3" xfId="39761"/>
    <cellStyle name="Вывод 11 2 6 3" xfId="18599"/>
    <cellStyle name="Вывод 11 2 6 3 2" xfId="32409"/>
    <cellStyle name="Вывод 11 2 6 3 3" xfId="42281"/>
    <cellStyle name="Вывод 11 2 6 4" xfId="27140"/>
    <cellStyle name="Вывод 11 2 6 5" xfId="37015"/>
    <cellStyle name="Вывод 11 2 7" xfId="13117"/>
    <cellStyle name="Вывод 11 2 7 2" xfId="18449"/>
    <cellStyle name="Вывод 11 2 7 2 2" xfId="32259"/>
    <cellStyle name="Вывод 11 2 7 2 3" xfId="42131"/>
    <cellStyle name="Вывод 11 2 7 3" xfId="26990"/>
    <cellStyle name="Вывод 11 2 7 4" xfId="36865"/>
    <cellStyle name="Вывод 11 2 8" xfId="17222"/>
    <cellStyle name="Вывод 11 2 8 2" xfId="21199"/>
    <cellStyle name="Вывод 11 2 8 3" xfId="31033"/>
    <cellStyle name="Вывод 11 2 8 4" xfId="40907"/>
    <cellStyle name="Вывод 11 2 9" xfId="23734"/>
    <cellStyle name="Вывод 11 20" xfId="13116"/>
    <cellStyle name="Вывод 11 20 2" xfId="18448"/>
    <cellStyle name="Вывод 11 20 2 2" xfId="32258"/>
    <cellStyle name="Вывод 11 20 2 3" xfId="42130"/>
    <cellStyle name="Вывод 11 20 3" xfId="26989"/>
    <cellStyle name="Вывод 11 20 4" xfId="36864"/>
    <cellStyle name="Вывод 11 21" xfId="17221"/>
    <cellStyle name="Вывод 11 21 2" xfId="21177"/>
    <cellStyle name="Вывод 11 21 3" xfId="31032"/>
    <cellStyle name="Вывод 11 21 4" xfId="40906"/>
    <cellStyle name="Вывод 11 22" xfId="23733"/>
    <cellStyle name="Вывод 11 23" xfId="24649"/>
    <cellStyle name="Вывод 11 24" xfId="34272"/>
    <cellStyle name="Вывод 11 25" xfId="34615"/>
    <cellStyle name="Вывод 11 3" xfId="1306"/>
    <cellStyle name="Вывод 11 3 10" xfId="24651"/>
    <cellStyle name="Вывод 11 3 11" xfId="34274"/>
    <cellStyle name="Вывод 11 3 12" xfId="34613"/>
    <cellStyle name="Вывод 11 3 2" xfId="7906"/>
    <cellStyle name="Вывод 11 3 3" xfId="11945"/>
    <cellStyle name="Вывод 11 3 3 2" xfId="14843"/>
    <cellStyle name="Вывод 11 3 3 2 2" xfId="17057"/>
    <cellStyle name="Вывод 11 3 3 2 2 2" xfId="23109"/>
    <cellStyle name="Вывод 11 3 3 2 2 3" xfId="30871"/>
    <cellStyle name="Вывод 11 3 3 2 2 4" xfId="40746"/>
    <cellStyle name="Вывод 11 3 3 2 3" xfId="20126"/>
    <cellStyle name="Вывод 11 3 3 2 3 2" xfId="33936"/>
    <cellStyle name="Вывод 11 3 3 2 3 3" xfId="43804"/>
    <cellStyle name="Вывод 11 3 3 2 4" xfId="28663"/>
    <cellStyle name="Вывод 11 3 3 2 5" xfId="38538"/>
    <cellStyle name="Вывод 11 3 3 3" xfId="14329"/>
    <cellStyle name="Вывод 11 3 3 3 2" xfId="19612"/>
    <cellStyle name="Вывод 11 3 3 3 2 2" xfId="33422"/>
    <cellStyle name="Вывод 11 3 3 3 2 3" xfId="43291"/>
    <cellStyle name="Вывод 11 3 3 3 3" xfId="28150"/>
    <cellStyle name="Вывод 11 3 3 3 4" xfId="38025"/>
    <cellStyle name="Вывод 11 3 3 4" xfId="17493"/>
    <cellStyle name="Вывод 11 3 3 4 2" xfId="20784"/>
    <cellStyle name="Вывод 11 3 3 4 3" xfId="31303"/>
    <cellStyle name="Вывод 11 3 3 4 4" xfId="41176"/>
    <cellStyle name="Вывод 11 3 3 5" xfId="21340"/>
    <cellStyle name="Вывод 11 3 3 6" xfId="22533"/>
    <cellStyle name="Вывод 11 3 3 7" xfId="24021"/>
    <cellStyle name="Вывод 11 3 3 8" xfId="25819"/>
    <cellStyle name="Вывод 11 3 3 9" xfId="35694"/>
    <cellStyle name="Вывод 11 3 4" xfId="11639"/>
    <cellStyle name="Вывод 11 3 4 2" xfId="14537"/>
    <cellStyle name="Вывод 11 3 4 2 2" xfId="19820"/>
    <cellStyle name="Вывод 11 3 4 2 2 2" xfId="33630"/>
    <cellStyle name="Вывод 11 3 4 2 2 3" xfId="43498"/>
    <cellStyle name="Вывод 11 3 4 2 3" xfId="28357"/>
    <cellStyle name="Вывод 11 3 4 2 4" xfId="38232"/>
    <cellStyle name="Вывод 11 3 4 3" xfId="15770"/>
    <cellStyle name="Вывод 11 3 4 3 2" xfId="22901"/>
    <cellStyle name="Вывод 11 3 4 3 3" xfId="24402"/>
    <cellStyle name="Вывод 11 3 4 3 4" xfId="29589"/>
    <cellStyle name="Вывод 11 3 4 3 5" xfId="39464"/>
    <cellStyle name="Вывод 11 3 4 4" xfId="17427"/>
    <cellStyle name="Вывод 11 3 4 4 2" xfId="23381"/>
    <cellStyle name="Вывод 11 3 4 4 3" xfId="31237"/>
    <cellStyle name="Вывод 11 3 4 4 4" xfId="41110"/>
    <cellStyle name="Вывод 11 3 4 5" xfId="25513"/>
    <cellStyle name="Вывод 11 3 4 6" xfId="35388"/>
    <cellStyle name="Вывод 11 3 5" xfId="12271"/>
    <cellStyle name="Вывод 11 3 5 2" xfId="17603"/>
    <cellStyle name="Вывод 11 3 5 2 2" xfId="31413"/>
    <cellStyle name="Вывод 11 3 5 2 3" xfId="41286"/>
    <cellStyle name="Вывод 11 3 5 3" xfId="20448"/>
    <cellStyle name="Вывод 11 3 5 4" xfId="24308"/>
    <cellStyle name="Вывод 11 3 5 5" xfId="26145"/>
    <cellStyle name="Вывод 11 3 5 6" xfId="36020"/>
    <cellStyle name="Вывод 11 3 6" xfId="13268"/>
    <cellStyle name="Вывод 11 3 6 2" xfId="16069"/>
    <cellStyle name="Вывод 11 3 6 2 2" xfId="29887"/>
    <cellStyle name="Вывод 11 3 6 2 3" xfId="39762"/>
    <cellStyle name="Вывод 11 3 6 3" xfId="18600"/>
    <cellStyle name="Вывод 11 3 6 3 2" xfId="32410"/>
    <cellStyle name="Вывод 11 3 6 3 3" xfId="42282"/>
    <cellStyle name="Вывод 11 3 6 4" xfId="27141"/>
    <cellStyle name="Вывод 11 3 6 5" xfId="37016"/>
    <cellStyle name="Вывод 11 3 7" xfId="13118"/>
    <cellStyle name="Вывод 11 3 7 2" xfId="18450"/>
    <cellStyle name="Вывод 11 3 7 2 2" xfId="32260"/>
    <cellStyle name="Вывод 11 3 7 2 3" xfId="42132"/>
    <cellStyle name="Вывод 11 3 7 3" xfId="26991"/>
    <cellStyle name="Вывод 11 3 7 4" xfId="36866"/>
    <cellStyle name="Вывод 11 3 8" xfId="17223"/>
    <cellStyle name="Вывод 11 3 8 2" xfId="21200"/>
    <cellStyle name="Вывод 11 3 8 3" xfId="31034"/>
    <cellStyle name="Вывод 11 3 8 4" xfId="40908"/>
    <cellStyle name="Вывод 11 3 9" xfId="23735"/>
    <cellStyle name="Вывод 11 4" xfId="7899"/>
    <cellStyle name="Вывод 11 5" xfId="7907"/>
    <cellStyle name="Вывод 11 6" xfId="7908"/>
    <cellStyle name="Вывод 11 7" xfId="7909"/>
    <cellStyle name="Вывод 11 8" xfId="7910"/>
    <cellStyle name="Вывод 11 9" xfId="7911"/>
    <cellStyle name="Вывод 12" xfId="1307"/>
    <cellStyle name="Вывод 12 10" xfId="7913"/>
    <cellStyle name="Вывод 12 11" xfId="7914"/>
    <cellStyle name="Вывод 12 12" xfId="7915"/>
    <cellStyle name="Вывод 12 13" xfId="7916"/>
    <cellStyle name="Вывод 12 14" xfId="7917"/>
    <cellStyle name="Вывод 12 15" xfId="11860"/>
    <cellStyle name="Вывод 12 15 2" xfId="14758"/>
    <cellStyle name="Вывод 12 15 2 2" xfId="16972"/>
    <cellStyle name="Вывод 12 15 2 2 2" xfId="23024"/>
    <cellStyle name="Вывод 12 15 2 2 3" xfId="30786"/>
    <cellStyle name="Вывод 12 15 2 2 4" xfId="40661"/>
    <cellStyle name="Вывод 12 15 2 3" xfId="20041"/>
    <cellStyle name="Вывод 12 15 2 3 2" xfId="33851"/>
    <cellStyle name="Вывод 12 15 2 3 3" xfId="43719"/>
    <cellStyle name="Вывод 12 15 2 4" xfId="28578"/>
    <cellStyle name="Вывод 12 15 2 5" xfId="38453"/>
    <cellStyle name="Вывод 12 15 3" xfId="14276"/>
    <cellStyle name="Вывод 12 15 3 2" xfId="19559"/>
    <cellStyle name="Вывод 12 15 3 2 2" xfId="33369"/>
    <cellStyle name="Вывод 12 15 3 2 3" xfId="43238"/>
    <cellStyle name="Вывод 12 15 3 3" xfId="28097"/>
    <cellStyle name="Вывод 12 15 3 4" xfId="37972"/>
    <cellStyle name="Вывод 12 15 4" xfId="17476"/>
    <cellStyle name="Вывод 12 15 4 2" xfId="20699"/>
    <cellStyle name="Вывод 12 15 4 3" xfId="31286"/>
    <cellStyle name="Вывод 12 15 4 4" xfId="41159"/>
    <cellStyle name="Вывод 12 15 5" xfId="21255"/>
    <cellStyle name="Вывод 12 15 6" xfId="22432"/>
    <cellStyle name="Вывод 12 15 7" xfId="23920"/>
    <cellStyle name="Вывод 12 15 8" xfId="25734"/>
    <cellStyle name="Вывод 12 15 9" xfId="35609"/>
    <cellStyle name="Вывод 12 16" xfId="12084"/>
    <cellStyle name="Вывод 12 16 2" xfId="14982"/>
    <cellStyle name="Вывод 12 16 2 2" xfId="20265"/>
    <cellStyle name="Вывод 12 16 2 2 2" xfId="34075"/>
    <cellStyle name="Вывод 12 16 2 2 3" xfId="43943"/>
    <cellStyle name="Вывод 12 16 2 3" xfId="23536"/>
    <cellStyle name="Вывод 12 16 2 4" xfId="28802"/>
    <cellStyle name="Вывод 12 16 2 5" xfId="38677"/>
    <cellStyle name="Вывод 12 16 3" xfId="17528"/>
    <cellStyle name="Вывод 12 16 3 2" xfId="20571"/>
    <cellStyle name="Вывод 12 16 3 3" xfId="31338"/>
    <cellStyle name="Вывод 12 16 3 4" xfId="41211"/>
    <cellStyle name="Вывод 12 16 4" xfId="20907"/>
    <cellStyle name="Вывод 12 16 5" xfId="21463"/>
    <cellStyle name="Вывод 12 16 6" xfId="22656"/>
    <cellStyle name="Вывод 12 16 7" xfId="24160"/>
    <cellStyle name="Вывод 12 16 8" xfId="25958"/>
    <cellStyle name="Вывод 12 16 9" xfId="35833"/>
    <cellStyle name="Вывод 12 17" xfId="12164"/>
    <cellStyle name="Вывод 12 17 2" xfId="15062"/>
    <cellStyle name="Вывод 12 17 2 2" xfId="20345"/>
    <cellStyle name="Вывод 12 17 2 2 2" xfId="34155"/>
    <cellStyle name="Вывод 12 17 2 2 3" xfId="44023"/>
    <cellStyle name="Вывод 12 17 2 3" xfId="23616"/>
    <cellStyle name="Вывод 12 17 2 4" xfId="28882"/>
    <cellStyle name="Вывод 12 17 2 5" xfId="38757"/>
    <cellStyle name="Вывод 12 17 3" xfId="17544"/>
    <cellStyle name="Вывод 12 17 3 2" xfId="20635"/>
    <cellStyle name="Вывод 12 17 3 3" xfId="31354"/>
    <cellStyle name="Вывод 12 17 3 4" xfId="41227"/>
    <cellStyle name="Вывод 12 17 4" xfId="20971"/>
    <cellStyle name="Вывод 12 17 5" xfId="21543"/>
    <cellStyle name="Вывод 12 17 6" xfId="22736"/>
    <cellStyle name="Вывод 12 17 7" xfId="24240"/>
    <cellStyle name="Вывод 12 17 8" xfId="26038"/>
    <cellStyle name="Вывод 12 17 9" xfId="35913"/>
    <cellStyle name="Вывод 12 18" xfId="11640"/>
    <cellStyle name="Вывод 12 18 2" xfId="14538"/>
    <cellStyle name="Вывод 12 18 2 2" xfId="19821"/>
    <cellStyle name="Вывод 12 18 2 2 2" xfId="33631"/>
    <cellStyle name="Вывод 12 18 2 2 3" xfId="43499"/>
    <cellStyle name="Вывод 12 18 2 3" xfId="28358"/>
    <cellStyle name="Вывод 12 18 2 4" xfId="38233"/>
    <cellStyle name="Вывод 12 18 3" xfId="15771"/>
    <cellStyle name="Вывод 12 18 3 2" xfId="22843"/>
    <cellStyle name="Вывод 12 18 3 3" xfId="24403"/>
    <cellStyle name="Вывод 12 18 3 4" xfId="29590"/>
    <cellStyle name="Вывод 12 18 3 5" xfId="39465"/>
    <cellStyle name="Вывод 12 18 4" xfId="17428"/>
    <cellStyle name="Вывод 12 18 4 2" xfId="23323"/>
    <cellStyle name="Вывод 12 18 4 3" xfId="31238"/>
    <cellStyle name="Вывод 12 18 4 4" xfId="41111"/>
    <cellStyle name="Вывод 12 18 5" xfId="25514"/>
    <cellStyle name="Вывод 12 18 6" xfId="35389"/>
    <cellStyle name="Вывод 12 19" xfId="13269"/>
    <cellStyle name="Вывод 12 19 2" xfId="16070"/>
    <cellStyle name="Вывод 12 19 2 2" xfId="29888"/>
    <cellStyle name="Вывод 12 19 2 3" xfId="39763"/>
    <cellStyle name="Вывод 12 19 3" xfId="18601"/>
    <cellStyle name="Вывод 12 19 3 2" xfId="32411"/>
    <cellStyle name="Вывод 12 19 3 3" xfId="42283"/>
    <cellStyle name="Вывод 12 19 4" xfId="27142"/>
    <cellStyle name="Вывод 12 19 5" xfId="37017"/>
    <cellStyle name="Вывод 12 2" xfId="1308"/>
    <cellStyle name="Вывод 12 2 10" xfId="24653"/>
    <cellStyle name="Вывод 12 2 11" xfId="34276"/>
    <cellStyle name="Вывод 12 2 12" xfId="34611"/>
    <cellStyle name="Вывод 12 2 2" xfId="7918"/>
    <cellStyle name="Вывод 12 2 3" xfId="11946"/>
    <cellStyle name="Вывод 12 2 3 2" xfId="14844"/>
    <cellStyle name="Вывод 12 2 3 2 2" xfId="17058"/>
    <cellStyle name="Вывод 12 2 3 2 2 2" xfId="23110"/>
    <cellStyle name="Вывод 12 2 3 2 2 3" xfId="30872"/>
    <cellStyle name="Вывод 12 2 3 2 2 4" xfId="40747"/>
    <cellStyle name="Вывод 12 2 3 2 3" xfId="20127"/>
    <cellStyle name="Вывод 12 2 3 2 3 2" xfId="33937"/>
    <cellStyle name="Вывод 12 2 3 2 3 3" xfId="43805"/>
    <cellStyle name="Вывод 12 2 3 2 4" xfId="28664"/>
    <cellStyle name="Вывод 12 2 3 2 5" xfId="38539"/>
    <cellStyle name="Вывод 12 2 3 3" xfId="14453"/>
    <cellStyle name="Вывод 12 2 3 3 2" xfId="19736"/>
    <cellStyle name="Вывод 12 2 3 3 2 2" xfId="33546"/>
    <cellStyle name="Вывод 12 2 3 3 2 3" xfId="43414"/>
    <cellStyle name="Вывод 12 2 3 3 3" xfId="28273"/>
    <cellStyle name="Вывод 12 2 3 3 4" xfId="38148"/>
    <cellStyle name="Вывод 12 2 3 4" xfId="17494"/>
    <cellStyle name="Вывод 12 2 3 4 2" xfId="20785"/>
    <cellStyle name="Вывод 12 2 3 4 3" xfId="31304"/>
    <cellStyle name="Вывод 12 2 3 4 4" xfId="41177"/>
    <cellStyle name="Вывод 12 2 3 5" xfId="21341"/>
    <cellStyle name="Вывод 12 2 3 6" xfId="22534"/>
    <cellStyle name="Вывод 12 2 3 7" xfId="24022"/>
    <cellStyle name="Вывод 12 2 3 8" xfId="25820"/>
    <cellStyle name="Вывод 12 2 3 9" xfId="35695"/>
    <cellStyle name="Вывод 12 2 4" xfId="11641"/>
    <cellStyle name="Вывод 12 2 4 2" xfId="14539"/>
    <cellStyle name="Вывод 12 2 4 2 2" xfId="19822"/>
    <cellStyle name="Вывод 12 2 4 2 2 2" xfId="33632"/>
    <cellStyle name="Вывод 12 2 4 2 2 3" xfId="43500"/>
    <cellStyle name="Вывод 12 2 4 2 3" xfId="28359"/>
    <cellStyle name="Вывод 12 2 4 2 4" xfId="38234"/>
    <cellStyle name="Вывод 12 2 4 3" xfId="15772"/>
    <cellStyle name="Вывод 12 2 4 3 2" xfId="22902"/>
    <cellStyle name="Вывод 12 2 4 3 3" xfId="24404"/>
    <cellStyle name="Вывод 12 2 4 3 4" xfId="29591"/>
    <cellStyle name="Вывод 12 2 4 3 5" xfId="39466"/>
    <cellStyle name="Вывод 12 2 4 4" xfId="17429"/>
    <cellStyle name="Вывод 12 2 4 4 2" xfId="23382"/>
    <cellStyle name="Вывод 12 2 4 4 3" xfId="31239"/>
    <cellStyle name="Вывод 12 2 4 4 4" xfId="41112"/>
    <cellStyle name="Вывод 12 2 4 5" xfId="25515"/>
    <cellStyle name="Вывод 12 2 4 6" xfId="35390"/>
    <cellStyle name="Вывод 12 2 5" xfId="12272"/>
    <cellStyle name="Вывод 12 2 5 2" xfId="17604"/>
    <cellStyle name="Вывод 12 2 5 2 2" xfId="31414"/>
    <cellStyle name="Вывод 12 2 5 2 3" xfId="41287"/>
    <cellStyle name="Вывод 12 2 5 3" xfId="20449"/>
    <cellStyle name="Вывод 12 2 5 4" xfId="24309"/>
    <cellStyle name="Вывод 12 2 5 5" xfId="26146"/>
    <cellStyle name="Вывод 12 2 5 6" xfId="36021"/>
    <cellStyle name="Вывод 12 2 6" xfId="13270"/>
    <cellStyle name="Вывод 12 2 6 2" xfId="16071"/>
    <cellStyle name="Вывод 12 2 6 2 2" xfId="29889"/>
    <cellStyle name="Вывод 12 2 6 2 3" xfId="39764"/>
    <cellStyle name="Вывод 12 2 6 3" xfId="18602"/>
    <cellStyle name="Вывод 12 2 6 3 2" xfId="32412"/>
    <cellStyle name="Вывод 12 2 6 3 3" xfId="42284"/>
    <cellStyle name="Вывод 12 2 6 4" xfId="27143"/>
    <cellStyle name="Вывод 12 2 6 5" xfId="37018"/>
    <cellStyle name="Вывод 12 2 7" xfId="13120"/>
    <cellStyle name="Вывод 12 2 7 2" xfId="18452"/>
    <cellStyle name="Вывод 12 2 7 2 2" xfId="32262"/>
    <cellStyle name="Вывод 12 2 7 2 3" xfId="42134"/>
    <cellStyle name="Вывод 12 2 7 3" xfId="26993"/>
    <cellStyle name="Вывод 12 2 7 4" xfId="36868"/>
    <cellStyle name="Вывод 12 2 8" xfId="17225"/>
    <cellStyle name="Вывод 12 2 8 2" xfId="21201"/>
    <cellStyle name="Вывод 12 2 8 3" xfId="31036"/>
    <cellStyle name="Вывод 12 2 8 4" xfId="40910"/>
    <cellStyle name="Вывод 12 2 9" xfId="23737"/>
    <cellStyle name="Вывод 12 20" xfId="13119"/>
    <cellStyle name="Вывод 12 20 2" xfId="18451"/>
    <cellStyle name="Вывод 12 20 2 2" xfId="32261"/>
    <cellStyle name="Вывод 12 20 2 3" xfId="42133"/>
    <cellStyle name="Вывод 12 20 3" xfId="26992"/>
    <cellStyle name="Вывод 12 20 4" xfId="36867"/>
    <cellStyle name="Вывод 12 21" xfId="17224"/>
    <cellStyle name="Вывод 12 21 2" xfId="21176"/>
    <cellStyle name="Вывод 12 21 3" xfId="31035"/>
    <cellStyle name="Вывод 12 21 4" xfId="40909"/>
    <cellStyle name="Вывод 12 22" xfId="23736"/>
    <cellStyle name="Вывод 12 23" xfId="24652"/>
    <cellStyle name="Вывод 12 24" xfId="34275"/>
    <cellStyle name="Вывод 12 25" xfId="34612"/>
    <cellStyle name="Вывод 12 3" xfId="1309"/>
    <cellStyle name="Вывод 12 3 10" xfId="24654"/>
    <cellStyle name="Вывод 12 3 11" xfId="34277"/>
    <cellStyle name="Вывод 12 3 12" xfId="34610"/>
    <cellStyle name="Вывод 12 3 2" xfId="7919"/>
    <cellStyle name="Вывод 12 3 3" xfId="11947"/>
    <cellStyle name="Вывод 12 3 3 2" xfId="14845"/>
    <cellStyle name="Вывод 12 3 3 2 2" xfId="17059"/>
    <cellStyle name="Вывод 12 3 3 2 2 2" xfId="23111"/>
    <cellStyle name="Вывод 12 3 3 2 2 3" xfId="30873"/>
    <cellStyle name="Вывод 12 3 3 2 2 4" xfId="40748"/>
    <cellStyle name="Вывод 12 3 3 2 3" xfId="20128"/>
    <cellStyle name="Вывод 12 3 3 2 3 2" xfId="33938"/>
    <cellStyle name="Вывод 12 3 3 2 3 3" xfId="43806"/>
    <cellStyle name="Вывод 12 3 3 2 4" xfId="28665"/>
    <cellStyle name="Вывод 12 3 3 2 5" xfId="38540"/>
    <cellStyle name="Вывод 12 3 3 3" xfId="14454"/>
    <cellStyle name="Вывод 12 3 3 3 2" xfId="19737"/>
    <cellStyle name="Вывод 12 3 3 3 2 2" xfId="33547"/>
    <cellStyle name="Вывод 12 3 3 3 2 3" xfId="43415"/>
    <cellStyle name="Вывод 12 3 3 3 3" xfId="28274"/>
    <cellStyle name="Вывод 12 3 3 3 4" xfId="38149"/>
    <cellStyle name="Вывод 12 3 3 4" xfId="17495"/>
    <cellStyle name="Вывод 12 3 3 4 2" xfId="20786"/>
    <cellStyle name="Вывод 12 3 3 4 3" xfId="31305"/>
    <cellStyle name="Вывод 12 3 3 4 4" xfId="41178"/>
    <cellStyle name="Вывод 12 3 3 5" xfId="21342"/>
    <cellStyle name="Вывод 12 3 3 6" xfId="22535"/>
    <cellStyle name="Вывод 12 3 3 7" xfId="24023"/>
    <cellStyle name="Вывод 12 3 3 8" xfId="25821"/>
    <cellStyle name="Вывод 12 3 3 9" xfId="35696"/>
    <cellStyle name="Вывод 12 3 4" xfId="11642"/>
    <cellStyle name="Вывод 12 3 4 2" xfId="14540"/>
    <cellStyle name="Вывод 12 3 4 2 2" xfId="19823"/>
    <cellStyle name="Вывод 12 3 4 2 2 2" xfId="33633"/>
    <cellStyle name="Вывод 12 3 4 2 2 3" xfId="43501"/>
    <cellStyle name="Вывод 12 3 4 2 3" xfId="28360"/>
    <cellStyle name="Вывод 12 3 4 2 4" xfId="38235"/>
    <cellStyle name="Вывод 12 3 4 3" xfId="15773"/>
    <cellStyle name="Вывод 12 3 4 3 2" xfId="22903"/>
    <cellStyle name="Вывод 12 3 4 3 3" xfId="24405"/>
    <cellStyle name="Вывод 12 3 4 3 4" xfId="29592"/>
    <cellStyle name="Вывод 12 3 4 3 5" xfId="39467"/>
    <cellStyle name="Вывод 12 3 4 4" xfId="17430"/>
    <cellStyle name="Вывод 12 3 4 4 2" xfId="23383"/>
    <cellStyle name="Вывод 12 3 4 4 3" xfId="31240"/>
    <cellStyle name="Вывод 12 3 4 4 4" xfId="41113"/>
    <cellStyle name="Вывод 12 3 4 5" xfId="25516"/>
    <cellStyle name="Вывод 12 3 4 6" xfId="35391"/>
    <cellStyle name="Вывод 12 3 5" xfId="12273"/>
    <cellStyle name="Вывод 12 3 5 2" xfId="17605"/>
    <cellStyle name="Вывод 12 3 5 2 2" xfId="31415"/>
    <cellStyle name="Вывод 12 3 5 2 3" xfId="41288"/>
    <cellStyle name="Вывод 12 3 5 3" xfId="20450"/>
    <cellStyle name="Вывод 12 3 5 4" xfId="24310"/>
    <cellStyle name="Вывод 12 3 5 5" xfId="26147"/>
    <cellStyle name="Вывод 12 3 5 6" xfId="36022"/>
    <cellStyle name="Вывод 12 3 6" xfId="13271"/>
    <cellStyle name="Вывод 12 3 6 2" xfId="16072"/>
    <cellStyle name="Вывод 12 3 6 2 2" xfId="29890"/>
    <cellStyle name="Вывод 12 3 6 2 3" xfId="39765"/>
    <cellStyle name="Вывод 12 3 6 3" xfId="18603"/>
    <cellStyle name="Вывод 12 3 6 3 2" xfId="32413"/>
    <cellStyle name="Вывод 12 3 6 3 3" xfId="42285"/>
    <cellStyle name="Вывод 12 3 6 4" xfId="27144"/>
    <cellStyle name="Вывод 12 3 6 5" xfId="37019"/>
    <cellStyle name="Вывод 12 3 7" xfId="13121"/>
    <cellStyle name="Вывод 12 3 7 2" xfId="18453"/>
    <cellStyle name="Вывод 12 3 7 2 2" xfId="32263"/>
    <cellStyle name="Вывод 12 3 7 2 3" xfId="42135"/>
    <cellStyle name="Вывод 12 3 7 3" xfId="26994"/>
    <cellStyle name="Вывод 12 3 7 4" xfId="36869"/>
    <cellStyle name="Вывод 12 3 8" xfId="17226"/>
    <cellStyle name="Вывод 12 3 8 2" xfId="21202"/>
    <cellStyle name="Вывод 12 3 8 3" xfId="31037"/>
    <cellStyle name="Вывод 12 3 8 4" xfId="40911"/>
    <cellStyle name="Вывод 12 3 9" xfId="23738"/>
    <cellStyle name="Вывод 12 4" xfId="7912"/>
    <cellStyle name="Вывод 12 5" xfId="7920"/>
    <cellStyle name="Вывод 12 6" xfId="7921"/>
    <cellStyle name="Вывод 12 7" xfId="7922"/>
    <cellStyle name="Вывод 12 8" xfId="7923"/>
    <cellStyle name="Вывод 12 9" xfId="7924"/>
    <cellStyle name="Вывод 13" xfId="1310"/>
    <cellStyle name="Вывод 13 10" xfId="7926"/>
    <cellStyle name="Вывод 13 11" xfId="7927"/>
    <cellStyle name="Вывод 13 12" xfId="7928"/>
    <cellStyle name="Вывод 13 13" xfId="7929"/>
    <cellStyle name="Вывод 13 14" xfId="7930"/>
    <cellStyle name="Вывод 13 15" xfId="11861"/>
    <cellStyle name="Вывод 13 15 2" xfId="14759"/>
    <cellStyle name="Вывод 13 15 2 2" xfId="16973"/>
    <cellStyle name="Вывод 13 15 2 2 2" xfId="23025"/>
    <cellStyle name="Вывод 13 15 2 2 3" xfId="30787"/>
    <cellStyle name="Вывод 13 15 2 2 4" xfId="40662"/>
    <cellStyle name="Вывод 13 15 2 3" xfId="20042"/>
    <cellStyle name="Вывод 13 15 2 3 2" xfId="33852"/>
    <cellStyle name="Вывод 13 15 2 3 3" xfId="43720"/>
    <cellStyle name="Вывод 13 15 2 4" xfId="28579"/>
    <cellStyle name="Вывод 13 15 2 5" xfId="38454"/>
    <cellStyle name="Вывод 13 15 3" xfId="14277"/>
    <cellStyle name="Вывод 13 15 3 2" xfId="19560"/>
    <cellStyle name="Вывод 13 15 3 2 2" xfId="33370"/>
    <cellStyle name="Вывод 13 15 3 2 3" xfId="43239"/>
    <cellStyle name="Вывод 13 15 3 3" xfId="28098"/>
    <cellStyle name="Вывод 13 15 3 4" xfId="37973"/>
    <cellStyle name="Вывод 13 15 4" xfId="17477"/>
    <cellStyle name="Вывод 13 15 4 2" xfId="20700"/>
    <cellStyle name="Вывод 13 15 4 3" xfId="31287"/>
    <cellStyle name="Вывод 13 15 4 4" xfId="41160"/>
    <cellStyle name="Вывод 13 15 5" xfId="21256"/>
    <cellStyle name="Вывод 13 15 6" xfId="22433"/>
    <cellStyle name="Вывод 13 15 7" xfId="23921"/>
    <cellStyle name="Вывод 13 15 8" xfId="25735"/>
    <cellStyle name="Вывод 13 15 9" xfId="35610"/>
    <cellStyle name="Вывод 13 16" xfId="12085"/>
    <cellStyle name="Вывод 13 16 2" xfId="14983"/>
    <cellStyle name="Вывод 13 16 2 2" xfId="20266"/>
    <cellStyle name="Вывод 13 16 2 2 2" xfId="34076"/>
    <cellStyle name="Вывод 13 16 2 2 3" xfId="43944"/>
    <cellStyle name="Вывод 13 16 2 3" xfId="23537"/>
    <cellStyle name="Вывод 13 16 2 4" xfId="28803"/>
    <cellStyle name="Вывод 13 16 2 5" xfId="38678"/>
    <cellStyle name="Вывод 13 16 3" xfId="17529"/>
    <cellStyle name="Вывод 13 16 3 2" xfId="20572"/>
    <cellStyle name="Вывод 13 16 3 3" xfId="31339"/>
    <cellStyle name="Вывод 13 16 3 4" xfId="41212"/>
    <cellStyle name="Вывод 13 16 4" xfId="20908"/>
    <cellStyle name="Вывод 13 16 5" xfId="21464"/>
    <cellStyle name="Вывод 13 16 6" xfId="22657"/>
    <cellStyle name="Вывод 13 16 7" xfId="24161"/>
    <cellStyle name="Вывод 13 16 8" xfId="25959"/>
    <cellStyle name="Вывод 13 16 9" xfId="35834"/>
    <cellStyle name="Вывод 13 17" xfId="12165"/>
    <cellStyle name="Вывод 13 17 2" xfId="15063"/>
    <cellStyle name="Вывод 13 17 2 2" xfId="20346"/>
    <cellStyle name="Вывод 13 17 2 2 2" xfId="34156"/>
    <cellStyle name="Вывод 13 17 2 2 3" xfId="44024"/>
    <cellStyle name="Вывод 13 17 2 3" xfId="23617"/>
    <cellStyle name="Вывод 13 17 2 4" xfId="28883"/>
    <cellStyle name="Вывод 13 17 2 5" xfId="38758"/>
    <cellStyle name="Вывод 13 17 3" xfId="17545"/>
    <cellStyle name="Вывод 13 17 3 2" xfId="20636"/>
    <cellStyle name="Вывод 13 17 3 3" xfId="31355"/>
    <cellStyle name="Вывод 13 17 3 4" xfId="41228"/>
    <cellStyle name="Вывод 13 17 4" xfId="20972"/>
    <cellStyle name="Вывод 13 17 5" xfId="21544"/>
    <cellStyle name="Вывод 13 17 6" xfId="22737"/>
    <cellStyle name="Вывод 13 17 7" xfId="24241"/>
    <cellStyle name="Вывод 13 17 8" xfId="26039"/>
    <cellStyle name="Вывод 13 17 9" xfId="35914"/>
    <cellStyle name="Вывод 13 18" xfId="11643"/>
    <cellStyle name="Вывод 13 18 2" xfId="14541"/>
    <cellStyle name="Вывод 13 18 2 2" xfId="19824"/>
    <cellStyle name="Вывод 13 18 2 2 2" xfId="33634"/>
    <cellStyle name="Вывод 13 18 2 2 3" xfId="43502"/>
    <cellStyle name="Вывод 13 18 2 3" xfId="28361"/>
    <cellStyle name="Вывод 13 18 2 4" xfId="38236"/>
    <cellStyle name="Вывод 13 18 3" xfId="15774"/>
    <cellStyle name="Вывод 13 18 3 2" xfId="22842"/>
    <cellStyle name="Вывод 13 18 3 3" xfId="24406"/>
    <cellStyle name="Вывод 13 18 3 4" xfId="29593"/>
    <cellStyle name="Вывод 13 18 3 5" xfId="39468"/>
    <cellStyle name="Вывод 13 18 4" xfId="17431"/>
    <cellStyle name="Вывод 13 18 4 2" xfId="23322"/>
    <cellStyle name="Вывод 13 18 4 3" xfId="31241"/>
    <cellStyle name="Вывод 13 18 4 4" xfId="41114"/>
    <cellStyle name="Вывод 13 18 5" xfId="25517"/>
    <cellStyle name="Вывод 13 18 6" xfId="35392"/>
    <cellStyle name="Вывод 13 19" xfId="13272"/>
    <cellStyle name="Вывод 13 19 2" xfId="16073"/>
    <cellStyle name="Вывод 13 19 2 2" xfId="29891"/>
    <cellStyle name="Вывод 13 19 2 3" xfId="39766"/>
    <cellStyle name="Вывод 13 19 3" xfId="18604"/>
    <cellStyle name="Вывод 13 19 3 2" xfId="32414"/>
    <cellStyle name="Вывод 13 19 3 3" xfId="42286"/>
    <cellStyle name="Вывод 13 19 4" xfId="27145"/>
    <cellStyle name="Вывод 13 19 5" xfId="37020"/>
    <cellStyle name="Вывод 13 2" xfId="1311"/>
    <cellStyle name="Вывод 13 2 10" xfId="24656"/>
    <cellStyle name="Вывод 13 2 11" xfId="34279"/>
    <cellStyle name="Вывод 13 2 12" xfId="34608"/>
    <cellStyle name="Вывод 13 2 2" xfId="7931"/>
    <cellStyle name="Вывод 13 2 3" xfId="11948"/>
    <cellStyle name="Вывод 13 2 3 2" xfId="14846"/>
    <cellStyle name="Вывод 13 2 3 2 2" xfId="17060"/>
    <cellStyle name="Вывод 13 2 3 2 2 2" xfId="23112"/>
    <cellStyle name="Вывод 13 2 3 2 2 3" xfId="30874"/>
    <cellStyle name="Вывод 13 2 3 2 2 4" xfId="40749"/>
    <cellStyle name="Вывод 13 2 3 2 3" xfId="20129"/>
    <cellStyle name="Вывод 13 2 3 2 3 2" xfId="33939"/>
    <cellStyle name="Вывод 13 2 3 2 3 3" xfId="43807"/>
    <cellStyle name="Вывод 13 2 3 2 4" xfId="28666"/>
    <cellStyle name="Вывод 13 2 3 2 5" xfId="38541"/>
    <cellStyle name="Вывод 13 2 3 3" xfId="13032"/>
    <cellStyle name="Вывод 13 2 3 3 2" xfId="18364"/>
    <cellStyle name="Вывод 13 2 3 3 2 2" xfId="32174"/>
    <cellStyle name="Вывод 13 2 3 3 2 3" xfId="42047"/>
    <cellStyle name="Вывод 13 2 3 3 3" xfId="26906"/>
    <cellStyle name="Вывод 13 2 3 3 4" xfId="36781"/>
    <cellStyle name="Вывод 13 2 3 4" xfId="17496"/>
    <cellStyle name="Вывод 13 2 3 4 2" xfId="20787"/>
    <cellStyle name="Вывод 13 2 3 4 3" xfId="31306"/>
    <cellStyle name="Вывод 13 2 3 4 4" xfId="41179"/>
    <cellStyle name="Вывод 13 2 3 5" xfId="21343"/>
    <cellStyle name="Вывод 13 2 3 6" xfId="22536"/>
    <cellStyle name="Вывод 13 2 3 7" xfId="24024"/>
    <cellStyle name="Вывод 13 2 3 8" xfId="25822"/>
    <cellStyle name="Вывод 13 2 3 9" xfId="35697"/>
    <cellStyle name="Вывод 13 2 4" xfId="11644"/>
    <cellStyle name="Вывод 13 2 4 2" xfId="14542"/>
    <cellStyle name="Вывод 13 2 4 2 2" xfId="19825"/>
    <cellStyle name="Вывод 13 2 4 2 2 2" xfId="33635"/>
    <cellStyle name="Вывод 13 2 4 2 2 3" xfId="43503"/>
    <cellStyle name="Вывод 13 2 4 2 3" xfId="28362"/>
    <cellStyle name="Вывод 13 2 4 2 4" xfId="38237"/>
    <cellStyle name="Вывод 13 2 4 3" xfId="15775"/>
    <cellStyle name="Вывод 13 2 4 3 2" xfId="22904"/>
    <cellStyle name="Вывод 13 2 4 3 3" xfId="24407"/>
    <cellStyle name="Вывод 13 2 4 3 4" xfId="29594"/>
    <cellStyle name="Вывод 13 2 4 3 5" xfId="39469"/>
    <cellStyle name="Вывод 13 2 4 4" xfId="17432"/>
    <cellStyle name="Вывод 13 2 4 4 2" xfId="23384"/>
    <cellStyle name="Вывод 13 2 4 4 3" xfId="31242"/>
    <cellStyle name="Вывод 13 2 4 4 4" xfId="41115"/>
    <cellStyle name="Вывод 13 2 4 5" xfId="25518"/>
    <cellStyle name="Вывод 13 2 4 6" xfId="35393"/>
    <cellStyle name="Вывод 13 2 5" xfId="12274"/>
    <cellStyle name="Вывод 13 2 5 2" xfId="17606"/>
    <cellStyle name="Вывод 13 2 5 2 2" xfId="31416"/>
    <cellStyle name="Вывод 13 2 5 2 3" xfId="41289"/>
    <cellStyle name="Вывод 13 2 5 3" xfId="20451"/>
    <cellStyle name="Вывод 13 2 5 4" xfId="24311"/>
    <cellStyle name="Вывод 13 2 5 5" xfId="26148"/>
    <cellStyle name="Вывод 13 2 5 6" xfId="36023"/>
    <cellStyle name="Вывод 13 2 6" xfId="13273"/>
    <cellStyle name="Вывод 13 2 6 2" xfId="16074"/>
    <cellStyle name="Вывод 13 2 6 2 2" xfId="29892"/>
    <cellStyle name="Вывод 13 2 6 2 3" xfId="39767"/>
    <cellStyle name="Вывод 13 2 6 3" xfId="18605"/>
    <cellStyle name="Вывод 13 2 6 3 2" xfId="32415"/>
    <cellStyle name="Вывод 13 2 6 3 3" xfId="42287"/>
    <cellStyle name="Вывод 13 2 6 4" xfId="27146"/>
    <cellStyle name="Вывод 13 2 6 5" xfId="37021"/>
    <cellStyle name="Вывод 13 2 7" xfId="13123"/>
    <cellStyle name="Вывод 13 2 7 2" xfId="18455"/>
    <cellStyle name="Вывод 13 2 7 2 2" xfId="32265"/>
    <cellStyle name="Вывод 13 2 7 2 3" xfId="42137"/>
    <cellStyle name="Вывод 13 2 7 3" xfId="26996"/>
    <cellStyle name="Вывод 13 2 7 4" xfId="36871"/>
    <cellStyle name="Вывод 13 2 8" xfId="17228"/>
    <cellStyle name="Вывод 13 2 8 2" xfId="21203"/>
    <cellStyle name="Вывод 13 2 8 3" xfId="31039"/>
    <cellStyle name="Вывод 13 2 8 4" xfId="40913"/>
    <cellStyle name="Вывод 13 2 9" xfId="23740"/>
    <cellStyle name="Вывод 13 20" xfId="13122"/>
    <cellStyle name="Вывод 13 20 2" xfId="18454"/>
    <cellStyle name="Вывод 13 20 2 2" xfId="32264"/>
    <cellStyle name="Вывод 13 20 2 3" xfId="42136"/>
    <cellStyle name="Вывод 13 20 3" xfId="26995"/>
    <cellStyle name="Вывод 13 20 4" xfId="36870"/>
    <cellStyle name="Вывод 13 21" xfId="17227"/>
    <cellStyle name="Вывод 13 21 2" xfId="21175"/>
    <cellStyle name="Вывод 13 21 3" xfId="31038"/>
    <cellStyle name="Вывод 13 21 4" xfId="40912"/>
    <cellStyle name="Вывод 13 22" xfId="23739"/>
    <cellStyle name="Вывод 13 23" xfId="24655"/>
    <cellStyle name="Вывод 13 24" xfId="34278"/>
    <cellStyle name="Вывод 13 25" xfId="34609"/>
    <cellStyle name="Вывод 13 3" xfId="1312"/>
    <cellStyle name="Вывод 13 3 10" xfId="24657"/>
    <cellStyle name="Вывод 13 3 11" xfId="34280"/>
    <cellStyle name="Вывод 13 3 12" xfId="34607"/>
    <cellStyle name="Вывод 13 3 2" xfId="7932"/>
    <cellStyle name="Вывод 13 3 3" xfId="11949"/>
    <cellStyle name="Вывод 13 3 3 2" xfId="14847"/>
    <cellStyle name="Вывод 13 3 3 2 2" xfId="17061"/>
    <cellStyle name="Вывод 13 3 3 2 2 2" xfId="23113"/>
    <cellStyle name="Вывод 13 3 3 2 2 3" xfId="30875"/>
    <cellStyle name="Вывод 13 3 3 2 2 4" xfId="40750"/>
    <cellStyle name="Вывод 13 3 3 2 3" xfId="20130"/>
    <cellStyle name="Вывод 13 3 3 2 3 2" xfId="33940"/>
    <cellStyle name="Вывод 13 3 3 2 3 3" xfId="43808"/>
    <cellStyle name="Вывод 13 3 3 2 4" xfId="28667"/>
    <cellStyle name="Вывод 13 3 3 2 5" xfId="38542"/>
    <cellStyle name="Вывод 13 3 3 3" xfId="14330"/>
    <cellStyle name="Вывод 13 3 3 3 2" xfId="19613"/>
    <cellStyle name="Вывод 13 3 3 3 2 2" xfId="33423"/>
    <cellStyle name="Вывод 13 3 3 3 2 3" xfId="43292"/>
    <cellStyle name="Вывод 13 3 3 3 3" xfId="28151"/>
    <cellStyle name="Вывод 13 3 3 3 4" xfId="38026"/>
    <cellStyle name="Вывод 13 3 3 4" xfId="17497"/>
    <cellStyle name="Вывод 13 3 3 4 2" xfId="20788"/>
    <cellStyle name="Вывод 13 3 3 4 3" xfId="31307"/>
    <cellStyle name="Вывод 13 3 3 4 4" xfId="41180"/>
    <cellStyle name="Вывод 13 3 3 5" xfId="21344"/>
    <cellStyle name="Вывод 13 3 3 6" xfId="22537"/>
    <cellStyle name="Вывод 13 3 3 7" xfId="24025"/>
    <cellStyle name="Вывод 13 3 3 8" xfId="25823"/>
    <cellStyle name="Вывод 13 3 3 9" xfId="35698"/>
    <cellStyle name="Вывод 13 3 4" xfId="11645"/>
    <cellStyle name="Вывод 13 3 4 2" xfId="14543"/>
    <cellStyle name="Вывод 13 3 4 2 2" xfId="19826"/>
    <cellStyle name="Вывод 13 3 4 2 2 2" xfId="33636"/>
    <cellStyle name="Вывод 13 3 4 2 2 3" xfId="43504"/>
    <cellStyle name="Вывод 13 3 4 2 3" xfId="28363"/>
    <cellStyle name="Вывод 13 3 4 2 4" xfId="38238"/>
    <cellStyle name="Вывод 13 3 4 3" xfId="15776"/>
    <cellStyle name="Вывод 13 3 4 3 2" xfId="22905"/>
    <cellStyle name="Вывод 13 3 4 3 3" xfId="24408"/>
    <cellStyle name="Вывод 13 3 4 3 4" xfId="29595"/>
    <cellStyle name="Вывод 13 3 4 3 5" xfId="39470"/>
    <cellStyle name="Вывод 13 3 4 4" xfId="17433"/>
    <cellStyle name="Вывод 13 3 4 4 2" xfId="23385"/>
    <cellStyle name="Вывод 13 3 4 4 3" xfId="31243"/>
    <cellStyle name="Вывод 13 3 4 4 4" xfId="41116"/>
    <cellStyle name="Вывод 13 3 4 5" xfId="25519"/>
    <cellStyle name="Вывод 13 3 4 6" xfId="35394"/>
    <cellStyle name="Вывод 13 3 5" xfId="12275"/>
    <cellStyle name="Вывод 13 3 5 2" xfId="17607"/>
    <cellStyle name="Вывод 13 3 5 2 2" xfId="31417"/>
    <cellStyle name="Вывод 13 3 5 2 3" xfId="41290"/>
    <cellStyle name="Вывод 13 3 5 3" xfId="20452"/>
    <cellStyle name="Вывод 13 3 5 4" xfId="24312"/>
    <cellStyle name="Вывод 13 3 5 5" xfId="26149"/>
    <cellStyle name="Вывод 13 3 5 6" xfId="36024"/>
    <cellStyle name="Вывод 13 3 6" xfId="13274"/>
    <cellStyle name="Вывод 13 3 6 2" xfId="16075"/>
    <cellStyle name="Вывод 13 3 6 2 2" xfId="29893"/>
    <cellStyle name="Вывод 13 3 6 2 3" xfId="39768"/>
    <cellStyle name="Вывод 13 3 6 3" xfId="18606"/>
    <cellStyle name="Вывод 13 3 6 3 2" xfId="32416"/>
    <cellStyle name="Вывод 13 3 6 3 3" xfId="42288"/>
    <cellStyle name="Вывод 13 3 6 4" xfId="27147"/>
    <cellStyle name="Вывод 13 3 6 5" xfId="37022"/>
    <cellStyle name="Вывод 13 3 7" xfId="13124"/>
    <cellStyle name="Вывод 13 3 7 2" xfId="18456"/>
    <cellStyle name="Вывод 13 3 7 2 2" xfId="32266"/>
    <cellStyle name="Вывод 13 3 7 2 3" xfId="42138"/>
    <cellStyle name="Вывод 13 3 7 3" xfId="26997"/>
    <cellStyle name="Вывод 13 3 7 4" xfId="36872"/>
    <cellStyle name="Вывод 13 3 8" xfId="17229"/>
    <cellStyle name="Вывод 13 3 8 2" xfId="21204"/>
    <cellStyle name="Вывод 13 3 8 3" xfId="31040"/>
    <cellStyle name="Вывод 13 3 8 4" xfId="40914"/>
    <cellStyle name="Вывод 13 3 9" xfId="23741"/>
    <cellStyle name="Вывод 13 4" xfId="7925"/>
    <cellStyle name="Вывод 13 5" xfId="7933"/>
    <cellStyle name="Вывод 13 6" xfId="7934"/>
    <cellStyle name="Вывод 13 7" xfId="7935"/>
    <cellStyle name="Вывод 13 8" xfId="7936"/>
    <cellStyle name="Вывод 13 9" xfId="7937"/>
    <cellStyle name="Вывод 14" xfId="1313"/>
    <cellStyle name="Вывод 14 10" xfId="7939"/>
    <cellStyle name="Вывод 14 11" xfId="7940"/>
    <cellStyle name="Вывод 14 12" xfId="7941"/>
    <cellStyle name="Вывод 14 13" xfId="7942"/>
    <cellStyle name="Вывод 14 14" xfId="7943"/>
    <cellStyle name="Вывод 14 15" xfId="11862"/>
    <cellStyle name="Вывод 14 15 2" xfId="14760"/>
    <cellStyle name="Вывод 14 15 2 2" xfId="16974"/>
    <cellStyle name="Вывод 14 15 2 2 2" xfId="23026"/>
    <cellStyle name="Вывод 14 15 2 2 3" xfId="30788"/>
    <cellStyle name="Вывод 14 15 2 2 4" xfId="40663"/>
    <cellStyle name="Вывод 14 15 2 3" xfId="20043"/>
    <cellStyle name="Вывод 14 15 2 3 2" xfId="33853"/>
    <cellStyle name="Вывод 14 15 2 3 3" xfId="43721"/>
    <cellStyle name="Вывод 14 15 2 4" xfId="28580"/>
    <cellStyle name="Вывод 14 15 2 5" xfId="38455"/>
    <cellStyle name="Вывод 14 15 3" xfId="13044"/>
    <cellStyle name="Вывод 14 15 3 2" xfId="18376"/>
    <cellStyle name="Вывод 14 15 3 2 2" xfId="32186"/>
    <cellStyle name="Вывод 14 15 3 2 3" xfId="42059"/>
    <cellStyle name="Вывод 14 15 3 3" xfId="26918"/>
    <cellStyle name="Вывод 14 15 3 4" xfId="36793"/>
    <cellStyle name="Вывод 14 15 4" xfId="17478"/>
    <cellStyle name="Вывод 14 15 4 2" xfId="20701"/>
    <cellStyle name="Вывод 14 15 4 3" xfId="31288"/>
    <cellStyle name="Вывод 14 15 4 4" xfId="41161"/>
    <cellStyle name="Вывод 14 15 5" xfId="21257"/>
    <cellStyle name="Вывод 14 15 6" xfId="22434"/>
    <cellStyle name="Вывод 14 15 7" xfId="23922"/>
    <cellStyle name="Вывод 14 15 8" xfId="25736"/>
    <cellStyle name="Вывод 14 15 9" xfId="35611"/>
    <cellStyle name="Вывод 14 16" xfId="12086"/>
    <cellStyle name="Вывод 14 16 2" xfId="14984"/>
    <cellStyle name="Вывод 14 16 2 2" xfId="20267"/>
    <cellStyle name="Вывод 14 16 2 2 2" xfId="34077"/>
    <cellStyle name="Вывод 14 16 2 2 3" xfId="43945"/>
    <cellStyle name="Вывод 14 16 2 3" xfId="23538"/>
    <cellStyle name="Вывод 14 16 2 4" xfId="28804"/>
    <cellStyle name="Вывод 14 16 2 5" xfId="38679"/>
    <cellStyle name="Вывод 14 16 3" xfId="17530"/>
    <cellStyle name="Вывод 14 16 3 2" xfId="20573"/>
    <cellStyle name="Вывод 14 16 3 3" xfId="31340"/>
    <cellStyle name="Вывод 14 16 3 4" xfId="41213"/>
    <cellStyle name="Вывод 14 16 4" xfId="20909"/>
    <cellStyle name="Вывод 14 16 5" xfId="21465"/>
    <cellStyle name="Вывод 14 16 6" xfId="22658"/>
    <cellStyle name="Вывод 14 16 7" xfId="24162"/>
    <cellStyle name="Вывод 14 16 8" xfId="25960"/>
    <cellStyle name="Вывод 14 16 9" xfId="35835"/>
    <cellStyle name="Вывод 14 17" xfId="12166"/>
    <cellStyle name="Вывод 14 17 2" xfId="15064"/>
    <cellStyle name="Вывод 14 17 2 2" xfId="20347"/>
    <cellStyle name="Вывод 14 17 2 2 2" xfId="34157"/>
    <cellStyle name="Вывод 14 17 2 2 3" xfId="44025"/>
    <cellStyle name="Вывод 14 17 2 3" xfId="23618"/>
    <cellStyle name="Вывод 14 17 2 4" xfId="28884"/>
    <cellStyle name="Вывод 14 17 2 5" xfId="38759"/>
    <cellStyle name="Вывод 14 17 3" xfId="17546"/>
    <cellStyle name="Вывод 14 17 3 2" xfId="20637"/>
    <cellStyle name="Вывод 14 17 3 3" xfId="31356"/>
    <cellStyle name="Вывод 14 17 3 4" xfId="41229"/>
    <cellStyle name="Вывод 14 17 4" xfId="20973"/>
    <cellStyle name="Вывод 14 17 5" xfId="21545"/>
    <cellStyle name="Вывод 14 17 6" xfId="22738"/>
    <cellStyle name="Вывод 14 17 7" xfId="24242"/>
    <cellStyle name="Вывод 14 17 8" xfId="26040"/>
    <cellStyle name="Вывод 14 17 9" xfId="35915"/>
    <cellStyle name="Вывод 14 18" xfId="11646"/>
    <cellStyle name="Вывод 14 18 2" xfId="14544"/>
    <cellStyle name="Вывод 14 18 2 2" xfId="19827"/>
    <cellStyle name="Вывод 14 18 2 2 2" xfId="33637"/>
    <cellStyle name="Вывод 14 18 2 2 3" xfId="43505"/>
    <cellStyle name="Вывод 14 18 2 3" xfId="28364"/>
    <cellStyle name="Вывод 14 18 2 4" xfId="38239"/>
    <cellStyle name="Вывод 14 18 3" xfId="15777"/>
    <cellStyle name="Вывод 14 18 3 2" xfId="22841"/>
    <cellStyle name="Вывод 14 18 3 3" xfId="24409"/>
    <cellStyle name="Вывод 14 18 3 4" xfId="29596"/>
    <cellStyle name="Вывод 14 18 3 5" xfId="39471"/>
    <cellStyle name="Вывод 14 18 4" xfId="17434"/>
    <cellStyle name="Вывод 14 18 4 2" xfId="23321"/>
    <cellStyle name="Вывод 14 18 4 3" xfId="31244"/>
    <cellStyle name="Вывод 14 18 4 4" xfId="41117"/>
    <cellStyle name="Вывод 14 18 5" xfId="25520"/>
    <cellStyle name="Вывод 14 18 6" xfId="35395"/>
    <cellStyle name="Вывод 14 19" xfId="13275"/>
    <cellStyle name="Вывод 14 19 2" xfId="16076"/>
    <cellStyle name="Вывод 14 19 2 2" xfId="29894"/>
    <cellStyle name="Вывод 14 19 2 3" xfId="39769"/>
    <cellStyle name="Вывод 14 19 3" xfId="18607"/>
    <cellStyle name="Вывод 14 19 3 2" xfId="32417"/>
    <cellStyle name="Вывод 14 19 3 3" xfId="42289"/>
    <cellStyle name="Вывод 14 19 4" xfId="27148"/>
    <cellStyle name="Вывод 14 19 5" xfId="37023"/>
    <cellStyle name="Вывод 14 2" xfId="1314"/>
    <cellStyle name="Вывод 14 2 10" xfId="24659"/>
    <cellStyle name="Вывод 14 2 11" xfId="34282"/>
    <cellStyle name="Вывод 14 2 12" xfId="34605"/>
    <cellStyle name="Вывод 14 2 2" xfId="7944"/>
    <cellStyle name="Вывод 14 2 3" xfId="11950"/>
    <cellStyle name="Вывод 14 2 3 2" xfId="14848"/>
    <cellStyle name="Вывод 14 2 3 2 2" xfId="17062"/>
    <cellStyle name="Вывод 14 2 3 2 2 2" xfId="23114"/>
    <cellStyle name="Вывод 14 2 3 2 2 3" xfId="30876"/>
    <cellStyle name="Вывод 14 2 3 2 2 4" xfId="40751"/>
    <cellStyle name="Вывод 14 2 3 2 3" xfId="20131"/>
    <cellStyle name="Вывод 14 2 3 2 3 2" xfId="33941"/>
    <cellStyle name="Вывод 14 2 3 2 3 3" xfId="43809"/>
    <cellStyle name="Вывод 14 2 3 2 4" xfId="28668"/>
    <cellStyle name="Вывод 14 2 3 2 5" xfId="38543"/>
    <cellStyle name="Вывод 14 2 3 3" xfId="13031"/>
    <cellStyle name="Вывод 14 2 3 3 2" xfId="18363"/>
    <cellStyle name="Вывод 14 2 3 3 2 2" xfId="32173"/>
    <cellStyle name="Вывод 14 2 3 3 2 3" xfId="42046"/>
    <cellStyle name="Вывод 14 2 3 3 3" xfId="26905"/>
    <cellStyle name="Вывод 14 2 3 3 4" xfId="36780"/>
    <cellStyle name="Вывод 14 2 3 4" xfId="17498"/>
    <cellStyle name="Вывод 14 2 3 4 2" xfId="20789"/>
    <cellStyle name="Вывод 14 2 3 4 3" xfId="31308"/>
    <cellStyle name="Вывод 14 2 3 4 4" xfId="41181"/>
    <cellStyle name="Вывод 14 2 3 5" xfId="21345"/>
    <cellStyle name="Вывод 14 2 3 6" xfId="22538"/>
    <cellStyle name="Вывод 14 2 3 7" xfId="24026"/>
    <cellStyle name="Вывод 14 2 3 8" xfId="25824"/>
    <cellStyle name="Вывод 14 2 3 9" xfId="35699"/>
    <cellStyle name="Вывод 14 2 4" xfId="11647"/>
    <cellStyle name="Вывод 14 2 4 2" xfId="14545"/>
    <cellStyle name="Вывод 14 2 4 2 2" xfId="19828"/>
    <cellStyle name="Вывод 14 2 4 2 2 2" xfId="33638"/>
    <cellStyle name="Вывод 14 2 4 2 2 3" xfId="43506"/>
    <cellStyle name="Вывод 14 2 4 2 3" xfId="28365"/>
    <cellStyle name="Вывод 14 2 4 2 4" xfId="38240"/>
    <cellStyle name="Вывод 14 2 4 3" xfId="15778"/>
    <cellStyle name="Вывод 14 2 4 3 2" xfId="22906"/>
    <cellStyle name="Вывод 14 2 4 3 3" xfId="24410"/>
    <cellStyle name="Вывод 14 2 4 3 4" xfId="29597"/>
    <cellStyle name="Вывод 14 2 4 3 5" xfId="39472"/>
    <cellStyle name="Вывод 14 2 4 4" xfId="17435"/>
    <cellStyle name="Вывод 14 2 4 4 2" xfId="23386"/>
    <cellStyle name="Вывод 14 2 4 4 3" xfId="31245"/>
    <cellStyle name="Вывод 14 2 4 4 4" xfId="41118"/>
    <cellStyle name="Вывод 14 2 4 5" xfId="25521"/>
    <cellStyle name="Вывод 14 2 4 6" xfId="35396"/>
    <cellStyle name="Вывод 14 2 5" xfId="12276"/>
    <cellStyle name="Вывод 14 2 5 2" xfId="17608"/>
    <cellStyle name="Вывод 14 2 5 2 2" xfId="31418"/>
    <cellStyle name="Вывод 14 2 5 2 3" xfId="41291"/>
    <cellStyle name="Вывод 14 2 5 3" xfId="20453"/>
    <cellStyle name="Вывод 14 2 5 4" xfId="24313"/>
    <cellStyle name="Вывод 14 2 5 5" xfId="26150"/>
    <cellStyle name="Вывод 14 2 5 6" xfId="36025"/>
    <cellStyle name="Вывод 14 2 6" xfId="13276"/>
    <cellStyle name="Вывод 14 2 6 2" xfId="16077"/>
    <cellStyle name="Вывод 14 2 6 2 2" xfId="29895"/>
    <cellStyle name="Вывод 14 2 6 2 3" xfId="39770"/>
    <cellStyle name="Вывод 14 2 6 3" xfId="18608"/>
    <cellStyle name="Вывод 14 2 6 3 2" xfId="32418"/>
    <cellStyle name="Вывод 14 2 6 3 3" xfId="42290"/>
    <cellStyle name="Вывод 14 2 6 4" xfId="27149"/>
    <cellStyle name="Вывод 14 2 6 5" xfId="37024"/>
    <cellStyle name="Вывод 14 2 7" xfId="13126"/>
    <cellStyle name="Вывод 14 2 7 2" xfId="18458"/>
    <cellStyle name="Вывод 14 2 7 2 2" xfId="32268"/>
    <cellStyle name="Вывод 14 2 7 2 3" xfId="42140"/>
    <cellStyle name="Вывод 14 2 7 3" xfId="26999"/>
    <cellStyle name="Вывод 14 2 7 4" xfId="36874"/>
    <cellStyle name="Вывод 14 2 8" xfId="17231"/>
    <cellStyle name="Вывод 14 2 8 2" xfId="21205"/>
    <cellStyle name="Вывод 14 2 8 3" xfId="31042"/>
    <cellStyle name="Вывод 14 2 8 4" xfId="40916"/>
    <cellStyle name="Вывод 14 2 9" xfId="23743"/>
    <cellStyle name="Вывод 14 20" xfId="13125"/>
    <cellStyle name="Вывод 14 20 2" xfId="18457"/>
    <cellStyle name="Вывод 14 20 2 2" xfId="32267"/>
    <cellStyle name="Вывод 14 20 2 3" xfId="42139"/>
    <cellStyle name="Вывод 14 20 3" xfId="26998"/>
    <cellStyle name="Вывод 14 20 4" xfId="36873"/>
    <cellStyle name="Вывод 14 21" xfId="17230"/>
    <cellStyle name="Вывод 14 21 2" xfId="21174"/>
    <cellStyle name="Вывод 14 21 3" xfId="31041"/>
    <cellStyle name="Вывод 14 21 4" xfId="40915"/>
    <cellStyle name="Вывод 14 22" xfId="23742"/>
    <cellStyle name="Вывод 14 23" xfId="24658"/>
    <cellStyle name="Вывод 14 24" xfId="34281"/>
    <cellStyle name="Вывод 14 25" xfId="34606"/>
    <cellStyle name="Вывод 14 3" xfId="1315"/>
    <cellStyle name="Вывод 14 3 10" xfId="24660"/>
    <cellStyle name="Вывод 14 3 11" xfId="34283"/>
    <cellStyle name="Вывод 14 3 12" xfId="34604"/>
    <cellStyle name="Вывод 14 3 2" xfId="7945"/>
    <cellStyle name="Вывод 14 3 3" xfId="11951"/>
    <cellStyle name="Вывод 14 3 3 2" xfId="14849"/>
    <cellStyle name="Вывод 14 3 3 2 2" xfId="17063"/>
    <cellStyle name="Вывод 14 3 3 2 2 2" xfId="23115"/>
    <cellStyle name="Вывод 14 3 3 2 2 3" xfId="30877"/>
    <cellStyle name="Вывод 14 3 3 2 2 4" xfId="40752"/>
    <cellStyle name="Вывод 14 3 3 2 3" xfId="20132"/>
    <cellStyle name="Вывод 14 3 3 2 3 2" xfId="33942"/>
    <cellStyle name="Вывод 14 3 3 2 3 3" xfId="43810"/>
    <cellStyle name="Вывод 14 3 3 2 4" xfId="28669"/>
    <cellStyle name="Вывод 14 3 3 2 5" xfId="38544"/>
    <cellStyle name="Вывод 14 3 3 3" xfId="14331"/>
    <cellStyle name="Вывод 14 3 3 3 2" xfId="19614"/>
    <cellStyle name="Вывод 14 3 3 3 2 2" xfId="33424"/>
    <cellStyle name="Вывод 14 3 3 3 2 3" xfId="43293"/>
    <cellStyle name="Вывод 14 3 3 3 3" xfId="28152"/>
    <cellStyle name="Вывод 14 3 3 3 4" xfId="38027"/>
    <cellStyle name="Вывод 14 3 3 4" xfId="17499"/>
    <cellStyle name="Вывод 14 3 3 4 2" xfId="20790"/>
    <cellStyle name="Вывод 14 3 3 4 3" xfId="31309"/>
    <cellStyle name="Вывод 14 3 3 4 4" xfId="41182"/>
    <cellStyle name="Вывод 14 3 3 5" xfId="21346"/>
    <cellStyle name="Вывод 14 3 3 6" xfId="22539"/>
    <cellStyle name="Вывод 14 3 3 7" xfId="24027"/>
    <cellStyle name="Вывод 14 3 3 8" xfId="25825"/>
    <cellStyle name="Вывод 14 3 3 9" xfId="35700"/>
    <cellStyle name="Вывод 14 3 4" xfId="11648"/>
    <cellStyle name="Вывод 14 3 4 2" xfId="14546"/>
    <cellStyle name="Вывод 14 3 4 2 2" xfId="19829"/>
    <cellStyle name="Вывод 14 3 4 2 2 2" xfId="33639"/>
    <cellStyle name="Вывод 14 3 4 2 2 3" xfId="43507"/>
    <cellStyle name="Вывод 14 3 4 2 3" xfId="28366"/>
    <cellStyle name="Вывод 14 3 4 2 4" xfId="38241"/>
    <cellStyle name="Вывод 14 3 4 3" xfId="15779"/>
    <cellStyle name="Вывод 14 3 4 3 2" xfId="22907"/>
    <cellStyle name="Вывод 14 3 4 3 3" xfId="24411"/>
    <cellStyle name="Вывод 14 3 4 3 4" xfId="29598"/>
    <cellStyle name="Вывод 14 3 4 3 5" xfId="39473"/>
    <cellStyle name="Вывод 14 3 4 4" xfId="17436"/>
    <cellStyle name="Вывод 14 3 4 4 2" xfId="23387"/>
    <cellStyle name="Вывод 14 3 4 4 3" xfId="31246"/>
    <cellStyle name="Вывод 14 3 4 4 4" xfId="41119"/>
    <cellStyle name="Вывод 14 3 4 5" xfId="25522"/>
    <cellStyle name="Вывод 14 3 4 6" xfId="35397"/>
    <cellStyle name="Вывод 14 3 5" xfId="12277"/>
    <cellStyle name="Вывод 14 3 5 2" xfId="17609"/>
    <cellStyle name="Вывод 14 3 5 2 2" xfId="31419"/>
    <cellStyle name="Вывод 14 3 5 2 3" xfId="41292"/>
    <cellStyle name="Вывод 14 3 5 3" xfId="20454"/>
    <cellStyle name="Вывод 14 3 5 4" xfId="24314"/>
    <cellStyle name="Вывод 14 3 5 5" xfId="26151"/>
    <cellStyle name="Вывод 14 3 5 6" xfId="36026"/>
    <cellStyle name="Вывод 14 3 6" xfId="13277"/>
    <cellStyle name="Вывод 14 3 6 2" xfId="16078"/>
    <cellStyle name="Вывод 14 3 6 2 2" xfId="29896"/>
    <cellStyle name="Вывод 14 3 6 2 3" xfId="39771"/>
    <cellStyle name="Вывод 14 3 6 3" xfId="18609"/>
    <cellStyle name="Вывод 14 3 6 3 2" xfId="32419"/>
    <cellStyle name="Вывод 14 3 6 3 3" xfId="42291"/>
    <cellStyle name="Вывод 14 3 6 4" xfId="27150"/>
    <cellStyle name="Вывод 14 3 6 5" xfId="37025"/>
    <cellStyle name="Вывод 14 3 7" xfId="13127"/>
    <cellStyle name="Вывод 14 3 7 2" xfId="18459"/>
    <cellStyle name="Вывод 14 3 7 2 2" xfId="32269"/>
    <cellStyle name="Вывод 14 3 7 2 3" xfId="42141"/>
    <cellStyle name="Вывод 14 3 7 3" xfId="27000"/>
    <cellStyle name="Вывод 14 3 7 4" xfId="36875"/>
    <cellStyle name="Вывод 14 3 8" xfId="17232"/>
    <cellStyle name="Вывод 14 3 8 2" xfId="21206"/>
    <cellStyle name="Вывод 14 3 8 3" xfId="31043"/>
    <cellStyle name="Вывод 14 3 8 4" xfId="40917"/>
    <cellStyle name="Вывод 14 3 9" xfId="23744"/>
    <cellStyle name="Вывод 14 4" xfId="7938"/>
    <cellStyle name="Вывод 14 5" xfId="7946"/>
    <cellStyle name="Вывод 14 6" xfId="7947"/>
    <cellStyle name="Вывод 14 7" xfId="7948"/>
    <cellStyle name="Вывод 14 8" xfId="7949"/>
    <cellStyle name="Вывод 14 9" xfId="7950"/>
    <cellStyle name="Вывод 15" xfId="1316"/>
    <cellStyle name="Вывод 15 10" xfId="7952"/>
    <cellStyle name="Вывод 15 11" xfId="7953"/>
    <cellStyle name="Вывод 15 12" xfId="7954"/>
    <cellStyle name="Вывод 15 13" xfId="7955"/>
    <cellStyle name="Вывод 15 14" xfId="7956"/>
    <cellStyle name="Вывод 15 15" xfId="11863"/>
    <cellStyle name="Вывод 15 15 2" xfId="14761"/>
    <cellStyle name="Вывод 15 15 2 2" xfId="16975"/>
    <cellStyle name="Вывод 15 15 2 2 2" xfId="23027"/>
    <cellStyle name="Вывод 15 15 2 2 3" xfId="30789"/>
    <cellStyle name="Вывод 15 15 2 2 4" xfId="40664"/>
    <cellStyle name="Вывод 15 15 2 3" xfId="20044"/>
    <cellStyle name="Вывод 15 15 2 3 2" xfId="33854"/>
    <cellStyle name="Вывод 15 15 2 3 3" xfId="43722"/>
    <cellStyle name="Вывод 15 15 2 4" xfId="28581"/>
    <cellStyle name="Вывод 15 15 2 5" xfId="38456"/>
    <cellStyle name="Вывод 15 15 3" xfId="14278"/>
    <cellStyle name="Вывод 15 15 3 2" xfId="19561"/>
    <cellStyle name="Вывод 15 15 3 2 2" xfId="33371"/>
    <cellStyle name="Вывод 15 15 3 2 3" xfId="43240"/>
    <cellStyle name="Вывод 15 15 3 3" xfId="28099"/>
    <cellStyle name="Вывод 15 15 3 4" xfId="37974"/>
    <cellStyle name="Вывод 15 15 4" xfId="17479"/>
    <cellStyle name="Вывод 15 15 4 2" xfId="20702"/>
    <cellStyle name="Вывод 15 15 4 3" xfId="31289"/>
    <cellStyle name="Вывод 15 15 4 4" xfId="41162"/>
    <cellStyle name="Вывод 15 15 5" xfId="21258"/>
    <cellStyle name="Вывод 15 15 6" xfId="22435"/>
    <cellStyle name="Вывод 15 15 7" xfId="23923"/>
    <cellStyle name="Вывод 15 15 8" xfId="25737"/>
    <cellStyle name="Вывод 15 15 9" xfId="35612"/>
    <cellStyle name="Вывод 15 16" xfId="12087"/>
    <cellStyle name="Вывод 15 16 2" xfId="14985"/>
    <cellStyle name="Вывод 15 16 2 2" xfId="20268"/>
    <cellStyle name="Вывод 15 16 2 2 2" xfId="34078"/>
    <cellStyle name="Вывод 15 16 2 2 3" xfId="43946"/>
    <cellStyle name="Вывод 15 16 2 3" xfId="23539"/>
    <cellStyle name="Вывод 15 16 2 4" xfId="28805"/>
    <cellStyle name="Вывод 15 16 2 5" xfId="38680"/>
    <cellStyle name="Вывод 15 16 3" xfId="17531"/>
    <cellStyle name="Вывод 15 16 3 2" xfId="20574"/>
    <cellStyle name="Вывод 15 16 3 3" xfId="31341"/>
    <cellStyle name="Вывод 15 16 3 4" xfId="41214"/>
    <cellStyle name="Вывод 15 16 4" xfId="20910"/>
    <cellStyle name="Вывод 15 16 5" xfId="21466"/>
    <cellStyle name="Вывод 15 16 6" xfId="22659"/>
    <cellStyle name="Вывод 15 16 7" xfId="24163"/>
    <cellStyle name="Вывод 15 16 8" xfId="25961"/>
    <cellStyle name="Вывод 15 16 9" xfId="35836"/>
    <cellStyle name="Вывод 15 17" xfId="12167"/>
    <cellStyle name="Вывод 15 17 2" xfId="15065"/>
    <cellStyle name="Вывод 15 17 2 2" xfId="20348"/>
    <cellStyle name="Вывод 15 17 2 2 2" xfId="34158"/>
    <cellStyle name="Вывод 15 17 2 2 3" xfId="44026"/>
    <cellStyle name="Вывод 15 17 2 3" xfId="23619"/>
    <cellStyle name="Вывод 15 17 2 4" xfId="28885"/>
    <cellStyle name="Вывод 15 17 2 5" xfId="38760"/>
    <cellStyle name="Вывод 15 17 3" xfId="17547"/>
    <cellStyle name="Вывод 15 17 3 2" xfId="20638"/>
    <cellStyle name="Вывод 15 17 3 3" xfId="31357"/>
    <cellStyle name="Вывод 15 17 3 4" xfId="41230"/>
    <cellStyle name="Вывод 15 17 4" xfId="20974"/>
    <cellStyle name="Вывод 15 17 5" xfId="21546"/>
    <cellStyle name="Вывод 15 17 6" xfId="22739"/>
    <cellStyle name="Вывод 15 17 7" xfId="24243"/>
    <cellStyle name="Вывод 15 17 8" xfId="26041"/>
    <cellStyle name="Вывод 15 17 9" xfId="35916"/>
    <cellStyle name="Вывод 15 18" xfId="11649"/>
    <cellStyle name="Вывод 15 18 2" xfId="14547"/>
    <cellStyle name="Вывод 15 18 2 2" xfId="19830"/>
    <cellStyle name="Вывод 15 18 2 2 2" xfId="33640"/>
    <cellStyle name="Вывод 15 18 2 2 3" xfId="43508"/>
    <cellStyle name="Вывод 15 18 2 3" xfId="28367"/>
    <cellStyle name="Вывод 15 18 2 4" xfId="38242"/>
    <cellStyle name="Вывод 15 18 3" xfId="15780"/>
    <cellStyle name="Вывод 15 18 3 2" xfId="22840"/>
    <cellStyle name="Вывод 15 18 3 3" xfId="24412"/>
    <cellStyle name="Вывод 15 18 3 4" xfId="29599"/>
    <cellStyle name="Вывод 15 18 3 5" xfId="39474"/>
    <cellStyle name="Вывод 15 18 4" xfId="17437"/>
    <cellStyle name="Вывод 15 18 4 2" xfId="23320"/>
    <cellStyle name="Вывод 15 18 4 3" xfId="31247"/>
    <cellStyle name="Вывод 15 18 4 4" xfId="41120"/>
    <cellStyle name="Вывод 15 18 5" xfId="25523"/>
    <cellStyle name="Вывод 15 18 6" xfId="35398"/>
    <cellStyle name="Вывод 15 19" xfId="13278"/>
    <cellStyle name="Вывод 15 19 2" xfId="16079"/>
    <cellStyle name="Вывод 15 19 2 2" xfId="29897"/>
    <cellStyle name="Вывод 15 19 2 3" xfId="39772"/>
    <cellStyle name="Вывод 15 19 3" xfId="18610"/>
    <cellStyle name="Вывод 15 19 3 2" xfId="32420"/>
    <cellStyle name="Вывод 15 19 3 3" xfId="42292"/>
    <cellStyle name="Вывод 15 19 4" xfId="27151"/>
    <cellStyle name="Вывод 15 19 5" xfId="37026"/>
    <cellStyle name="Вывод 15 2" xfId="1317"/>
    <cellStyle name="Вывод 15 2 10" xfId="24662"/>
    <cellStyle name="Вывод 15 2 11" xfId="34285"/>
    <cellStyle name="Вывод 15 2 12" xfId="34602"/>
    <cellStyle name="Вывод 15 2 2" xfId="7957"/>
    <cellStyle name="Вывод 15 2 3" xfId="11952"/>
    <cellStyle name="Вывод 15 2 3 2" xfId="14850"/>
    <cellStyle name="Вывод 15 2 3 2 2" xfId="17064"/>
    <cellStyle name="Вывод 15 2 3 2 2 2" xfId="23116"/>
    <cellStyle name="Вывод 15 2 3 2 2 3" xfId="30878"/>
    <cellStyle name="Вывод 15 2 3 2 2 4" xfId="40753"/>
    <cellStyle name="Вывод 15 2 3 2 3" xfId="20133"/>
    <cellStyle name="Вывод 15 2 3 2 3 2" xfId="33943"/>
    <cellStyle name="Вывод 15 2 3 2 3 3" xfId="43811"/>
    <cellStyle name="Вывод 15 2 3 2 4" xfId="28670"/>
    <cellStyle name="Вывод 15 2 3 2 5" xfId="38545"/>
    <cellStyle name="Вывод 15 2 3 3" xfId="14324"/>
    <cellStyle name="Вывод 15 2 3 3 2" xfId="19607"/>
    <cellStyle name="Вывод 15 2 3 3 2 2" xfId="33417"/>
    <cellStyle name="Вывод 15 2 3 3 2 3" xfId="43286"/>
    <cellStyle name="Вывод 15 2 3 3 3" xfId="28145"/>
    <cellStyle name="Вывод 15 2 3 3 4" xfId="38020"/>
    <cellStyle name="Вывод 15 2 3 4" xfId="17500"/>
    <cellStyle name="Вывод 15 2 3 4 2" xfId="20791"/>
    <cellStyle name="Вывод 15 2 3 4 3" xfId="31310"/>
    <cellStyle name="Вывод 15 2 3 4 4" xfId="41183"/>
    <cellStyle name="Вывод 15 2 3 5" xfId="21347"/>
    <cellStyle name="Вывод 15 2 3 6" xfId="22540"/>
    <cellStyle name="Вывод 15 2 3 7" xfId="24028"/>
    <cellStyle name="Вывод 15 2 3 8" xfId="25826"/>
    <cellStyle name="Вывод 15 2 3 9" xfId="35701"/>
    <cellStyle name="Вывод 15 2 4" xfId="11650"/>
    <cellStyle name="Вывод 15 2 4 2" xfId="14548"/>
    <cellStyle name="Вывод 15 2 4 2 2" xfId="19831"/>
    <cellStyle name="Вывод 15 2 4 2 2 2" xfId="33641"/>
    <cellStyle name="Вывод 15 2 4 2 2 3" xfId="43509"/>
    <cellStyle name="Вывод 15 2 4 2 3" xfId="28368"/>
    <cellStyle name="Вывод 15 2 4 2 4" xfId="38243"/>
    <cellStyle name="Вывод 15 2 4 3" xfId="15781"/>
    <cellStyle name="Вывод 15 2 4 3 2" xfId="22908"/>
    <cellStyle name="Вывод 15 2 4 3 3" xfId="24413"/>
    <cellStyle name="Вывод 15 2 4 3 4" xfId="29600"/>
    <cellStyle name="Вывод 15 2 4 3 5" xfId="39475"/>
    <cellStyle name="Вывод 15 2 4 4" xfId="17438"/>
    <cellStyle name="Вывод 15 2 4 4 2" xfId="23388"/>
    <cellStyle name="Вывод 15 2 4 4 3" xfId="31248"/>
    <cellStyle name="Вывод 15 2 4 4 4" xfId="41121"/>
    <cellStyle name="Вывод 15 2 4 5" xfId="25524"/>
    <cellStyle name="Вывод 15 2 4 6" xfId="35399"/>
    <cellStyle name="Вывод 15 2 5" xfId="12278"/>
    <cellStyle name="Вывод 15 2 5 2" xfId="17610"/>
    <cellStyle name="Вывод 15 2 5 2 2" xfId="31420"/>
    <cellStyle name="Вывод 15 2 5 2 3" xfId="41293"/>
    <cellStyle name="Вывод 15 2 5 3" xfId="20455"/>
    <cellStyle name="Вывод 15 2 5 4" xfId="24315"/>
    <cellStyle name="Вывод 15 2 5 5" xfId="26152"/>
    <cellStyle name="Вывод 15 2 5 6" xfId="36027"/>
    <cellStyle name="Вывод 15 2 6" xfId="13279"/>
    <cellStyle name="Вывод 15 2 6 2" xfId="16080"/>
    <cellStyle name="Вывод 15 2 6 2 2" xfId="29898"/>
    <cellStyle name="Вывод 15 2 6 2 3" xfId="39773"/>
    <cellStyle name="Вывод 15 2 6 3" xfId="18611"/>
    <cellStyle name="Вывод 15 2 6 3 2" xfId="32421"/>
    <cellStyle name="Вывод 15 2 6 3 3" xfId="42293"/>
    <cellStyle name="Вывод 15 2 6 4" xfId="27152"/>
    <cellStyle name="Вывод 15 2 6 5" xfId="37027"/>
    <cellStyle name="Вывод 15 2 7" xfId="13129"/>
    <cellStyle name="Вывод 15 2 7 2" xfId="18461"/>
    <cellStyle name="Вывод 15 2 7 2 2" xfId="32271"/>
    <cellStyle name="Вывод 15 2 7 2 3" xfId="42143"/>
    <cellStyle name="Вывод 15 2 7 3" xfId="27002"/>
    <cellStyle name="Вывод 15 2 7 4" xfId="36877"/>
    <cellStyle name="Вывод 15 2 8" xfId="17234"/>
    <cellStyle name="Вывод 15 2 8 2" xfId="21207"/>
    <cellStyle name="Вывод 15 2 8 3" xfId="31045"/>
    <cellStyle name="Вывод 15 2 8 4" xfId="40919"/>
    <cellStyle name="Вывод 15 2 9" xfId="23746"/>
    <cellStyle name="Вывод 15 20" xfId="13128"/>
    <cellStyle name="Вывод 15 20 2" xfId="18460"/>
    <cellStyle name="Вывод 15 20 2 2" xfId="32270"/>
    <cellStyle name="Вывод 15 20 2 3" xfId="42142"/>
    <cellStyle name="Вывод 15 20 3" xfId="27001"/>
    <cellStyle name="Вывод 15 20 4" xfId="36876"/>
    <cellStyle name="Вывод 15 21" xfId="17233"/>
    <cellStyle name="Вывод 15 21 2" xfId="21173"/>
    <cellStyle name="Вывод 15 21 3" xfId="31044"/>
    <cellStyle name="Вывод 15 21 4" xfId="40918"/>
    <cellStyle name="Вывод 15 22" xfId="23745"/>
    <cellStyle name="Вывод 15 23" xfId="24661"/>
    <cellStyle name="Вывод 15 24" xfId="34284"/>
    <cellStyle name="Вывод 15 25" xfId="34603"/>
    <cellStyle name="Вывод 15 3" xfId="1318"/>
    <cellStyle name="Вывод 15 3 10" xfId="24663"/>
    <cellStyle name="Вывод 15 3 11" xfId="34286"/>
    <cellStyle name="Вывод 15 3 12" xfId="34601"/>
    <cellStyle name="Вывод 15 3 2" xfId="7958"/>
    <cellStyle name="Вывод 15 3 3" xfId="11953"/>
    <cellStyle name="Вывод 15 3 3 2" xfId="14851"/>
    <cellStyle name="Вывод 15 3 3 2 2" xfId="17065"/>
    <cellStyle name="Вывод 15 3 3 2 2 2" xfId="23117"/>
    <cellStyle name="Вывод 15 3 3 2 2 3" xfId="30879"/>
    <cellStyle name="Вывод 15 3 3 2 2 4" xfId="40754"/>
    <cellStyle name="Вывод 15 3 3 2 3" xfId="20134"/>
    <cellStyle name="Вывод 15 3 3 2 3 2" xfId="33944"/>
    <cellStyle name="Вывод 15 3 3 2 3 3" xfId="43812"/>
    <cellStyle name="Вывод 15 3 3 2 4" xfId="28671"/>
    <cellStyle name="Вывод 15 3 3 2 5" xfId="38546"/>
    <cellStyle name="Вывод 15 3 3 3" xfId="13622"/>
    <cellStyle name="Вывод 15 3 3 3 2" xfId="18905"/>
    <cellStyle name="Вывод 15 3 3 3 2 2" xfId="32715"/>
    <cellStyle name="Вывод 15 3 3 3 2 3" xfId="42585"/>
    <cellStyle name="Вывод 15 3 3 3 3" xfId="27444"/>
    <cellStyle name="Вывод 15 3 3 3 4" xfId="37319"/>
    <cellStyle name="Вывод 15 3 3 4" xfId="17501"/>
    <cellStyle name="Вывод 15 3 3 4 2" xfId="20792"/>
    <cellStyle name="Вывод 15 3 3 4 3" xfId="31311"/>
    <cellStyle name="Вывод 15 3 3 4 4" xfId="41184"/>
    <cellStyle name="Вывод 15 3 3 5" xfId="21348"/>
    <cellStyle name="Вывод 15 3 3 6" xfId="22541"/>
    <cellStyle name="Вывод 15 3 3 7" xfId="24029"/>
    <cellStyle name="Вывод 15 3 3 8" xfId="25827"/>
    <cellStyle name="Вывод 15 3 3 9" xfId="35702"/>
    <cellStyle name="Вывод 15 3 4" xfId="11651"/>
    <cellStyle name="Вывод 15 3 4 2" xfId="14549"/>
    <cellStyle name="Вывод 15 3 4 2 2" xfId="19832"/>
    <cellStyle name="Вывод 15 3 4 2 2 2" xfId="33642"/>
    <cellStyle name="Вывод 15 3 4 2 2 3" xfId="43510"/>
    <cellStyle name="Вывод 15 3 4 2 3" xfId="28369"/>
    <cellStyle name="Вывод 15 3 4 2 4" xfId="38244"/>
    <cellStyle name="Вывод 15 3 4 3" xfId="15782"/>
    <cellStyle name="Вывод 15 3 4 3 2" xfId="22909"/>
    <cellStyle name="Вывод 15 3 4 3 3" xfId="24414"/>
    <cellStyle name="Вывод 15 3 4 3 4" xfId="29601"/>
    <cellStyle name="Вывод 15 3 4 3 5" xfId="39476"/>
    <cellStyle name="Вывод 15 3 4 4" xfId="17439"/>
    <cellStyle name="Вывод 15 3 4 4 2" xfId="23389"/>
    <cellStyle name="Вывод 15 3 4 4 3" xfId="31249"/>
    <cellStyle name="Вывод 15 3 4 4 4" xfId="41122"/>
    <cellStyle name="Вывод 15 3 4 5" xfId="25525"/>
    <cellStyle name="Вывод 15 3 4 6" xfId="35400"/>
    <cellStyle name="Вывод 15 3 5" xfId="12279"/>
    <cellStyle name="Вывод 15 3 5 2" xfId="17611"/>
    <cellStyle name="Вывод 15 3 5 2 2" xfId="31421"/>
    <cellStyle name="Вывод 15 3 5 2 3" xfId="41294"/>
    <cellStyle name="Вывод 15 3 5 3" xfId="20456"/>
    <cellStyle name="Вывод 15 3 5 4" xfId="24316"/>
    <cellStyle name="Вывод 15 3 5 5" xfId="26153"/>
    <cellStyle name="Вывод 15 3 5 6" xfId="36028"/>
    <cellStyle name="Вывод 15 3 6" xfId="13280"/>
    <cellStyle name="Вывод 15 3 6 2" xfId="16081"/>
    <cellStyle name="Вывод 15 3 6 2 2" xfId="29899"/>
    <cellStyle name="Вывод 15 3 6 2 3" xfId="39774"/>
    <cellStyle name="Вывод 15 3 6 3" xfId="18612"/>
    <cellStyle name="Вывод 15 3 6 3 2" xfId="32422"/>
    <cellStyle name="Вывод 15 3 6 3 3" xfId="42294"/>
    <cellStyle name="Вывод 15 3 6 4" xfId="27153"/>
    <cellStyle name="Вывод 15 3 6 5" xfId="37028"/>
    <cellStyle name="Вывод 15 3 7" xfId="13130"/>
    <cellStyle name="Вывод 15 3 7 2" xfId="18462"/>
    <cellStyle name="Вывод 15 3 7 2 2" xfId="32272"/>
    <cellStyle name="Вывод 15 3 7 2 3" xfId="42144"/>
    <cellStyle name="Вывод 15 3 7 3" xfId="27003"/>
    <cellStyle name="Вывод 15 3 7 4" xfId="36878"/>
    <cellStyle name="Вывод 15 3 8" xfId="17235"/>
    <cellStyle name="Вывод 15 3 8 2" xfId="21208"/>
    <cellStyle name="Вывод 15 3 8 3" xfId="31046"/>
    <cellStyle name="Вывод 15 3 8 4" xfId="40920"/>
    <cellStyle name="Вывод 15 3 9" xfId="23747"/>
    <cellStyle name="Вывод 15 4" xfId="7951"/>
    <cellStyle name="Вывод 15 5" xfId="7959"/>
    <cellStyle name="Вывод 15 6" xfId="7960"/>
    <cellStyle name="Вывод 15 7" xfId="7961"/>
    <cellStyle name="Вывод 15 8" xfId="7962"/>
    <cellStyle name="Вывод 15 9" xfId="7963"/>
    <cellStyle name="Вывод 16" xfId="1319"/>
    <cellStyle name="Вывод 16 10" xfId="7965"/>
    <cellStyle name="Вывод 16 11" xfId="7966"/>
    <cellStyle name="Вывод 16 12" xfId="7967"/>
    <cellStyle name="Вывод 16 13" xfId="7968"/>
    <cellStyle name="Вывод 16 14" xfId="7969"/>
    <cellStyle name="Вывод 16 15" xfId="11864"/>
    <cellStyle name="Вывод 16 15 2" xfId="14762"/>
    <cellStyle name="Вывод 16 15 2 2" xfId="16976"/>
    <cellStyle name="Вывод 16 15 2 2 2" xfId="23028"/>
    <cellStyle name="Вывод 16 15 2 2 3" xfId="30790"/>
    <cellStyle name="Вывод 16 15 2 2 4" xfId="40665"/>
    <cellStyle name="Вывод 16 15 2 3" xfId="20045"/>
    <cellStyle name="Вывод 16 15 2 3 2" xfId="33855"/>
    <cellStyle name="Вывод 16 15 2 3 3" xfId="43723"/>
    <cellStyle name="Вывод 16 15 2 4" xfId="28582"/>
    <cellStyle name="Вывод 16 15 2 5" xfId="38457"/>
    <cellStyle name="Вывод 16 15 3" xfId="13043"/>
    <cellStyle name="Вывод 16 15 3 2" xfId="18375"/>
    <cellStyle name="Вывод 16 15 3 2 2" xfId="32185"/>
    <cellStyle name="Вывод 16 15 3 2 3" xfId="42058"/>
    <cellStyle name="Вывод 16 15 3 3" xfId="26917"/>
    <cellStyle name="Вывод 16 15 3 4" xfId="36792"/>
    <cellStyle name="Вывод 16 15 4" xfId="17480"/>
    <cellStyle name="Вывод 16 15 4 2" xfId="20703"/>
    <cellStyle name="Вывод 16 15 4 3" xfId="31290"/>
    <cellStyle name="Вывод 16 15 4 4" xfId="41163"/>
    <cellStyle name="Вывод 16 15 5" xfId="21259"/>
    <cellStyle name="Вывод 16 15 6" xfId="22436"/>
    <cellStyle name="Вывод 16 15 7" xfId="23924"/>
    <cellStyle name="Вывод 16 15 8" xfId="25738"/>
    <cellStyle name="Вывод 16 15 9" xfId="35613"/>
    <cellStyle name="Вывод 16 16" xfId="12088"/>
    <cellStyle name="Вывод 16 16 2" xfId="14986"/>
    <cellStyle name="Вывод 16 16 2 2" xfId="20269"/>
    <cellStyle name="Вывод 16 16 2 2 2" xfId="34079"/>
    <cellStyle name="Вывод 16 16 2 2 3" xfId="43947"/>
    <cellStyle name="Вывод 16 16 2 3" xfId="23540"/>
    <cellStyle name="Вывод 16 16 2 4" xfId="28806"/>
    <cellStyle name="Вывод 16 16 2 5" xfId="38681"/>
    <cellStyle name="Вывод 16 16 3" xfId="17532"/>
    <cellStyle name="Вывод 16 16 3 2" xfId="20575"/>
    <cellStyle name="Вывод 16 16 3 3" xfId="31342"/>
    <cellStyle name="Вывод 16 16 3 4" xfId="41215"/>
    <cellStyle name="Вывод 16 16 4" xfId="20911"/>
    <cellStyle name="Вывод 16 16 5" xfId="21467"/>
    <cellStyle name="Вывод 16 16 6" xfId="22660"/>
    <cellStyle name="Вывод 16 16 7" xfId="24164"/>
    <cellStyle name="Вывод 16 16 8" xfId="25962"/>
    <cellStyle name="Вывод 16 16 9" xfId="35837"/>
    <cellStyle name="Вывод 16 17" xfId="12168"/>
    <cellStyle name="Вывод 16 17 2" xfId="15066"/>
    <cellStyle name="Вывод 16 17 2 2" xfId="20349"/>
    <cellStyle name="Вывод 16 17 2 2 2" xfId="34159"/>
    <cellStyle name="Вывод 16 17 2 2 3" xfId="44027"/>
    <cellStyle name="Вывод 16 17 2 3" xfId="23620"/>
    <cellStyle name="Вывод 16 17 2 4" xfId="28886"/>
    <cellStyle name="Вывод 16 17 2 5" xfId="38761"/>
    <cellStyle name="Вывод 16 17 3" xfId="17548"/>
    <cellStyle name="Вывод 16 17 3 2" xfId="20639"/>
    <cellStyle name="Вывод 16 17 3 3" xfId="31358"/>
    <cellStyle name="Вывод 16 17 3 4" xfId="41231"/>
    <cellStyle name="Вывод 16 17 4" xfId="20975"/>
    <cellStyle name="Вывод 16 17 5" xfId="21547"/>
    <cellStyle name="Вывод 16 17 6" xfId="22740"/>
    <cellStyle name="Вывод 16 17 7" xfId="24244"/>
    <cellStyle name="Вывод 16 17 8" xfId="26042"/>
    <cellStyle name="Вывод 16 17 9" xfId="35917"/>
    <cellStyle name="Вывод 16 18" xfId="11652"/>
    <cellStyle name="Вывод 16 18 2" xfId="14550"/>
    <cellStyle name="Вывод 16 18 2 2" xfId="19833"/>
    <cellStyle name="Вывод 16 18 2 2 2" xfId="33643"/>
    <cellStyle name="Вывод 16 18 2 2 3" xfId="43511"/>
    <cellStyle name="Вывод 16 18 2 3" xfId="28370"/>
    <cellStyle name="Вывод 16 18 2 4" xfId="38245"/>
    <cellStyle name="Вывод 16 18 3" xfId="15783"/>
    <cellStyle name="Вывод 16 18 3 2" xfId="22839"/>
    <cellStyle name="Вывод 16 18 3 3" xfId="24415"/>
    <cellStyle name="Вывод 16 18 3 4" xfId="29602"/>
    <cellStyle name="Вывод 16 18 3 5" xfId="39477"/>
    <cellStyle name="Вывод 16 18 4" xfId="17440"/>
    <cellStyle name="Вывод 16 18 4 2" xfId="23319"/>
    <cellStyle name="Вывод 16 18 4 3" xfId="31250"/>
    <cellStyle name="Вывод 16 18 4 4" xfId="41123"/>
    <cellStyle name="Вывод 16 18 5" xfId="25526"/>
    <cellStyle name="Вывод 16 18 6" xfId="35401"/>
    <cellStyle name="Вывод 16 19" xfId="13281"/>
    <cellStyle name="Вывод 16 19 2" xfId="16082"/>
    <cellStyle name="Вывод 16 19 2 2" xfId="29900"/>
    <cellStyle name="Вывод 16 19 2 3" xfId="39775"/>
    <cellStyle name="Вывод 16 19 3" xfId="18613"/>
    <cellStyle name="Вывод 16 19 3 2" xfId="32423"/>
    <cellStyle name="Вывод 16 19 3 3" xfId="42295"/>
    <cellStyle name="Вывод 16 19 4" xfId="27154"/>
    <cellStyle name="Вывод 16 19 5" xfId="37029"/>
    <cellStyle name="Вывод 16 2" xfId="1320"/>
    <cellStyle name="Вывод 16 2 10" xfId="24665"/>
    <cellStyle name="Вывод 16 2 11" xfId="34288"/>
    <cellStyle name="Вывод 16 2 12" xfId="34599"/>
    <cellStyle name="Вывод 16 2 2" xfId="7970"/>
    <cellStyle name="Вывод 16 2 3" xfId="11954"/>
    <cellStyle name="Вывод 16 2 3 2" xfId="14852"/>
    <cellStyle name="Вывод 16 2 3 2 2" xfId="17066"/>
    <cellStyle name="Вывод 16 2 3 2 2 2" xfId="23118"/>
    <cellStyle name="Вывод 16 2 3 2 2 3" xfId="30880"/>
    <cellStyle name="Вывод 16 2 3 2 2 4" xfId="40755"/>
    <cellStyle name="Вывод 16 2 3 2 3" xfId="20135"/>
    <cellStyle name="Вывод 16 2 3 2 3 2" xfId="33945"/>
    <cellStyle name="Вывод 16 2 3 2 3 3" xfId="43813"/>
    <cellStyle name="Вывод 16 2 3 2 4" xfId="28672"/>
    <cellStyle name="Вывод 16 2 3 2 5" xfId="38547"/>
    <cellStyle name="Вывод 16 2 3 3" xfId="14332"/>
    <cellStyle name="Вывод 16 2 3 3 2" xfId="19615"/>
    <cellStyle name="Вывод 16 2 3 3 2 2" xfId="33425"/>
    <cellStyle name="Вывод 16 2 3 3 2 3" xfId="43294"/>
    <cellStyle name="Вывод 16 2 3 3 3" xfId="28153"/>
    <cellStyle name="Вывод 16 2 3 3 4" xfId="38028"/>
    <cellStyle name="Вывод 16 2 3 4" xfId="17502"/>
    <cellStyle name="Вывод 16 2 3 4 2" xfId="20793"/>
    <cellStyle name="Вывод 16 2 3 4 3" xfId="31312"/>
    <cellStyle name="Вывод 16 2 3 4 4" xfId="41185"/>
    <cellStyle name="Вывод 16 2 3 5" xfId="21349"/>
    <cellStyle name="Вывод 16 2 3 6" xfId="22542"/>
    <cellStyle name="Вывод 16 2 3 7" xfId="24030"/>
    <cellStyle name="Вывод 16 2 3 8" xfId="25828"/>
    <cellStyle name="Вывод 16 2 3 9" xfId="35703"/>
    <cellStyle name="Вывод 16 2 4" xfId="11653"/>
    <cellStyle name="Вывод 16 2 4 2" xfId="14551"/>
    <cellStyle name="Вывод 16 2 4 2 2" xfId="19834"/>
    <cellStyle name="Вывод 16 2 4 2 2 2" xfId="33644"/>
    <cellStyle name="Вывод 16 2 4 2 2 3" xfId="43512"/>
    <cellStyle name="Вывод 16 2 4 2 3" xfId="28371"/>
    <cellStyle name="Вывод 16 2 4 2 4" xfId="38246"/>
    <cellStyle name="Вывод 16 2 4 3" xfId="15784"/>
    <cellStyle name="Вывод 16 2 4 3 2" xfId="22910"/>
    <cellStyle name="Вывод 16 2 4 3 3" xfId="24416"/>
    <cellStyle name="Вывод 16 2 4 3 4" xfId="29603"/>
    <cellStyle name="Вывод 16 2 4 3 5" xfId="39478"/>
    <cellStyle name="Вывод 16 2 4 4" xfId="17441"/>
    <cellStyle name="Вывод 16 2 4 4 2" xfId="23390"/>
    <cellStyle name="Вывод 16 2 4 4 3" xfId="31251"/>
    <cellStyle name="Вывод 16 2 4 4 4" xfId="41124"/>
    <cellStyle name="Вывод 16 2 4 5" xfId="25527"/>
    <cellStyle name="Вывод 16 2 4 6" xfId="35402"/>
    <cellStyle name="Вывод 16 2 5" xfId="12280"/>
    <cellStyle name="Вывод 16 2 5 2" xfId="17612"/>
    <cellStyle name="Вывод 16 2 5 2 2" xfId="31422"/>
    <cellStyle name="Вывод 16 2 5 2 3" xfId="41295"/>
    <cellStyle name="Вывод 16 2 5 3" xfId="20457"/>
    <cellStyle name="Вывод 16 2 5 4" xfId="24317"/>
    <cellStyle name="Вывод 16 2 5 5" xfId="26154"/>
    <cellStyle name="Вывод 16 2 5 6" xfId="36029"/>
    <cellStyle name="Вывод 16 2 6" xfId="13282"/>
    <cellStyle name="Вывод 16 2 6 2" xfId="16083"/>
    <cellStyle name="Вывод 16 2 6 2 2" xfId="29901"/>
    <cellStyle name="Вывод 16 2 6 2 3" xfId="39776"/>
    <cellStyle name="Вывод 16 2 6 3" xfId="18614"/>
    <cellStyle name="Вывод 16 2 6 3 2" xfId="32424"/>
    <cellStyle name="Вывод 16 2 6 3 3" xfId="42296"/>
    <cellStyle name="Вывод 16 2 6 4" xfId="27155"/>
    <cellStyle name="Вывод 16 2 6 5" xfId="37030"/>
    <cellStyle name="Вывод 16 2 7" xfId="13132"/>
    <cellStyle name="Вывод 16 2 7 2" xfId="18464"/>
    <cellStyle name="Вывод 16 2 7 2 2" xfId="32274"/>
    <cellStyle name="Вывод 16 2 7 2 3" xfId="42146"/>
    <cellStyle name="Вывод 16 2 7 3" xfId="27005"/>
    <cellStyle name="Вывод 16 2 7 4" xfId="36880"/>
    <cellStyle name="Вывод 16 2 8" xfId="17237"/>
    <cellStyle name="Вывод 16 2 8 2" xfId="21209"/>
    <cellStyle name="Вывод 16 2 8 3" xfId="31048"/>
    <cellStyle name="Вывод 16 2 8 4" xfId="40922"/>
    <cellStyle name="Вывод 16 2 9" xfId="23749"/>
    <cellStyle name="Вывод 16 20" xfId="13131"/>
    <cellStyle name="Вывод 16 20 2" xfId="18463"/>
    <cellStyle name="Вывод 16 20 2 2" xfId="32273"/>
    <cellStyle name="Вывод 16 20 2 3" xfId="42145"/>
    <cellStyle name="Вывод 16 20 3" xfId="27004"/>
    <cellStyle name="Вывод 16 20 4" xfId="36879"/>
    <cellStyle name="Вывод 16 21" xfId="17236"/>
    <cellStyle name="Вывод 16 21 2" xfId="21172"/>
    <cellStyle name="Вывод 16 21 3" xfId="31047"/>
    <cellStyle name="Вывод 16 21 4" xfId="40921"/>
    <cellStyle name="Вывод 16 22" xfId="23748"/>
    <cellStyle name="Вывод 16 23" xfId="24664"/>
    <cellStyle name="Вывод 16 24" xfId="34287"/>
    <cellStyle name="Вывод 16 25" xfId="34600"/>
    <cellStyle name="Вывод 16 3" xfId="1321"/>
    <cellStyle name="Вывод 16 3 10" xfId="24666"/>
    <cellStyle name="Вывод 16 3 11" xfId="34289"/>
    <cellStyle name="Вывод 16 3 12" xfId="34598"/>
    <cellStyle name="Вывод 16 3 2" xfId="7971"/>
    <cellStyle name="Вывод 16 3 3" xfId="11955"/>
    <cellStyle name="Вывод 16 3 3 2" xfId="14853"/>
    <cellStyle name="Вывод 16 3 3 2 2" xfId="17067"/>
    <cellStyle name="Вывод 16 3 3 2 2 2" xfId="23119"/>
    <cellStyle name="Вывод 16 3 3 2 2 3" xfId="30881"/>
    <cellStyle name="Вывод 16 3 3 2 2 4" xfId="40756"/>
    <cellStyle name="Вывод 16 3 3 2 3" xfId="20136"/>
    <cellStyle name="Вывод 16 3 3 2 3 2" xfId="33946"/>
    <cellStyle name="Вывод 16 3 3 2 3 3" xfId="43814"/>
    <cellStyle name="Вывод 16 3 3 2 4" xfId="28673"/>
    <cellStyle name="Вывод 16 3 3 2 5" xfId="38548"/>
    <cellStyle name="Вывод 16 3 3 3" xfId="14333"/>
    <cellStyle name="Вывод 16 3 3 3 2" xfId="19616"/>
    <cellStyle name="Вывод 16 3 3 3 2 2" xfId="33426"/>
    <cellStyle name="Вывод 16 3 3 3 2 3" xfId="43295"/>
    <cellStyle name="Вывод 16 3 3 3 3" xfId="28154"/>
    <cellStyle name="Вывод 16 3 3 3 4" xfId="38029"/>
    <cellStyle name="Вывод 16 3 3 4" xfId="17503"/>
    <cellStyle name="Вывод 16 3 3 4 2" xfId="20794"/>
    <cellStyle name="Вывод 16 3 3 4 3" xfId="31313"/>
    <cellStyle name="Вывод 16 3 3 4 4" xfId="41186"/>
    <cellStyle name="Вывод 16 3 3 5" xfId="21350"/>
    <cellStyle name="Вывод 16 3 3 6" xfId="22543"/>
    <cellStyle name="Вывод 16 3 3 7" xfId="24031"/>
    <cellStyle name="Вывод 16 3 3 8" xfId="25829"/>
    <cellStyle name="Вывод 16 3 3 9" xfId="35704"/>
    <cellStyle name="Вывод 16 3 4" xfId="11654"/>
    <cellStyle name="Вывод 16 3 4 2" xfId="14552"/>
    <cellStyle name="Вывод 16 3 4 2 2" xfId="19835"/>
    <cellStyle name="Вывод 16 3 4 2 2 2" xfId="33645"/>
    <cellStyle name="Вывод 16 3 4 2 2 3" xfId="43513"/>
    <cellStyle name="Вывод 16 3 4 2 3" xfId="28372"/>
    <cellStyle name="Вывод 16 3 4 2 4" xfId="38247"/>
    <cellStyle name="Вывод 16 3 4 3" xfId="15785"/>
    <cellStyle name="Вывод 16 3 4 3 2" xfId="22911"/>
    <cellStyle name="Вывод 16 3 4 3 3" xfId="24417"/>
    <cellStyle name="Вывод 16 3 4 3 4" xfId="29604"/>
    <cellStyle name="Вывод 16 3 4 3 5" xfId="39479"/>
    <cellStyle name="Вывод 16 3 4 4" xfId="17442"/>
    <cellStyle name="Вывод 16 3 4 4 2" xfId="23391"/>
    <cellStyle name="Вывод 16 3 4 4 3" xfId="31252"/>
    <cellStyle name="Вывод 16 3 4 4 4" xfId="41125"/>
    <cellStyle name="Вывод 16 3 4 5" xfId="25528"/>
    <cellStyle name="Вывод 16 3 4 6" xfId="35403"/>
    <cellStyle name="Вывод 16 3 5" xfId="12281"/>
    <cellStyle name="Вывод 16 3 5 2" xfId="17613"/>
    <cellStyle name="Вывод 16 3 5 2 2" xfId="31423"/>
    <cellStyle name="Вывод 16 3 5 2 3" xfId="41296"/>
    <cellStyle name="Вывод 16 3 5 3" xfId="20458"/>
    <cellStyle name="Вывод 16 3 5 4" xfId="24318"/>
    <cellStyle name="Вывод 16 3 5 5" xfId="26155"/>
    <cellStyle name="Вывод 16 3 5 6" xfId="36030"/>
    <cellStyle name="Вывод 16 3 6" xfId="13283"/>
    <cellStyle name="Вывод 16 3 6 2" xfId="16084"/>
    <cellStyle name="Вывод 16 3 6 2 2" xfId="29902"/>
    <cellStyle name="Вывод 16 3 6 2 3" xfId="39777"/>
    <cellStyle name="Вывод 16 3 6 3" xfId="18615"/>
    <cellStyle name="Вывод 16 3 6 3 2" xfId="32425"/>
    <cellStyle name="Вывод 16 3 6 3 3" xfId="42297"/>
    <cellStyle name="Вывод 16 3 6 4" xfId="27156"/>
    <cellStyle name="Вывод 16 3 6 5" xfId="37031"/>
    <cellStyle name="Вывод 16 3 7" xfId="13133"/>
    <cellStyle name="Вывод 16 3 7 2" xfId="18465"/>
    <cellStyle name="Вывод 16 3 7 2 2" xfId="32275"/>
    <cellStyle name="Вывод 16 3 7 2 3" xfId="42147"/>
    <cellStyle name="Вывод 16 3 7 3" xfId="27006"/>
    <cellStyle name="Вывод 16 3 7 4" xfId="36881"/>
    <cellStyle name="Вывод 16 3 8" xfId="17238"/>
    <cellStyle name="Вывод 16 3 8 2" xfId="21210"/>
    <cellStyle name="Вывод 16 3 8 3" xfId="31049"/>
    <cellStyle name="Вывод 16 3 8 4" xfId="40923"/>
    <cellStyle name="Вывод 16 3 9" xfId="23750"/>
    <cellStyle name="Вывод 16 4" xfId="7964"/>
    <cellStyle name="Вывод 16 5" xfId="7972"/>
    <cellStyle name="Вывод 16 6" xfId="7973"/>
    <cellStyle name="Вывод 16 7" xfId="7974"/>
    <cellStyle name="Вывод 16 8" xfId="7975"/>
    <cellStyle name="Вывод 16 9" xfId="7976"/>
    <cellStyle name="Вывод 17" xfId="1322"/>
    <cellStyle name="Вывод 17 10" xfId="7978"/>
    <cellStyle name="Вывод 17 11" xfId="7979"/>
    <cellStyle name="Вывод 17 12" xfId="7980"/>
    <cellStyle name="Вывод 17 13" xfId="7981"/>
    <cellStyle name="Вывод 17 14" xfId="7982"/>
    <cellStyle name="Вывод 17 15" xfId="11865"/>
    <cellStyle name="Вывод 17 15 2" xfId="14763"/>
    <cellStyle name="Вывод 17 15 2 2" xfId="16977"/>
    <cellStyle name="Вывод 17 15 2 2 2" xfId="23029"/>
    <cellStyle name="Вывод 17 15 2 2 3" xfId="30791"/>
    <cellStyle name="Вывод 17 15 2 2 4" xfId="40666"/>
    <cellStyle name="Вывод 17 15 2 3" xfId="20046"/>
    <cellStyle name="Вывод 17 15 2 3 2" xfId="33856"/>
    <cellStyle name="Вывод 17 15 2 3 3" xfId="43724"/>
    <cellStyle name="Вывод 17 15 2 4" xfId="28583"/>
    <cellStyle name="Вывод 17 15 2 5" xfId="38458"/>
    <cellStyle name="Вывод 17 15 3" xfId="14429"/>
    <cellStyle name="Вывод 17 15 3 2" xfId="19712"/>
    <cellStyle name="Вывод 17 15 3 2 2" xfId="33522"/>
    <cellStyle name="Вывод 17 15 3 2 3" xfId="43390"/>
    <cellStyle name="Вывод 17 15 3 3" xfId="28249"/>
    <cellStyle name="Вывод 17 15 3 4" xfId="38124"/>
    <cellStyle name="Вывод 17 15 4" xfId="17481"/>
    <cellStyle name="Вывод 17 15 4 2" xfId="20704"/>
    <cellStyle name="Вывод 17 15 4 3" xfId="31291"/>
    <cellStyle name="Вывод 17 15 4 4" xfId="41164"/>
    <cellStyle name="Вывод 17 15 5" xfId="21260"/>
    <cellStyle name="Вывод 17 15 6" xfId="22437"/>
    <cellStyle name="Вывод 17 15 7" xfId="23925"/>
    <cellStyle name="Вывод 17 15 8" xfId="25739"/>
    <cellStyle name="Вывод 17 15 9" xfId="35614"/>
    <cellStyle name="Вывод 17 16" xfId="12089"/>
    <cellStyle name="Вывод 17 16 2" xfId="14987"/>
    <cellStyle name="Вывод 17 16 2 2" xfId="20270"/>
    <cellStyle name="Вывод 17 16 2 2 2" xfId="34080"/>
    <cellStyle name="Вывод 17 16 2 2 3" xfId="43948"/>
    <cellStyle name="Вывод 17 16 2 3" xfId="23541"/>
    <cellStyle name="Вывод 17 16 2 4" xfId="28807"/>
    <cellStyle name="Вывод 17 16 2 5" xfId="38682"/>
    <cellStyle name="Вывод 17 16 3" xfId="17533"/>
    <cellStyle name="Вывод 17 16 3 2" xfId="20576"/>
    <cellStyle name="Вывод 17 16 3 3" xfId="31343"/>
    <cellStyle name="Вывод 17 16 3 4" xfId="41216"/>
    <cellStyle name="Вывод 17 16 4" xfId="20912"/>
    <cellStyle name="Вывод 17 16 5" xfId="21468"/>
    <cellStyle name="Вывод 17 16 6" xfId="22661"/>
    <cellStyle name="Вывод 17 16 7" xfId="24165"/>
    <cellStyle name="Вывод 17 16 8" xfId="25963"/>
    <cellStyle name="Вывод 17 16 9" xfId="35838"/>
    <cellStyle name="Вывод 17 17" xfId="12169"/>
    <cellStyle name="Вывод 17 17 2" xfId="15067"/>
    <cellStyle name="Вывод 17 17 2 2" xfId="20350"/>
    <cellStyle name="Вывод 17 17 2 2 2" xfId="34160"/>
    <cellStyle name="Вывод 17 17 2 2 3" xfId="44028"/>
    <cellStyle name="Вывод 17 17 2 3" xfId="23621"/>
    <cellStyle name="Вывод 17 17 2 4" xfId="28887"/>
    <cellStyle name="Вывод 17 17 2 5" xfId="38762"/>
    <cellStyle name="Вывод 17 17 3" xfId="17549"/>
    <cellStyle name="Вывод 17 17 3 2" xfId="20640"/>
    <cellStyle name="Вывод 17 17 3 3" xfId="31359"/>
    <cellStyle name="Вывод 17 17 3 4" xfId="41232"/>
    <cellStyle name="Вывод 17 17 4" xfId="20976"/>
    <cellStyle name="Вывод 17 17 5" xfId="21548"/>
    <cellStyle name="Вывод 17 17 6" xfId="22741"/>
    <cellStyle name="Вывод 17 17 7" xfId="24245"/>
    <cellStyle name="Вывод 17 17 8" xfId="26043"/>
    <cellStyle name="Вывод 17 17 9" xfId="35918"/>
    <cellStyle name="Вывод 17 18" xfId="11655"/>
    <cellStyle name="Вывод 17 18 2" xfId="14553"/>
    <cellStyle name="Вывод 17 18 2 2" xfId="19836"/>
    <cellStyle name="Вывод 17 18 2 2 2" xfId="33646"/>
    <cellStyle name="Вывод 17 18 2 2 3" xfId="43514"/>
    <cellStyle name="Вывод 17 18 2 3" xfId="28373"/>
    <cellStyle name="Вывод 17 18 2 4" xfId="38248"/>
    <cellStyle name="Вывод 17 18 3" xfId="15786"/>
    <cellStyle name="Вывод 17 18 3 2" xfId="22838"/>
    <cellStyle name="Вывод 17 18 3 3" xfId="24418"/>
    <cellStyle name="Вывод 17 18 3 4" xfId="29605"/>
    <cellStyle name="Вывод 17 18 3 5" xfId="39480"/>
    <cellStyle name="Вывод 17 18 4" xfId="17443"/>
    <cellStyle name="Вывод 17 18 4 2" xfId="23318"/>
    <cellStyle name="Вывод 17 18 4 3" xfId="31253"/>
    <cellStyle name="Вывод 17 18 4 4" xfId="41126"/>
    <cellStyle name="Вывод 17 18 5" xfId="25529"/>
    <cellStyle name="Вывод 17 18 6" xfId="35404"/>
    <cellStyle name="Вывод 17 19" xfId="13284"/>
    <cellStyle name="Вывод 17 19 2" xfId="16085"/>
    <cellStyle name="Вывод 17 19 2 2" xfId="29903"/>
    <cellStyle name="Вывод 17 19 2 3" xfId="39778"/>
    <cellStyle name="Вывод 17 19 3" xfId="18616"/>
    <cellStyle name="Вывод 17 19 3 2" xfId="32426"/>
    <cellStyle name="Вывод 17 19 3 3" xfId="42298"/>
    <cellStyle name="Вывод 17 19 4" xfId="27157"/>
    <cellStyle name="Вывод 17 19 5" xfId="37032"/>
    <cellStyle name="Вывод 17 2" xfId="1323"/>
    <cellStyle name="Вывод 17 2 10" xfId="24668"/>
    <cellStyle name="Вывод 17 2 11" xfId="34291"/>
    <cellStyle name="Вывод 17 2 12" xfId="34596"/>
    <cellStyle name="Вывод 17 2 2" xfId="7983"/>
    <cellStyle name="Вывод 17 2 3" xfId="11956"/>
    <cellStyle name="Вывод 17 2 3 2" xfId="14854"/>
    <cellStyle name="Вывод 17 2 3 2 2" xfId="17068"/>
    <cellStyle name="Вывод 17 2 3 2 2 2" xfId="23120"/>
    <cellStyle name="Вывод 17 2 3 2 2 3" xfId="30882"/>
    <cellStyle name="Вывод 17 2 3 2 2 4" xfId="40757"/>
    <cellStyle name="Вывод 17 2 3 2 3" xfId="20137"/>
    <cellStyle name="Вывод 17 2 3 2 3 2" xfId="33947"/>
    <cellStyle name="Вывод 17 2 3 2 3 3" xfId="43815"/>
    <cellStyle name="Вывод 17 2 3 2 4" xfId="28674"/>
    <cellStyle name="Вывод 17 2 3 2 5" xfId="38549"/>
    <cellStyle name="Вывод 17 2 3 3" xfId="14334"/>
    <cellStyle name="Вывод 17 2 3 3 2" xfId="19617"/>
    <cellStyle name="Вывод 17 2 3 3 2 2" xfId="33427"/>
    <cellStyle name="Вывод 17 2 3 3 2 3" xfId="43296"/>
    <cellStyle name="Вывод 17 2 3 3 3" xfId="28155"/>
    <cellStyle name="Вывод 17 2 3 3 4" xfId="38030"/>
    <cellStyle name="Вывод 17 2 3 4" xfId="17504"/>
    <cellStyle name="Вывод 17 2 3 4 2" xfId="20795"/>
    <cellStyle name="Вывод 17 2 3 4 3" xfId="31314"/>
    <cellStyle name="Вывод 17 2 3 4 4" xfId="41187"/>
    <cellStyle name="Вывод 17 2 3 5" xfId="21351"/>
    <cellStyle name="Вывод 17 2 3 6" xfId="22544"/>
    <cellStyle name="Вывод 17 2 3 7" xfId="24032"/>
    <cellStyle name="Вывод 17 2 3 8" xfId="25830"/>
    <cellStyle name="Вывод 17 2 3 9" xfId="35705"/>
    <cellStyle name="Вывод 17 2 4" xfId="11656"/>
    <cellStyle name="Вывод 17 2 4 2" xfId="14554"/>
    <cellStyle name="Вывод 17 2 4 2 2" xfId="19837"/>
    <cellStyle name="Вывод 17 2 4 2 2 2" xfId="33647"/>
    <cellStyle name="Вывод 17 2 4 2 2 3" xfId="43515"/>
    <cellStyle name="Вывод 17 2 4 2 3" xfId="28374"/>
    <cellStyle name="Вывод 17 2 4 2 4" xfId="38249"/>
    <cellStyle name="Вывод 17 2 4 3" xfId="15787"/>
    <cellStyle name="Вывод 17 2 4 3 2" xfId="22912"/>
    <cellStyle name="Вывод 17 2 4 3 3" xfId="24419"/>
    <cellStyle name="Вывод 17 2 4 3 4" xfId="29606"/>
    <cellStyle name="Вывод 17 2 4 3 5" xfId="39481"/>
    <cellStyle name="Вывод 17 2 4 4" xfId="17444"/>
    <cellStyle name="Вывод 17 2 4 4 2" xfId="23392"/>
    <cellStyle name="Вывод 17 2 4 4 3" xfId="31254"/>
    <cellStyle name="Вывод 17 2 4 4 4" xfId="41127"/>
    <cellStyle name="Вывод 17 2 4 5" xfId="25530"/>
    <cellStyle name="Вывод 17 2 4 6" xfId="35405"/>
    <cellStyle name="Вывод 17 2 5" xfId="12282"/>
    <cellStyle name="Вывод 17 2 5 2" xfId="17614"/>
    <cellStyle name="Вывод 17 2 5 2 2" xfId="31424"/>
    <cellStyle name="Вывод 17 2 5 2 3" xfId="41297"/>
    <cellStyle name="Вывод 17 2 5 3" xfId="20459"/>
    <cellStyle name="Вывод 17 2 5 4" xfId="24319"/>
    <cellStyle name="Вывод 17 2 5 5" xfId="26156"/>
    <cellStyle name="Вывод 17 2 5 6" xfId="36031"/>
    <cellStyle name="Вывод 17 2 6" xfId="13285"/>
    <cellStyle name="Вывод 17 2 6 2" xfId="16086"/>
    <cellStyle name="Вывод 17 2 6 2 2" xfId="29904"/>
    <cellStyle name="Вывод 17 2 6 2 3" xfId="39779"/>
    <cellStyle name="Вывод 17 2 6 3" xfId="18617"/>
    <cellStyle name="Вывод 17 2 6 3 2" xfId="32427"/>
    <cellStyle name="Вывод 17 2 6 3 3" xfId="42299"/>
    <cellStyle name="Вывод 17 2 6 4" xfId="27158"/>
    <cellStyle name="Вывод 17 2 6 5" xfId="37033"/>
    <cellStyle name="Вывод 17 2 7" xfId="13135"/>
    <cellStyle name="Вывод 17 2 7 2" xfId="18467"/>
    <cellStyle name="Вывод 17 2 7 2 2" xfId="32277"/>
    <cellStyle name="Вывод 17 2 7 2 3" xfId="42149"/>
    <cellStyle name="Вывод 17 2 7 3" xfId="27008"/>
    <cellStyle name="Вывод 17 2 7 4" xfId="36883"/>
    <cellStyle name="Вывод 17 2 8" xfId="17240"/>
    <cellStyle name="Вывод 17 2 8 2" xfId="21211"/>
    <cellStyle name="Вывод 17 2 8 3" xfId="31051"/>
    <cellStyle name="Вывод 17 2 8 4" xfId="40925"/>
    <cellStyle name="Вывод 17 2 9" xfId="23752"/>
    <cellStyle name="Вывод 17 20" xfId="13134"/>
    <cellStyle name="Вывод 17 20 2" xfId="18466"/>
    <cellStyle name="Вывод 17 20 2 2" xfId="32276"/>
    <cellStyle name="Вывод 17 20 2 3" xfId="42148"/>
    <cellStyle name="Вывод 17 20 3" xfId="27007"/>
    <cellStyle name="Вывод 17 20 4" xfId="36882"/>
    <cellStyle name="Вывод 17 21" xfId="17239"/>
    <cellStyle name="Вывод 17 21 2" xfId="21171"/>
    <cellStyle name="Вывод 17 21 3" xfId="31050"/>
    <cellStyle name="Вывод 17 21 4" xfId="40924"/>
    <cellStyle name="Вывод 17 22" xfId="23751"/>
    <cellStyle name="Вывод 17 23" xfId="24667"/>
    <cellStyle name="Вывод 17 24" xfId="34290"/>
    <cellStyle name="Вывод 17 25" xfId="34597"/>
    <cellStyle name="Вывод 17 3" xfId="1324"/>
    <cellStyle name="Вывод 17 3 10" xfId="24669"/>
    <cellStyle name="Вывод 17 3 11" xfId="34292"/>
    <cellStyle name="Вывод 17 3 12" xfId="34595"/>
    <cellStyle name="Вывод 17 3 2" xfId="7984"/>
    <cellStyle name="Вывод 17 3 3" xfId="11957"/>
    <cellStyle name="Вывод 17 3 3 2" xfId="14855"/>
    <cellStyle name="Вывод 17 3 3 2 2" xfId="17069"/>
    <cellStyle name="Вывод 17 3 3 2 2 2" xfId="23121"/>
    <cellStyle name="Вывод 17 3 3 2 2 3" xfId="30883"/>
    <cellStyle name="Вывод 17 3 3 2 2 4" xfId="40758"/>
    <cellStyle name="Вывод 17 3 3 2 3" xfId="20138"/>
    <cellStyle name="Вывод 17 3 3 2 3 2" xfId="33948"/>
    <cellStyle name="Вывод 17 3 3 2 3 3" xfId="43816"/>
    <cellStyle name="Вывод 17 3 3 2 4" xfId="28675"/>
    <cellStyle name="Вывод 17 3 3 2 5" xfId="38550"/>
    <cellStyle name="Вывод 17 3 3 3" xfId="14335"/>
    <cellStyle name="Вывод 17 3 3 3 2" xfId="19618"/>
    <cellStyle name="Вывод 17 3 3 3 2 2" xfId="33428"/>
    <cellStyle name="Вывод 17 3 3 3 2 3" xfId="43297"/>
    <cellStyle name="Вывод 17 3 3 3 3" xfId="28156"/>
    <cellStyle name="Вывод 17 3 3 3 4" xfId="38031"/>
    <cellStyle name="Вывод 17 3 3 4" xfId="17505"/>
    <cellStyle name="Вывод 17 3 3 4 2" xfId="20796"/>
    <cellStyle name="Вывод 17 3 3 4 3" xfId="31315"/>
    <cellStyle name="Вывод 17 3 3 4 4" xfId="41188"/>
    <cellStyle name="Вывод 17 3 3 5" xfId="21352"/>
    <cellStyle name="Вывод 17 3 3 6" xfId="22545"/>
    <cellStyle name="Вывод 17 3 3 7" xfId="24033"/>
    <cellStyle name="Вывод 17 3 3 8" xfId="25831"/>
    <cellStyle name="Вывод 17 3 3 9" xfId="35706"/>
    <cellStyle name="Вывод 17 3 4" xfId="11657"/>
    <cellStyle name="Вывод 17 3 4 2" xfId="14555"/>
    <cellStyle name="Вывод 17 3 4 2 2" xfId="19838"/>
    <cellStyle name="Вывод 17 3 4 2 2 2" xfId="33648"/>
    <cellStyle name="Вывод 17 3 4 2 2 3" xfId="43516"/>
    <cellStyle name="Вывод 17 3 4 2 3" xfId="28375"/>
    <cellStyle name="Вывод 17 3 4 2 4" xfId="38250"/>
    <cellStyle name="Вывод 17 3 4 3" xfId="15788"/>
    <cellStyle name="Вывод 17 3 4 3 2" xfId="22913"/>
    <cellStyle name="Вывод 17 3 4 3 3" xfId="24420"/>
    <cellStyle name="Вывод 17 3 4 3 4" xfId="29607"/>
    <cellStyle name="Вывод 17 3 4 3 5" xfId="39482"/>
    <cellStyle name="Вывод 17 3 4 4" xfId="17445"/>
    <cellStyle name="Вывод 17 3 4 4 2" xfId="23393"/>
    <cellStyle name="Вывод 17 3 4 4 3" xfId="31255"/>
    <cellStyle name="Вывод 17 3 4 4 4" xfId="41128"/>
    <cellStyle name="Вывод 17 3 4 5" xfId="25531"/>
    <cellStyle name="Вывод 17 3 4 6" xfId="35406"/>
    <cellStyle name="Вывод 17 3 5" xfId="12283"/>
    <cellStyle name="Вывод 17 3 5 2" xfId="17615"/>
    <cellStyle name="Вывод 17 3 5 2 2" xfId="31425"/>
    <cellStyle name="Вывод 17 3 5 2 3" xfId="41298"/>
    <cellStyle name="Вывод 17 3 5 3" xfId="20460"/>
    <cellStyle name="Вывод 17 3 5 4" xfId="24320"/>
    <cellStyle name="Вывод 17 3 5 5" xfId="26157"/>
    <cellStyle name="Вывод 17 3 5 6" xfId="36032"/>
    <cellStyle name="Вывод 17 3 6" xfId="13286"/>
    <cellStyle name="Вывод 17 3 6 2" xfId="16087"/>
    <cellStyle name="Вывод 17 3 6 2 2" xfId="29905"/>
    <cellStyle name="Вывод 17 3 6 2 3" xfId="39780"/>
    <cellStyle name="Вывод 17 3 6 3" xfId="18618"/>
    <cellStyle name="Вывод 17 3 6 3 2" xfId="32428"/>
    <cellStyle name="Вывод 17 3 6 3 3" xfId="42300"/>
    <cellStyle name="Вывод 17 3 6 4" xfId="27159"/>
    <cellStyle name="Вывод 17 3 6 5" xfId="37034"/>
    <cellStyle name="Вывод 17 3 7" xfId="13136"/>
    <cellStyle name="Вывод 17 3 7 2" xfId="18468"/>
    <cellStyle name="Вывод 17 3 7 2 2" xfId="32278"/>
    <cellStyle name="Вывод 17 3 7 2 3" xfId="42150"/>
    <cellStyle name="Вывод 17 3 7 3" xfId="27009"/>
    <cellStyle name="Вывод 17 3 7 4" xfId="36884"/>
    <cellStyle name="Вывод 17 3 8" xfId="17241"/>
    <cellStyle name="Вывод 17 3 8 2" xfId="21212"/>
    <cellStyle name="Вывод 17 3 8 3" xfId="31052"/>
    <cellStyle name="Вывод 17 3 8 4" xfId="40926"/>
    <cellStyle name="Вывод 17 3 9" xfId="23753"/>
    <cellStyle name="Вывод 17 4" xfId="7977"/>
    <cellStyle name="Вывод 17 5" xfId="7985"/>
    <cellStyle name="Вывод 17 6" xfId="7986"/>
    <cellStyle name="Вывод 17 7" xfId="7987"/>
    <cellStyle name="Вывод 17 8" xfId="7988"/>
    <cellStyle name="Вывод 17 9" xfId="7989"/>
    <cellStyle name="Вывод 18" xfId="1325"/>
    <cellStyle name="Вывод 18 10" xfId="23754"/>
    <cellStyle name="Вывод 18 11" xfId="24670"/>
    <cellStyle name="Вывод 18 12" xfId="34293"/>
    <cellStyle name="Вывод 18 13" xfId="34594"/>
    <cellStyle name="Вывод 18 2" xfId="1326"/>
    <cellStyle name="Вывод 18 2 10" xfId="24671"/>
    <cellStyle name="Вывод 18 2 11" xfId="34724"/>
    <cellStyle name="Вывод 18 2 2" xfId="7991"/>
    <cellStyle name="Вывод 18 2 3" xfId="11959"/>
    <cellStyle name="Вывод 18 2 3 2" xfId="14857"/>
    <cellStyle name="Вывод 18 2 3 2 2" xfId="17071"/>
    <cellStyle name="Вывод 18 2 3 2 2 2" xfId="23123"/>
    <cellStyle name="Вывод 18 2 3 2 2 3" xfId="30885"/>
    <cellStyle name="Вывод 18 2 3 2 2 4" xfId="40760"/>
    <cellStyle name="Вывод 18 2 3 2 3" xfId="20140"/>
    <cellStyle name="Вывод 18 2 3 2 3 2" xfId="33950"/>
    <cellStyle name="Вывод 18 2 3 2 3 3" xfId="43818"/>
    <cellStyle name="Вывод 18 2 3 2 4" xfId="28677"/>
    <cellStyle name="Вывод 18 2 3 2 5" xfId="38552"/>
    <cellStyle name="Вывод 18 2 3 3" xfId="13030"/>
    <cellStyle name="Вывод 18 2 3 3 2" xfId="18362"/>
    <cellStyle name="Вывод 18 2 3 3 2 2" xfId="32172"/>
    <cellStyle name="Вывод 18 2 3 3 2 3" xfId="42045"/>
    <cellStyle name="Вывод 18 2 3 3 3" xfId="26904"/>
    <cellStyle name="Вывод 18 2 3 3 4" xfId="36779"/>
    <cellStyle name="Вывод 18 2 3 4" xfId="17507"/>
    <cellStyle name="Вывод 18 2 3 4 2" xfId="20798"/>
    <cellStyle name="Вывод 18 2 3 4 3" xfId="31317"/>
    <cellStyle name="Вывод 18 2 3 4 4" xfId="41190"/>
    <cellStyle name="Вывод 18 2 3 5" xfId="21354"/>
    <cellStyle name="Вывод 18 2 3 6" xfId="22547"/>
    <cellStyle name="Вывод 18 2 3 7" xfId="24035"/>
    <cellStyle name="Вывод 18 2 3 8" xfId="25833"/>
    <cellStyle name="Вывод 18 2 3 9" xfId="35708"/>
    <cellStyle name="Вывод 18 2 4" xfId="11659"/>
    <cellStyle name="Вывод 18 2 4 2" xfId="14557"/>
    <cellStyle name="Вывод 18 2 4 2 2" xfId="19840"/>
    <cellStyle name="Вывод 18 2 4 2 2 2" xfId="33650"/>
    <cellStyle name="Вывод 18 2 4 2 2 3" xfId="43518"/>
    <cellStyle name="Вывод 18 2 4 2 3" xfId="28377"/>
    <cellStyle name="Вывод 18 2 4 2 4" xfId="38252"/>
    <cellStyle name="Вывод 18 2 4 3" xfId="15790"/>
    <cellStyle name="Вывод 18 2 4 3 2" xfId="22915"/>
    <cellStyle name="Вывод 18 2 4 3 3" xfId="24422"/>
    <cellStyle name="Вывод 18 2 4 3 4" xfId="29609"/>
    <cellStyle name="Вывод 18 2 4 3 5" xfId="39484"/>
    <cellStyle name="Вывод 18 2 4 4" xfId="17447"/>
    <cellStyle name="Вывод 18 2 4 4 2" xfId="23395"/>
    <cellStyle name="Вывод 18 2 4 4 3" xfId="31257"/>
    <cellStyle name="Вывод 18 2 4 4 4" xfId="41130"/>
    <cellStyle name="Вывод 18 2 4 5" xfId="25533"/>
    <cellStyle name="Вывод 18 2 4 6" xfId="35408"/>
    <cellStyle name="Вывод 18 2 5" xfId="12231"/>
    <cellStyle name="Вывод 18 2 5 2" xfId="17563"/>
    <cellStyle name="Вывод 18 2 5 2 2" xfId="31373"/>
    <cellStyle name="Вывод 18 2 5 2 3" xfId="41246"/>
    <cellStyle name="Вывод 18 2 5 3" xfId="20462"/>
    <cellStyle name="Вывод 18 2 5 4" xfId="24304"/>
    <cellStyle name="Вывод 18 2 5 5" xfId="26105"/>
    <cellStyle name="Вывод 18 2 5 6" xfId="35980"/>
    <cellStyle name="Вывод 18 2 6" xfId="13060"/>
    <cellStyle name="Вывод 18 2 6 2" xfId="16011"/>
    <cellStyle name="Вывод 18 2 6 2 2" xfId="29829"/>
    <cellStyle name="Вывод 18 2 6 2 3" xfId="39704"/>
    <cellStyle name="Вывод 18 2 6 3" xfId="18392"/>
    <cellStyle name="Вывод 18 2 6 3 2" xfId="32202"/>
    <cellStyle name="Вывод 18 2 6 3 3" xfId="42074"/>
    <cellStyle name="Вывод 18 2 6 4" xfId="26933"/>
    <cellStyle name="Вывод 18 2 6 5" xfId="36808"/>
    <cellStyle name="Вывод 18 2 7" xfId="17421"/>
    <cellStyle name="Вывод 18 2 7 2" xfId="21017"/>
    <cellStyle name="Вывод 18 2 7 3" xfId="31231"/>
    <cellStyle name="Вывод 18 2 7 4" xfId="41104"/>
    <cellStyle name="Вывод 18 2 8" xfId="21214"/>
    <cellStyle name="Вывод 18 2 9" xfId="23755"/>
    <cellStyle name="Вывод 18 3" xfId="7990"/>
    <cellStyle name="Вывод 18 4" xfId="11958"/>
    <cellStyle name="Вывод 18 4 2" xfId="14856"/>
    <cellStyle name="Вывод 18 4 2 2" xfId="17070"/>
    <cellStyle name="Вывод 18 4 2 2 2" xfId="23122"/>
    <cellStyle name="Вывод 18 4 2 2 3" xfId="30884"/>
    <cellStyle name="Вывод 18 4 2 2 4" xfId="40759"/>
    <cellStyle name="Вывод 18 4 2 3" xfId="20139"/>
    <cellStyle name="Вывод 18 4 2 3 2" xfId="33949"/>
    <cellStyle name="Вывод 18 4 2 3 3" xfId="43817"/>
    <cellStyle name="Вывод 18 4 2 4" xfId="28676"/>
    <cellStyle name="Вывод 18 4 2 5" xfId="38551"/>
    <cellStyle name="Вывод 18 4 3" xfId="14336"/>
    <cellStyle name="Вывод 18 4 3 2" xfId="19619"/>
    <cellStyle name="Вывод 18 4 3 2 2" xfId="33429"/>
    <cellStyle name="Вывод 18 4 3 2 3" xfId="43298"/>
    <cellStyle name="Вывод 18 4 3 3" xfId="28157"/>
    <cellStyle name="Вывод 18 4 3 4" xfId="38032"/>
    <cellStyle name="Вывод 18 4 4" xfId="17506"/>
    <cellStyle name="Вывод 18 4 4 2" xfId="20797"/>
    <cellStyle name="Вывод 18 4 4 3" xfId="31316"/>
    <cellStyle name="Вывод 18 4 4 4" xfId="41189"/>
    <cellStyle name="Вывод 18 4 5" xfId="21353"/>
    <cellStyle name="Вывод 18 4 6" xfId="22546"/>
    <cellStyle name="Вывод 18 4 7" xfId="24034"/>
    <cellStyle name="Вывод 18 4 8" xfId="25832"/>
    <cellStyle name="Вывод 18 4 9" xfId="35707"/>
    <cellStyle name="Вывод 18 5" xfId="11658"/>
    <cellStyle name="Вывод 18 5 2" xfId="14556"/>
    <cellStyle name="Вывод 18 5 2 2" xfId="19839"/>
    <cellStyle name="Вывод 18 5 2 2 2" xfId="33649"/>
    <cellStyle name="Вывод 18 5 2 2 3" xfId="43517"/>
    <cellStyle name="Вывод 18 5 2 3" xfId="28376"/>
    <cellStyle name="Вывод 18 5 2 4" xfId="38251"/>
    <cellStyle name="Вывод 18 5 3" xfId="15789"/>
    <cellStyle name="Вывод 18 5 3 2" xfId="22914"/>
    <cellStyle name="Вывод 18 5 3 3" xfId="24421"/>
    <cellStyle name="Вывод 18 5 3 4" xfId="29608"/>
    <cellStyle name="Вывод 18 5 3 5" xfId="39483"/>
    <cellStyle name="Вывод 18 5 4" xfId="17446"/>
    <cellStyle name="Вывод 18 5 4 2" xfId="23394"/>
    <cellStyle name="Вывод 18 5 4 3" xfId="31256"/>
    <cellStyle name="Вывод 18 5 4 4" xfId="41129"/>
    <cellStyle name="Вывод 18 5 5" xfId="25532"/>
    <cellStyle name="Вывод 18 5 6" xfId="35407"/>
    <cellStyle name="Вывод 18 6" xfId="12284"/>
    <cellStyle name="Вывод 18 6 2" xfId="17616"/>
    <cellStyle name="Вывод 18 6 2 2" xfId="31426"/>
    <cellStyle name="Вывод 18 6 2 3" xfId="41299"/>
    <cellStyle name="Вывод 18 6 3" xfId="20461"/>
    <cellStyle name="Вывод 18 6 4" xfId="24321"/>
    <cellStyle name="Вывод 18 6 5" xfId="26158"/>
    <cellStyle name="Вывод 18 6 6" xfId="36033"/>
    <cellStyle name="Вывод 18 7" xfId="13287"/>
    <cellStyle name="Вывод 18 7 2" xfId="16088"/>
    <cellStyle name="Вывод 18 7 2 2" xfId="29906"/>
    <cellStyle name="Вывод 18 7 2 3" xfId="39781"/>
    <cellStyle name="Вывод 18 7 3" xfId="18619"/>
    <cellStyle name="Вывод 18 7 3 2" xfId="32429"/>
    <cellStyle name="Вывод 18 7 3 3" xfId="42301"/>
    <cellStyle name="Вывод 18 7 4" xfId="27160"/>
    <cellStyle name="Вывод 18 7 5" xfId="37035"/>
    <cellStyle name="Вывод 18 8" xfId="13137"/>
    <cellStyle name="Вывод 18 8 2" xfId="18469"/>
    <cellStyle name="Вывод 18 8 2 2" xfId="32279"/>
    <cellStyle name="Вывод 18 8 2 3" xfId="42151"/>
    <cellStyle name="Вывод 18 8 3" xfId="27010"/>
    <cellStyle name="Вывод 18 8 4" xfId="36885"/>
    <cellStyle name="Вывод 18 9" xfId="17242"/>
    <cellStyle name="Вывод 18 9 2" xfId="21213"/>
    <cellStyle name="Вывод 18 9 3" xfId="31053"/>
    <cellStyle name="Вывод 18 9 4" xfId="40927"/>
    <cellStyle name="Вывод 19" xfId="1327"/>
    <cellStyle name="Вывод 19 10" xfId="23756"/>
    <cellStyle name="Вывод 19 11" xfId="24672"/>
    <cellStyle name="Вывод 19 12" xfId="34294"/>
    <cellStyle name="Вывод 19 13" xfId="34593"/>
    <cellStyle name="Вывод 19 2" xfId="1328"/>
    <cellStyle name="Вывод 19 2 10" xfId="24673"/>
    <cellStyle name="Вывод 19 2 11" xfId="34723"/>
    <cellStyle name="Вывод 19 2 2" xfId="7993"/>
    <cellStyle name="Вывод 19 2 3" xfId="11961"/>
    <cellStyle name="Вывод 19 2 3 2" xfId="14859"/>
    <cellStyle name="Вывод 19 2 3 2 2" xfId="17073"/>
    <cellStyle name="Вывод 19 2 3 2 2 2" xfId="23125"/>
    <cellStyle name="Вывод 19 2 3 2 2 3" xfId="30887"/>
    <cellStyle name="Вывод 19 2 3 2 2 4" xfId="40762"/>
    <cellStyle name="Вывод 19 2 3 2 3" xfId="20142"/>
    <cellStyle name="Вывод 19 2 3 2 3 2" xfId="33952"/>
    <cellStyle name="Вывод 19 2 3 2 3 3" xfId="43820"/>
    <cellStyle name="Вывод 19 2 3 2 4" xfId="28679"/>
    <cellStyle name="Вывод 19 2 3 2 5" xfId="38554"/>
    <cellStyle name="Вывод 19 2 3 3" xfId="14457"/>
    <cellStyle name="Вывод 19 2 3 3 2" xfId="19740"/>
    <cellStyle name="Вывод 19 2 3 3 2 2" xfId="33550"/>
    <cellStyle name="Вывод 19 2 3 3 2 3" xfId="43418"/>
    <cellStyle name="Вывод 19 2 3 3 3" xfId="28277"/>
    <cellStyle name="Вывод 19 2 3 3 4" xfId="38152"/>
    <cellStyle name="Вывод 19 2 3 4" xfId="17509"/>
    <cellStyle name="Вывод 19 2 3 4 2" xfId="20800"/>
    <cellStyle name="Вывод 19 2 3 4 3" xfId="31319"/>
    <cellStyle name="Вывод 19 2 3 4 4" xfId="41192"/>
    <cellStyle name="Вывод 19 2 3 5" xfId="21356"/>
    <cellStyle name="Вывод 19 2 3 6" xfId="22549"/>
    <cellStyle name="Вывод 19 2 3 7" xfId="24037"/>
    <cellStyle name="Вывод 19 2 3 8" xfId="25835"/>
    <cellStyle name="Вывод 19 2 3 9" xfId="35710"/>
    <cellStyle name="Вывод 19 2 4" xfId="11661"/>
    <cellStyle name="Вывод 19 2 4 2" xfId="14559"/>
    <cellStyle name="Вывод 19 2 4 2 2" xfId="19842"/>
    <cellStyle name="Вывод 19 2 4 2 2 2" xfId="33652"/>
    <cellStyle name="Вывод 19 2 4 2 2 3" xfId="43520"/>
    <cellStyle name="Вывод 19 2 4 2 3" xfId="28379"/>
    <cellStyle name="Вывод 19 2 4 2 4" xfId="38254"/>
    <cellStyle name="Вывод 19 2 4 3" xfId="15792"/>
    <cellStyle name="Вывод 19 2 4 3 2" xfId="22917"/>
    <cellStyle name="Вывод 19 2 4 3 3" xfId="24424"/>
    <cellStyle name="Вывод 19 2 4 3 4" xfId="29611"/>
    <cellStyle name="Вывод 19 2 4 3 5" xfId="39486"/>
    <cellStyle name="Вывод 19 2 4 4" xfId="17449"/>
    <cellStyle name="Вывод 19 2 4 4 2" xfId="23397"/>
    <cellStyle name="Вывод 19 2 4 4 3" xfId="31259"/>
    <cellStyle name="Вывод 19 2 4 4 4" xfId="41132"/>
    <cellStyle name="Вывод 19 2 4 5" xfId="25535"/>
    <cellStyle name="Вывод 19 2 4 6" xfId="35410"/>
    <cellStyle name="Вывод 19 2 5" xfId="12230"/>
    <cellStyle name="Вывод 19 2 5 2" xfId="17562"/>
    <cellStyle name="Вывод 19 2 5 2 2" xfId="31372"/>
    <cellStyle name="Вывод 19 2 5 2 3" xfId="41245"/>
    <cellStyle name="Вывод 19 2 5 3" xfId="20464"/>
    <cellStyle name="Вывод 19 2 5 4" xfId="24303"/>
    <cellStyle name="Вывод 19 2 5 5" xfId="26104"/>
    <cellStyle name="Вывод 19 2 5 6" xfId="35979"/>
    <cellStyle name="Вывод 19 2 6" xfId="13059"/>
    <cellStyle name="Вывод 19 2 6 2" xfId="16010"/>
    <cellStyle name="Вывод 19 2 6 2 2" xfId="29828"/>
    <cellStyle name="Вывод 19 2 6 2 3" xfId="39703"/>
    <cellStyle name="Вывод 19 2 6 3" xfId="18391"/>
    <cellStyle name="Вывод 19 2 6 3 2" xfId="32201"/>
    <cellStyle name="Вывод 19 2 6 3 3" xfId="42073"/>
    <cellStyle name="Вывод 19 2 6 4" xfId="26932"/>
    <cellStyle name="Вывод 19 2 6 5" xfId="36807"/>
    <cellStyle name="Вывод 19 2 7" xfId="17420"/>
    <cellStyle name="Вывод 19 2 7 2" xfId="21018"/>
    <cellStyle name="Вывод 19 2 7 3" xfId="31230"/>
    <cellStyle name="Вывод 19 2 7 4" xfId="41103"/>
    <cellStyle name="Вывод 19 2 8" xfId="21216"/>
    <cellStyle name="Вывод 19 2 9" xfId="23757"/>
    <cellStyle name="Вывод 19 3" xfId="7992"/>
    <cellStyle name="Вывод 19 4" xfId="11960"/>
    <cellStyle name="Вывод 19 4 2" xfId="14858"/>
    <cellStyle name="Вывод 19 4 2 2" xfId="17072"/>
    <cellStyle name="Вывод 19 4 2 2 2" xfId="23124"/>
    <cellStyle name="Вывод 19 4 2 2 3" xfId="30886"/>
    <cellStyle name="Вывод 19 4 2 2 4" xfId="40761"/>
    <cellStyle name="Вывод 19 4 2 3" xfId="20141"/>
    <cellStyle name="Вывод 19 4 2 3 2" xfId="33951"/>
    <cellStyle name="Вывод 19 4 2 3 3" xfId="43819"/>
    <cellStyle name="Вывод 19 4 2 4" xfId="28678"/>
    <cellStyle name="Вывод 19 4 2 5" xfId="38553"/>
    <cellStyle name="Вывод 19 4 3" xfId="14456"/>
    <cellStyle name="Вывод 19 4 3 2" xfId="19739"/>
    <cellStyle name="Вывод 19 4 3 2 2" xfId="33549"/>
    <cellStyle name="Вывод 19 4 3 2 3" xfId="43417"/>
    <cellStyle name="Вывод 19 4 3 3" xfId="28276"/>
    <cellStyle name="Вывод 19 4 3 4" xfId="38151"/>
    <cellStyle name="Вывод 19 4 4" xfId="17508"/>
    <cellStyle name="Вывод 19 4 4 2" xfId="20799"/>
    <cellStyle name="Вывод 19 4 4 3" xfId="31318"/>
    <cellStyle name="Вывод 19 4 4 4" xfId="41191"/>
    <cellStyle name="Вывод 19 4 5" xfId="21355"/>
    <cellStyle name="Вывод 19 4 6" xfId="22548"/>
    <cellStyle name="Вывод 19 4 7" xfId="24036"/>
    <cellStyle name="Вывод 19 4 8" xfId="25834"/>
    <cellStyle name="Вывод 19 4 9" xfId="35709"/>
    <cellStyle name="Вывод 19 5" xfId="11660"/>
    <cellStyle name="Вывод 19 5 2" xfId="14558"/>
    <cellStyle name="Вывод 19 5 2 2" xfId="19841"/>
    <cellStyle name="Вывод 19 5 2 2 2" xfId="33651"/>
    <cellStyle name="Вывод 19 5 2 2 3" xfId="43519"/>
    <cellStyle name="Вывод 19 5 2 3" xfId="28378"/>
    <cellStyle name="Вывод 19 5 2 4" xfId="38253"/>
    <cellStyle name="Вывод 19 5 3" xfId="15791"/>
    <cellStyle name="Вывод 19 5 3 2" xfId="22916"/>
    <cellStyle name="Вывод 19 5 3 3" xfId="24423"/>
    <cellStyle name="Вывод 19 5 3 4" xfId="29610"/>
    <cellStyle name="Вывод 19 5 3 5" xfId="39485"/>
    <cellStyle name="Вывод 19 5 4" xfId="17448"/>
    <cellStyle name="Вывод 19 5 4 2" xfId="23396"/>
    <cellStyle name="Вывод 19 5 4 3" xfId="31258"/>
    <cellStyle name="Вывод 19 5 4 4" xfId="41131"/>
    <cellStyle name="Вывод 19 5 5" xfId="25534"/>
    <cellStyle name="Вывод 19 5 6" xfId="35409"/>
    <cellStyle name="Вывод 19 6" xfId="12285"/>
    <cellStyle name="Вывод 19 6 2" xfId="17617"/>
    <cellStyle name="Вывод 19 6 2 2" xfId="31427"/>
    <cellStyle name="Вывод 19 6 2 3" xfId="41300"/>
    <cellStyle name="Вывод 19 6 3" xfId="20463"/>
    <cellStyle name="Вывод 19 6 4" xfId="24322"/>
    <cellStyle name="Вывод 19 6 5" xfId="26159"/>
    <cellStyle name="Вывод 19 6 6" xfId="36034"/>
    <cellStyle name="Вывод 19 7" xfId="13288"/>
    <cellStyle name="Вывод 19 7 2" xfId="16089"/>
    <cellStyle name="Вывод 19 7 2 2" xfId="29907"/>
    <cellStyle name="Вывод 19 7 2 3" xfId="39782"/>
    <cellStyle name="Вывод 19 7 3" xfId="18620"/>
    <cellStyle name="Вывод 19 7 3 2" xfId="32430"/>
    <cellStyle name="Вывод 19 7 3 3" xfId="42302"/>
    <cellStyle name="Вывод 19 7 4" xfId="27161"/>
    <cellStyle name="Вывод 19 7 5" xfId="37036"/>
    <cellStyle name="Вывод 19 8" xfId="13138"/>
    <cellStyle name="Вывод 19 8 2" xfId="18470"/>
    <cellStyle name="Вывод 19 8 2 2" xfId="32280"/>
    <cellStyle name="Вывод 19 8 2 3" xfId="42152"/>
    <cellStyle name="Вывод 19 8 3" xfId="27011"/>
    <cellStyle name="Вывод 19 8 4" xfId="36886"/>
    <cellStyle name="Вывод 19 9" xfId="17243"/>
    <cellStyle name="Вывод 19 9 2" xfId="21215"/>
    <cellStyle name="Вывод 19 9 3" xfId="31054"/>
    <cellStyle name="Вывод 19 9 4" xfId="40928"/>
    <cellStyle name="Вывод 2" xfId="1329"/>
    <cellStyle name="Вывод 2 10" xfId="7995"/>
    <cellStyle name="Вывод 2 11" xfId="7996"/>
    <cellStyle name="Вывод 2 12" xfId="7997"/>
    <cellStyle name="Вывод 2 13" xfId="7998"/>
    <cellStyle name="Вывод 2 14" xfId="7999"/>
    <cellStyle name="Вывод 2 15" xfId="11866"/>
    <cellStyle name="Вывод 2 15 2" xfId="14764"/>
    <cellStyle name="Вывод 2 15 2 2" xfId="16978"/>
    <cellStyle name="Вывод 2 15 2 2 2" xfId="23030"/>
    <cellStyle name="Вывод 2 15 2 2 3" xfId="30792"/>
    <cellStyle name="Вывод 2 15 2 2 4" xfId="40667"/>
    <cellStyle name="Вывод 2 15 2 3" xfId="20047"/>
    <cellStyle name="Вывод 2 15 2 3 2" xfId="33857"/>
    <cellStyle name="Вывод 2 15 2 3 3" xfId="43725"/>
    <cellStyle name="Вывод 2 15 2 4" xfId="28584"/>
    <cellStyle name="Вывод 2 15 2 5" xfId="38459"/>
    <cellStyle name="Вывод 2 15 3" xfId="14279"/>
    <cellStyle name="Вывод 2 15 3 2" xfId="19562"/>
    <cellStyle name="Вывод 2 15 3 2 2" xfId="33372"/>
    <cellStyle name="Вывод 2 15 3 2 3" xfId="43241"/>
    <cellStyle name="Вывод 2 15 3 3" xfId="28100"/>
    <cellStyle name="Вывод 2 15 3 4" xfId="37975"/>
    <cellStyle name="Вывод 2 15 4" xfId="17482"/>
    <cellStyle name="Вывод 2 15 4 2" xfId="20705"/>
    <cellStyle name="Вывод 2 15 4 3" xfId="31292"/>
    <cellStyle name="Вывод 2 15 4 4" xfId="41165"/>
    <cellStyle name="Вывод 2 15 5" xfId="21261"/>
    <cellStyle name="Вывод 2 15 6" xfId="22438"/>
    <cellStyle name="Вывод 2 15 7" xfId="23926"/>
    <cellStyle name="Вывод 2 15 8" xfId="25740"/>
    <cellStyle name="Вывод 2 15 9" xfId="35615"/>
    <cellStyle name="Вывод 2 16" xfId="12090"/>
    <cellStyle name="Вывод 2 16 2" xfId="14988"/>
    <cellStyle name="Вывод 2 16 2 2" xfId="20271"/>
    <cellStyle name="Вывод 2 16 2 2 2" xfId="34081"/>
    <cellStyle name="Вывод 2 16 2 2 3" xfId="43949"/>
    <cellStyle name="Вывод 2 16 2 3" xfId="23542"/>
    <cellStyle name="Вывод 2 16 2 4" xfId="28808"/>
    <cellStyle name="Вывод 2 16 2 5" xfId="38683"/>
    <cellStyle name="Вывод 2 16 3" xfId="17534"/>
    <cellStyle name="Вывод 2 16 3 2" xfId="20577"/>
    <cellStyle name="Вывод 2 16 3 3" xfId="31344"/>
    <cellStyle name="Вывод 2 16 3 4" xfId="41217"/>
    <cellStyle name="Вывод 2 16 4" xfId="20913"/>
    <cellStyle name="Вывод 2 16 5" xfId="21469"/>
    <cellStyle name="Вывод 2 16 6" xfId="22662"/>
    <cellStyle name="Вывод 2 16 7" xfId="24166"/>
    <cellStyle name="Вывод 2 16 8" xfId="25964"/>
    <cellStyle name="Вывод 2 16 9" xfId="35839"/>
    <cellStyle name="Вывод 2 17" xfId="12170"/>
    <cellStyle name="Вывод 2 17 2" xfId="15068"/>
    <cellStyle name="Вывод 2 17 2 2" xfId="20351"/>
    <cellStyle name="Вывод 2 17 2 2 2" xfId="34161"/>
    <cellStyle name="Вывод 2 17 2 2 3" xfId="44029"/>
    <cellStyle name="Вывод 2 17 2 3" xfId="23622"/>
    <cellStyle name="Вывод 2 17 2 4" xfId="28888"/>
    <cellStyle name="Вывод 2 17 2 5" xfId="38763"/>
    <cellStyle name="Вывод 2 17 3" xfId="17550"/>
    <cellStyle name="Вывод 2 17 3 2" xfId="20641"/>
    <cellStyle name="Вывод 2 17 3 3" xfId="31360"/>
    <cellStyle name="Вывод 2 17 3 4" xfId="41233"/>
    <cellStyle name="Вывод 2 17 4" xfId="20977"/>
    <cellStyle name="Вывод 2 17 5" xfId="21549"/>
    <cellStyle name="Вывод 2 17 6" xfId="22742"/>
    <cellStyle name="Вывод 2 17 7" xfId="24246"/>
    <cellStyle name="Вывод 2 17 8" xfId="26044"/>
    <cellStyle name="Вывод 2 17 9" xfId="35919"/>
    <cellStyle name="Вывод 2 18" xfId="11662"/>
    <cellStyle name="Вывод 2 18 2" xfId="14560"/>
    <cellStyle name="Вывод 2 18 2 2" xfId="19843"/>
    <cellStyle name="Вывод 2 18 2 2 2" xfId="33653"/>
    <cellStyle name="Вывод 2 18 2 2 3" xfId="43521"/>
    <cellStyle name="Вывод 2 18 2 3" xfId="28380"/>
    <cellStyle name="Вывод 2 18 2 4" xfId="38255"/>
    <cellStyle name="Вывод 2 18 3" xfId="15793"/>
    <cellStyle name="Вывод 2 18 3 2" xfId="22837"/>
    <cellStyle name="Вывод 2 18 3 3" xfId="24425"/>
    <cellStyle name="Вывод 2 18 3 4" xfId="29612"/>
    <cellStyle name="Вывод 2 18 3 5" xfId="39487"/>
    <cellStyle name="Вывод 2 18 4" xfId="17450"/>
    <cellStyle name="Вывод 2 18 4 2" xfId="23317"/>
    <cellStyle name="Вывод 2 18 4 3" xfId="31260"/>
    <cellStyle name="Вывод 2 18 4 4" xfId="41133"/>
    <cellStyle name="Вывод 2 18 5" xfId="25536"/>
    <cellStyle name="Вывод 2 18 6" xfId="35411"/>
    <cellStyle name="Вывод 2 19" xfId="13289"/>
    <cellStyle name="Вывод 2 19 2" xfId="16090"/>
    <cellStyle name="Вывод 2 19 2 2" xfId="29908"/>
    <cellStyle name="Вывод 2 19 2 3" xfId="39783"/>
    <cellStyle name="Вывод 2 19 3" xfId="18621"/>
    <cellStyle name="Вывод 2 19 3 2" xfId="32431"/>
    <cellStyle name="Вывод 2 19 3 3" xfId="42303"/>
    <cellStyle name="Вывод 2 19 4" xfId="27162"/>
    <cellStyle name="Вывод 2 19 5" xfId="37037"/>
    <cellStyle name="Вывод 2 2" xfId="1330"/>
    <cellStyle name="Вывод 2 2 10" xfId="24675"/>
    <cellStyle name="Вывод 2 2 11" xfId="34296"/>
    <cellStyle name="Вывод 2 2 12" xfId="34591"/>
    <cellStyle name="Вывод 2 2 2" xfId="8000"/>
    <cellStyle name="Вывод 2 2 3" xfId="11962"/>
    <cellStyle name="Вывод 2 2 3 2" xfId="14860"/>
    <cellStyle name="Вывод 2 2 3 2 2" xfId="17074"/>
    <cellStyle name="Вывод 2 2 3 2 2 2" xfId="23126"/>
    <cellStyle name="Вывод 2 2 3 2 2 3" xfId="30888"/>
    <cellStyle name="Вывод 2 2 3 2 2 4" xfId="40763"/>
    <cellStyle name="Вывод 2 2 3 2 3" xfId="20143"/>
    <cellStyle name="Вывод 2 2 3 2 3 2" xfId="33953"/>
    <cellStyle name="Вывод 2 2 3 2 3 3" xfId="43821"/>
    <cellStyle name="Вывод 2 2 3 2 4" xfId="28680"/>
    <cellStyle name="Вывод 2 2 3 2 5" xfId="38555"/>
    <cellStyle name="Вывод 2 2 3 3" xfId="14338"/>
    <cellStyle name="Вывод 2 2 3 3 2" xfId="19621"/>
    <cellStyle name="Вывод 2 2 3 3 2 2" xfId="33431"/>
    <cellStyle name="Вывод 2 2 3 3 2 3" xfId="43300"/>
    <cellStyle name="Вывод 2 2 3 3 3" xfId="28159"/>
    <cellStyle name="Вывод 2 2 3 3 4" xfId="38034"/>
    <cellStyle name="Вывод 2 2 3 4" xfId="17510"/>
    <cellStyle name="Вывод 2 2 3 4 2" xfId="20801"/>
    <cellStyle name="Вывод 2 2 3 4 3" xfId="31320"/>
    <cellStyle name="Вывод 2 2 3 4 4" xfId="41193"/>
    <cellStyle name="Вывод 2 2 3 5" xfId="21357"/>
    <cellStyle name="Вывод 2 2 3 6" xfId="22550"/>
    <cellStyle name="Вывод 2 2 3 7" xfId="24038"/>
    <cellStyle name="Вывод 2 2 3 8" xfId="25836"/>
    <cellStyle name="Вывод 2 2 3 9" xfId="35711"/>
    <cellStyle name="Вывод 2 2 4" xfId="11663"/>
    <cellStyle name="Вывод 2 2 4 2" xfId="14561"/>
    <cellStyle name="Вывод 2 2 4 2 2" xfId="19844"/>
    <cellStyle name="Вывод 2 2 4 2 2 2" xfId="33654"/>
    <cellStyle name="Вывод 2 2 4 2 2 3" xfId="43522"/>
    <cellStyle name="Вывод 2 2 4 2 3" xfId="28381"/>
    <cellStyle name="Вывод 2 2 4 2 4" xfId="38256"/>
    <cellStyle name="Вывод 2 2 4 3" xfId="15794"/>
    <cellStyle name="Вывод 2 2 4 3 2" xfId="22918"/>
    <cellStyle name="Вывод 2 2 4 3 3" xfId="24426"/>
    <cellStyle name="Вывод 2 2 4 3 4" xfId="29613"/>
    <cellStyle name="Вывод 2 2 4 3 5" xfId="39488"/>
    <cellStyle name="Вывод 2 2 4 4" xfId="17451"/>
    <cellStyle name="Вывод 2 2 4 4 2" xfId="23398"/>
    <cellStyle name="Вывод 2 2 4 4 3" xfId="31261"/>
    <cellStyle name="Вывод 2 2 4 4 4" xfId="41134"/>
    <cellStyle name="Вывод 2 2 4 5" xfId="25537"/>
    <cellStyle name="Вывод 2 2 4 6" xfId="35412"/>
    <cellStyle name="Вывод 2 2 5" xfId="12286"/>
    <cellStyle name="Вывод 2 2 5 2" xfId="17618"/>
    <cellStyle name="Вывод 2 2 5 2 2" xfId="31428"/>
    <cellStyle name="Вывод 2 2 5 2 3" xfId="41301"/>
    <cellStyle name="Вывод 2 2 5 3" xfId="20465"/>
    <cellStyle name="Вывод 2 2 5 4" xfId="24323"/>
    <cellStyle name="Вывод 2 2 5 5" xfId="26160"/>
    <cellStyle name="Вывод 2 2 5 6" xfId="36035"/>
    <cellStyle name="Вывод 2 2 6" xfId="13290"/>
    <cellStyle name="Вывод 2 2 6 2" xfId="16091"/>
    <cellStyle name="Вывод 2 2 6 2 2" xfId="29909"/>
    <cellStyle name="Вывод 2 2 6 2 3" xfId="39784"/>
    <cellStyle name="Вывод 2 2 6 3" xfId="18622"/>
    <cellStyle name="Вывод 2 2 6 3 2" xfId="32432"/>
    <cellStyle name="Вывод 2 2 6 3 3" xfId="42304"/>
    <cellStyle name="Вывод 2 2 6 4" xfId="27163"/>
    <cellStyle name="Вывод 2 2 6 5" xfId="37038"/>
    <cellStyle name="Вывод 2 2 7" xfId="13140"/>
    <cellStyle name="Вывод 2 2 7 2" xfId="18472"/>
    <cellStyle name="Вывод 2 2 7 2 2" xfId="32282"/>
    <cellStyle name="Вывод 2 2 7 2 3" xfId="42154"/>
    <cellStyle name="Вывод 2 2 7 3" xfId="27013"/>
    <cellStyle name="Вывод 2 2 7 4" xfId="36888"/>
    <cellStyle name="Вывод 2 2 8" xfId="17245"/>
    <cellStyle name="Вывод 2 2 8 2" xfId="21217"/>
    <cellStyle name="Вывод 2 2 8 3" xfId="31056"/>
    <cellStyle name="Вывод 2 2 8 4" xfId="40930"/>
    <cellStyle name="Вывод 2 2 9" xfId="23759"/>
    <cellStyle name="Вывод 2 20" xfId="13139"/>
    <cellStyle name="Вывод 2 20 2" xfId="18471"/>
    <cellStyle name="Вывод 2 20 2 2" xfId="32281"/>
    <cellStyle name="Вывод 2 20 2 3" xfId="42153"/>
    <cellStyle name="Вывод 2 20 3" xfId="27012"/>
    <cellStyle name="Вывод 2 20 4" xfId="36887"/>
    <cellStyle name="Вывод 2 21" xfId="17244"/>
    <cellStyle name="Вывод 2 21 2" xfId="21170"/>
    <cellStyle name="Вывод 2 21 3" xfId="31055"/>
    <cellStyle name="Вывод 2 21 4" xfId="40929"/>
    <cellStyle name="Вывод 2 22" xfId="23758"/>
    <cellStyle name="Вывод 2 23" xfId="24674"/>
    <cellStyle name="Вывод 2 24" xfId="34295"/>
    <cellStyle name="Вывод 2 25" xfId="34592"/>
    <cellStyle name="Вывод 2 3" xfId="1331"/>
    <cellStyle name="Вывод 2 3 10" xfId="24676"/>
    <cellStyle name="Вывод 2 3 11" xfId="34297"/>
    <cellStyle name="Вывод 2 3 12" xfId="34590"/>
    <cellStyle name="Вывод 2 3 2" xfId="8001"/>
    <cellStyle name="Вывод 2 3 3" xfId="11963"/>
    <cellStyle name="Вывод 2 3 3 2" xfId="14861"/>
    <cellStyle name="Вывод 2 3 3 2 2" xfId="17075"/>
    <cellStyle name="Вывод 2 3 3 2 2 2" xfId="23127"/>
    <cellStyle name="Вывод 2 3 3 2 2 3" xfId="30889"/>
    <cellStyle name="Вывод 2 3 3 2 2 4" xfId="40764"/>
    <cellStyle name="Вывод 2 3 3 2 3" xfId="20144"/>
    <cellStyle name="Вывод 2 3 3 2 3 2" xfId="33954"/>
    <cellStyle name="Вывод 2 3 3 2 3 3" xfId="43822"/>
    <cellStyle name="Вывод 2 3 3 2 4" xfId="28681"/>
    <cellStyle name="Вывод 2 3 3 2 5" xfId="38556"/>
    <cellStyle name="Вывод 2 3 3 3" xfId="14339"/>
    <cellStyle name="Вывод 2 3 3 3 2" xfId="19622"/>
    <cellStyle name="Вывод 2 3 3 3 2 2" xfId="33432"/>
    <cellStyle name="Вывод 2 3 3 3 2 3" xfId="43301"/>
    <cellStyle name="Вывод 2 3 3 3 3" xfId="28160"/>
    <cellStyle name="Вывод 2 3 3 3 4" xfId="38035"/>
    <cellStyle name="Вывод 2 3 3 4" xfId="17511"/>
    <cellStyle name="Вывод 2 3 3 4 2" xfId="20802"/>
    <cellStyle name="Вывод 2 3 3 4 3" xfId="31321"/>
    <cellStyle name="Вывод 2 3 3 4 4" xfId="41194"/>
    <cellStyle name="Вывод 2 3 3 5" xfId="21358"/>
    <cellStyle name="Вывод 2 3 3 6" xfId="22551"/>
    <cellStyle name="Вывод 2 3 3 7" xfId="24039"/>
    <cellStyle name="Вывод 2 3 3 8" xfId="25837"/>
    <cellStyle name="Вывод 2 3 3 9" xfId="35712"/>
    <cellStyle name="Вывод 2 3 4" xfId="11664"/>
    <cellStyle name="Вывод 2 3 4 2" xfId="14562"/>
    <cellStyle name="Вывод 2 3 4 2 2" xfId="19845"/>
    <cellStyle name="Вывод 2 3 4 2 2 2" xfId="33655"/>
    <cellStyle name="Вывод 2 3 4 2 2 3" xfId="43523"/>
    <cellStyle name="Вывод 2 3 4 2 3" xfId="28382"/>
    <cellStyle name="Вывод 2 3 4 2 4" xfId="38257"/>
    <cellStyle name="Вывод 2 3 4 3" xfId="15795"/>
    <cellStyle name="Вывод 2 3 4 3 2" xfId="22919"/>
    <cellStyle name="Вывод 2 3 4 3 3" xfId="24427"/>
    <cellStyle name="Вывод 2 3 4 3 4" xfId="29614"/>
    <cellStyle name="Вывод 2 3 4 3 5" xfId="39489"/>
    <cellStyle name="Вывод 2 3 4 4" xfId="17452"/>
    <cellStyle name="Вывод 2 3 4 4 2" xfId="23399"/>
    <cellStyle name="Вывод 2 3 4 4 3" xfId="31262"/>
    <cellStyle name="Вывод 2 3 4 4 4" xfId="41135"/>
    <cellStyle name="Вывод 2 3 4 5" xfId="25538"/>
    <cellStyle name="Вывод 2 3 4 6" xfId="35413"/>
    <cellStyle name="Вывод 2 3 5" xfId="12287"/>
    <cellStyle name="Вывод 2 3 5 2" xfId="17619"/>
    <cellStyle name="Вывод 2 3 5 2 2" xfId="31429"/>
    <cellStyle name="Вывод 2 3 5 2 3" xfId="41302"/>
    <cellStyle name="Вывод 2 3 5 3" xfId="20466"/>
    <cellStyle name="Вывод 2 3 5 4" xfId="24324"/>
    <cellStyle name="Вывод 2 3 5 5" xfId="26161"/>
    <cellStyle name="Вывод 2 3 5 6" xfId="36036"/>
    <cellStyle name="Вывод 2 3 6" xfId="13291"/>
    <cellStyle name="Вывод 2 3 6 2" xfId="16092"/>
    <cellStyle name="Вывод 2 3 6 2 2" xfId="29910"/>
    <cellStyle name="Вывод 2 3 6 2 3" xfId="39785"/>
    <cellStyle name="Вывод 2 3 6 3" xfId="18623"/>
    <cellStyle name="Вывод 2 3 6 3 2" xfId="32433"/>
    <cellStyle name="Вывод 2 3 6 3 3" xfId="42305"/>
    <cellStyle name="Вывод 2 3 6 4" xfId="27164"/>
    <cellStyle name="Вывод 2 3 6 5" xfId="37039"/>
    <cellStyle name="Вывод 2 3 7" xfId="13141"/>
    <cellStyle name="Вывод 2 3 7 2" xfId="18473"/>
    <cellStyle name="Вывод 2 3 7 2 2" xfId="32283"/>
    <cellStyle name="Вывод 2 3 7 2 3" xfId="42155"/>
    <cellStyle name="Вывод 2 3 7 3" xfId="27014"/>
    <cellStyle name="Вывод 2 3 7 4" xfId="36889"/>
    <cellStyle name="Вывод 2 3 8" xfId="17246"/>
    <cellStyle name="Вывод 2 3 8 2" xfId="21218"/>
    <cellStyle name="Вывод 2 3 8 3" xfId="31057"/>
    <cellStyle name="Вывод 2 3 8 4" xfId="40931"/>
    <cellStyle name="Вывод 2 3 9" xfId="23760"/>
    <cellStyle name="Вывод 2 4" xfId="7994"/>
    <cellStyle name="Вывод 2 5" xfId="8002"/>
    <cellStyle name="Вывод 2 6" xfId="8003"/>
    <cellStyle name="Вывод 2 7" xfId="8004"/>
    <cellStyle name="Вывод 2 8" xfId="8005"/>
    <cellStyle name="Вывод 2 9" xfId="8006"/>
    <cellStyle name="Вывод 3" xfId="1332"/>
    <cellStyle name="Вывод 3 10" xfId="8008"/>
    <cellStyle name="Вывод 3 11" xfId="8009"/>
    <cellStyle name="Вывод 3 12" xfId="8010"/>
    <cellStyle name="Вывод 3 13" xfId="8011"/>
    <cellStyle name="Вывод 3 14" xfId="8012"/>
    <cellStyle name="Вывод 3 15" xfId="11867"/>
    <cellStyle name="Вывод 3 15 2" xfId="14765"/>
    <cellStyle name="Вывод 3 15 2 2" xfId="16979"/>
    <cellStyle name="Вывод 3 15 2 2 2" xfId="23031"/>
    <cellStyle name="Вывод 3 15 2 2 3" xfId="30793"/>
    <cellStyle name="Вывод 3 15 2 2 4" xfId="40668"/>
    <cellStyle name="Вывод 3 15 2 3" xfId="20048"/>
    <cellStyle name="Вывод 3 15 2 3 2" xfId="33858"/>
    <cellStyle name="Вывод 3 15 2 3 3" xfId="43726"/>
    <cellStyle name="Вывод 3 15 2 4" xfId="28585"/>
    <cellStyle name="Вывод 3 15 2 5" xfId="38460"/>
    <cellStyle name="Вывод 3 15 3" xfId="14272"/>
    <cellStyle name="Вывод 3 15 3 2" xfId="19555"/>
    <cellStyle name="Вывод 3 15 3 2 2" xfId="33365"/>
    <cellStyle name="Вывод 3 15 3 2 3" xfId="43234"/>
    <cellStyle name="Вывод 3 15 3 3" xfId="28093"/>
    <cellStyle name="Вывод 3 15 3 4" xfId="37968"/>
    <cellStyle name="Вывод 3 15 4" xfId="17483"/>
    <cellStyle name="Вывод 3 15 4 2" xfId="20706"/>
    <cellStyle name="Вывод 3 15 4 3" xfId="31293"/>
    <cellStyle name="Вывод 3 15 4 4" xfId="41166"/>
    <cellStyle name="Вывод 3 15 5" xfId="21262"/>
    <cellStyle name="Вывод 3 15 6" xfId="22439"/>
    <cellStyle name="Вывод 3 15 7" xfId="23927"/>
    <cellStyle name="Вывод 3 15 8" xfId="25741"/>
    <cellStyle name="Вывод 3 15 9" xfId="35616"/>
    <cellStyle name="Вывод 3 16" xfId="12091"/>
    <cellStyle name="Вывод 3 16 2" xfId="14989"/>
    <cellStyle name="Вывод 3 16 2 2" xfId="20272"/>
    <cellStyle name="Вывод 3 16 2 2 2" xfId="34082"/>
    <cellStyle name="Вывод 3 16 2 2 3" xfId="43950"/>
    <cellStyle name="Вывод 3 16 2 3" xfId="23543"/>
    <cellStyle name="Вывод 3 16 2 4" xfId="28809"/>
    <cellStyle name="Вывод 3 16 2 5" xfId="38684"/>
    <cellStyle name="Вывод 3 16 3" xfId="17535"/>
    <cellStyle name="Вывод 3 16 3 2" xfId="20578"/>
    <cellStyle name="Вывод 3 16 3 3" xfId="31345"/>
    <cellStyle name="Вывод 3 16 3 4" xfId="41218"/>
    <cellStyle name="Вывод 3 16 4" xfId="20914"/>
    <cellStyle name="Вывод 3 16 5" xfId="21470"/>
    <cellStyle name="Вывод 3 16 6" xfId="22663"/>
    <cellStyle name="Вывод 3 16 7" xfId="24167"/>
    <cellStyle name="Вывод 3 16 8" xfId="25965"/>
    <cellStyle name="Вывод 3 16 9" xfId="35840"/>
    <cellStyle name="Вывод 3 17" xfId="12171"/>
    <cellStyle name="Вывод 3 17 2" xfId="15069"/>
    <cellStyle name="Вывод 3 17 2 2" xfId="20352"/>
    <cellStyle name="Вывод 3 17 2 2 2" xfId="34162"/>
    <cellStyle name="Вывод 3 17 2 2 3" xfId="44030"/>
    <cellStyle name="Вывод 3 17 2 3" xfId="23623"/>
    <cellStyle name="Вывод 3 17 2 4" xfId="28889"/>
    <cellStyle name="Вывод 3 17 2 5" xfId="38764"/>
    <cellStyle name="Вывод 3 17 3" xfId="17551"/>
    <cellStyle name="Вывод 3 17 3 2" xfId="20642"/>
    <cellStyle name="Вывод 3 17 3 3" xfId="31361"/>
    <cellStyle name="Вывод 3 17 3 4" xfId="41234"/>
    <cellStyle name="Вывод 3 17 4" xfId="20978"/>
    <cellStyle name="Вывод 3 17 5" xfId="21550"/>
    <cellStyle name="Вывод 3 17 6" xfId="22743"/>
    <cellStyle name="Вывод 3 17 7" xfId="24247"/>
    <cellStyle name="Вывод 3 17 8" xfId="26045"/>
    <cellStyle name="Вывод 3 17 9" xfId="35920"/>
    <cellStyle name="Вывод 3 18" xfId="11665"/>
    <cellStyle name="Вывод 3 18 2" xfId="14563"/>
    <cellStyle name="Вывод 3 18 2 2" xfId="19846"/>
    <cellStyle name="Вывод 3 18 2 2 2" xfId="33656"/>
    <cellStyle name="Вывод 3 18 2 2 3" xfId="43524"/>
    <cellStyle name="Вывод 3 18 2 3" xfId="28383"/>
    <cellStyle name="Вывод 3 18 2 4" xfId="38258"/>
    <cellStyle name="Вывод 3 18 3" xfId="15796"/>
    <cellStyle name="Вывод 3 18 3 2" xfId="22836"/>
    <cellStyle name="Вывод 3 18 3 3" xfId="24428"/>
    <cellStyle name="Вывод 3 18 3 4" xfId="29615"/>
    <cellStyle name="Вывод 3 18 3 5" xfId="39490"/>
    <cellStyle name="Вывод 3 18 4" xfId="17453"/>
    <cellStyle name="Вывод 3 18 4 2" xfId="23316"/>
    <cellStyle name="Вывод 3 18 4 3" xfId="31263"/>
    <cellStyle name="Вывод 3 18 4 4" xfId="41136"/>
    <cellStyle name="Вывод 3 18 5" xfId="25539"/>
    <cellStyle name="Вывод 3 18 6" xfId="35414"/>
    <cellStyle name="Вывод 3 19" xfId="13292"/>
    <cellStyle name="Вывод 3 19 2" xfId="16093"/>
    <cellStyle name="Вывод 3 19 2 2" xfId="29911"/>
    <cellStyle name="Вывод 3 19 2 3" xfId="39786"/>
    <cellStyle name="Вывод 3 19 3" xfId="18624"/>
    <cellStyle name="Вывод 3 19 3 2" xfId="32434"/>
    <cellStyle name="Вывод 3 19 3 3" xfId="42306"/>
    <cellStyle name="Вывод 3 19 4" xfId="27165"/>
    <cellStyle name="Вывод 3 19 5" xfId="37040"/>
    <cellStyle name="Вывод 3 2" xfId="1333"/>
    <cellStyle name="Вывод 3 2 10" xfId="24678"/>
    <cellStyle name="Вывод 3 2 11" xfId="34299"/>
    <cellStyle name="Вывод 3 2 12" xfId="34588"/>
    <cellStyle name="Вывод 3 2 2" xfId="8013"/>
    <cellStyle name="Вывод 3 2 3" xfId="11964"/>
    <cellStyle name="Вывод 3 2 3 2" xfId="14862"/>
    <cellStyle name="Вывод 3 2 3 2 2" xfId="17076"/>
    <cellStyle name="Вывод 3 2 3 2 2 2" xfId="23128"/>
    <cellStyle name="Вывод 3 2 3 2 2 3" xfId="30890"/>
    <cellStyle name="Вывод 3 2 3 2 2 4" xfId="40765"/>
    <cellStyle name="Вывод 3 2 3 2 3" xfId="20145"/>
    <cellStyle name="Вывод 3 2 3 2 3 2" xfId="33955"/>
    <cellStyle name="Вывод 3 2 3 2 3 3" xfId="43823"/>
    <cellStyle name="Вывод 3 2 3 2 4" xfId="28682"/>
    <cellStyle name="Вывод 3 2 3 2 5" xfId="38557"/>
    <cellStyle name="Вывод 3 2 3 3" xfId="14340"/>
    <cellStyle name="Вывод 3 2 3 3 2" xfId="19623"/>
    <cellStyle name="Вывод 3 2 3 3 2 2" xfId="33433"/>
    <cellStyle name="Вывод 3 2 3 3 2 3" xfId="43302"/>
    <cellStyle name="Вывод 3 2 3 3 3" xfId="28161"/>
    <cellStyle name="Вывод 3 2 3 3 4" xfId="38036"/>
    <cellStyle name="Вывод 3 2 3 4" xfId="17512"/>
    <cellStyle name="Вывод 3 2 3 4 2" xfId="20803"/>
    <cellStyle name="Вывод 3 2 3 4 3" xfId="31322"/>
    <cellStyle name="Вывод 3 2 3 4 4" xfId="41195"/>
    <cellStyle name="Вывод 3 2 3 5" xfId="21359"/>
    <cellStyle name="Вывод 3 2 3 6" xfId="22552"/>
    <cellStyle name="Вывод 3 2 3 7" xfId="24040"/>
    <cellStyle name="Вывод 3 2 3 8" xfId="25838"/>
    <cellStyle name="Вывод 3 2 3 9" xfId="35713"/>
    <cellStyle name="Вывод 3 2 4" xfId="11666"/>
    <cellStyle name="Вывод 3 2 4 2" xfId="14564"/>
    <cellStyle name="Вывод 3 2 4 2 2" xfId="19847"/>
    <cellStyle name="Вывод 3 2 4 2 2 2" xfId="33657"/>
    <cellStyle name="Вывод 3 2 4 2 2 3" xfId="43525"/>
    <cellStyle name="Вывод 3 2 4 2 3" xfId="28384"/>
    <cellStyle name="Вывод 3 2 4 2 4" xfId="38259"/>
    <cellStyle name="Вывод 3 2 4 3" xfId="15797"/>
    <cellStyle name="Вывод 3 2 4 3 2" xfId="22920"/>
    <cellStyle name="Вывод 3 2 4 3 3" xfId="24429"/>
    <cellStyle name="Вывод 3 2 4 3 4" xfId="29616"/>
    <cellStyle name="Вывод 3 2 4 3 5" xfId="39491"/>
    <cellStyle name="Вывод 3 2 4 4" xfId="17454"/>
    <cellStyle name="Вывод 3 2 4 4 2" xfId="23400"/>
    <cellStyle name="Вывод 3 2 4 4 3" xfId="31264"/>
    <cellStyle name="Вывод 3 2 4 4 4" xfId="41137"/>
    <cellStyle name="Вывод 3 2 4 5" xfId="25540"/>
    <cellStyle name="Вывод 3 2 4 6" xfId="35415"/>
    <cellStyle name="Вывод 3 2 5" xfId="12288"/>
    <cellStyle name="Вывод 3 2 5 2" xfId="17620"/>
    <cellStyle name="Вывод 3 2 5 2 2" xfId="31430"/>
    <cellStyle name="Вывод 3 2 5 2 3" xfId="41303"/>
    <cellStyle name="Вывод 3 2 5 3" xfId="20467"/>
    <cellStyle name="Вывод 3 2 5 4" xfId="24325"/>
    <cellStyle name="Вывод 3 2 5 5" xfId="26162"/>
    <cellStyle name="Вывод 3 2 5 6" xfId="36037"/>
    <cellStyle name="Вывод 3 2 6" xfId="13293"/>
    <cellStyle name="Вывод 3 2 6 2" xfId="16094"/>
    <cellStyle name="Вывод 3 2 6 2 2" xfId="29912"/>
    <cellStyle name="Вывод 3 2 6 2 3" xfId="39787"/>
    <cellStyle name="Вывод 3 2 6 3" xfId="18625"/>
    <cellStyle name="Вывод 3 2 6 3 2" xfId="32435"/>
    <cellStyle name="Вывод 3 2 6 3 3" xfId="42307"/>
    <cellStyle name="Вывод 3 2 6 4" xfId="27166"/>
    <cellStyle name="Вывод 3 2 6 5" xfId="37041"/>
    <cellStyle name="Вывод 3 2 7" xfId="13143"/>
    <cellStyle name="Вывод 3 2 7 2" xfId="18475"/>
    <cellStyle name="Вывод 3 2 7 2 2" xfId="32285"/>
    <cellStyle name="Вывод 3 2 7 2 3" xfId="42157"/>
    <cellStyle name="Вывод 3 2 7 3" xfId="27016"/>
    <cellStyle name="Вывод 3 2 7 4" xfId="36891"/>
    <cellStyle name="Вывод 3 2 8" xfId="17248"/>
    <cellStyle name="Вывод 3 2 8 2" xfId="21219"/>
    <cellStyle name="Вывод 3 2 8 3" xfId="31059"/>
    <cellStyle name="Вывод 3 2 8 4" xfId="40933"/>
    <cellStyle name="Вывод 3 2 9" xfId="23762"/>
    <cellStyle name="Вывод 3 20" xfId="13142"/>
    <cellStyle name="Вывод 3 20 2" xfId="18474"/>
    <cellStyle name="Вывод 3 20 2 2" xfId="32284"/>
    <cellStyle name="Вывод 3 20 2 3" xfId="42156"/>
    <cellStyle name="Вывод 3 20 3" xfId="27015"/>
    <cellStyle name="Вывод 3 20 4" xfId="36890"/>
    <cellStyle name="Вывод 3 21" xfId="17247"/>
    <cellStyle name="Вывод 3 21 2" xfId="21169"/>
    <cellStyle name="Вывод 3 21 3" xfId="31058"/>
    <cellStyle name="Вывод 3 21 4" xfId="40932"/>
    <cellStyle name="Вывод 3 22" xfId="23761"/>
    <cellStyle name="Вывод 3 23" xfId="24677"/>
    <cellStyle name="Вывод 3 24" xfId="34298"/>
    <cellStyle name="Вывод 3 25" xfId="34589"/>
    <cellStyle name="Вывод 3 3" xfId="1334"/>
    <cellStyle name="Вывод 3 3 10" xfId="24679"/>
    <cellStyle name="Вывод 3 3 11" xfId="34300"/>
    <cellStyle name="Вывод 3 3 12" xfId="34587"/>
    <cellStyle name="Вывод 3 3 2" xfId="8014"/>
    <cellStyle name="Вывод 3 3 3" xfId="11965"/>
    <cellStyle name="Вывод 3 3 3 2" xfId="14863"/>
    <cellStyle name="Вывод 3 3 3 2 2" xfId="17077"/>
    <cellStyle name="Вывод 3 3 3 2 2 2" xfId="23129"/>
    <cellStyle name="Вывод 3 3 3 2 2 3" xfId="30891"/>
    <cellStyle name="Вывод 3 3 3 2 2 4" xfId="40766"/>
    <cellStyle name="Вывод 3 3 3 2 3" xfId="20146"/>
    <cellStyle name="Вывод 3 3 3 2 3 2" xfId="33956"/>
    <cellStyle name="Вывод 3 3 3 2 3 3" xfId="43824"/>
    <cellStyle name="Вывод 3 3 3 2 4" xfId="28683"/>
    <cellStyle name="Вывод 3 3 3 2 5" xfId="38558"/>
    <cellStyle name="Вывод 3 3 3 3" xfId="14341"/>
    <cellStyle name="Вывод 3 3 3 3 2" xfId="19624"/>
    <cellStyle name="Вывод 3 3 3 3 2 2" xfId="33434"/>
    <cellStyle name="Вывод 3 3 3 3 2 3" xfId="43303"/>
    <cellStyle name="Вывод 3 3 3 3 3" xfId="28162"/>
    <cellStyle name="Вывод 3 3 3 3 4" xfId="38037"/>
    <cellStyle name="Вывод 3 3 3 4" xfId="17513"/>
    <cellStyle name="Вывод 3 3 3 4 2" xfId="20804"/>
    <cellStyle name="Вывод 3 3 3 4 3" xfId="31323"/>
    <cellStyle name="Вывод 3 3 3 4 4" xfId="41196"/>
    <cellStyle name="Вывод 3 3 3 5" xfId="21360"/>
    <cellStyle name="Вывод 3 3 3 6" xfId="22553"/>
    <cellStyle name="Вывод 3 3 3 7" xfId="24041"/>
    <cellStyle name="Вывод 3 3 3 8" xfId="25839"/>
    <cellStyle name="Вывод 3 3 3 9" xfId="35714"/>
    <cellStyle name="Вывод 3 3 4" xfId="11667"/>
    <cellStyle name="Вывод 3 3 4 2" xfId="14565"/>
    <cellStyle name="Вывод 3 3 4 2 2" xfId="19848"/>
    <cellStyle name="Вывод 3 3 4 2 2 2" xfId="33658"/>
    <cellStyle name="Вывод 3 3 4 2 2 3" xfId="43526"/>
    <cellStyle name="Вывод 3 3 4 2 3" xfId="28385"/>
    <cellStyle name="Вывод 3 3 4 2 4" xfId="38260"/>
    <cellStyle name="Вывод 3 3 4 3" xfId="15798"/>
    <cellStyle name="Вывод 3 3 4 3 2" xfId="22921"/>
    <cellStyle name="Вывод 3 3 4 3 3" xfId="24430"/>
    <cellStyle name="Вывод 3 3 4 3 4" xfId="29617"/>
    <cellStyle name="Вывод 3 3 4 3 5" xfId="39492"/>
    <cellStyle name="Вывод 3 3 4 4" xfId="17455"/>
    <cellStyle name="Вывод 3 3 4 4 2" xfId="23401"/>
    <cellStyle name="Вывод 3 3 4 4 3" xfId="31265"/>
    <cellStyle name="Вывод 3 3 4 4 4" xfId="41138"/>
    <cellStyle name="Вывод 3 3 4 5" xfId="25541"/>
    <cellStyle name="Вывод 3 3 4 6" xfId="35416"/>
    <cellStyle name="Вывод 3 3 5" xfId="12289"/>
    <cellStyle name="Вывод 3 3 5 2" xfId="17621"/>
    <cellStyle name="Вывод 3 3 5 2 2" xfId="31431"/>
    <cellStyle name="Вывод 3 3 5 2 3" xfId="41304"/>
    <cellStyle name="Вывод 3 3 5 3" xfId="20468"/>
    <cellStyle name="Вывод 3 3 5 4" xfId="24326"/>
    <cellStyle name="Вывод 3 3 5 5" xfId="26163"/>
    <cellStyle name="Вывод 3 3 5 6" xfId="36038"/>
    <cellStyle name="Вывод 3 3 6" xfId="13294"/>
    <cellStyle name="Вывод 3 3 6 2" xfId="16095"/>
    <cellStyle name="Вывод 3 3 6 2 2" xfId="29913"/>
    <cellStyle name="Вывод 3 3 6 2 3" xfId="39788"/>
    <cellStyle name="Вывод 3 3 6 3" xfId="18626"/>
    <cellStyle name="Вывод 3 3 6 3 2" xfId="32436"/>
    <cellStyle name="Вывод 3 3 6 3 3" xfId="42308"/>
    <cellStyle name="Вывод 3 3 6 4" xfId="27167"/>
    <cellStyle name="Вывод 3 3 6 5" xfId="37042"/>
    <cellStyle name="Вывод 3 3 7" xfId="13144"/>
    <cellStyle name="Вывод 3 3 7 2" xfId="18476"/>
    <cellStyle name="Вывод 3 3 7 2 2" xfId="32286"/>
    <cellStyle name="Вывод 3 3 7 2 3" xfId="42158"/>
    <cellStyle name="Вывод 3 3 7 3" xfId="27017"/>
    <cellStyle name="Вывод 3 3 7 4" xfId="36892"/>
    <cellStyle name="Вывод 3 3 8" xfId="17249"/>
    <cellStyle name="Вывод 3 3 8 2" xfId="21220"/>
    <cellStyle name="Вывод 3 3 8 3" xfId="31060"/>
    <cellStyle name="Вывод 3 3 8 4" xfId="40934"/>
    <cellStyle name="Вывод 3 3 9" xfId="23763"/>
    <cellStyle name="Вывод 3 4" xfId="8007"/>
    <cellStyle name="Вывод 3 5" xfId="8015"/>
    <cellStyle name="Вывод 3 6" xfId="8016"/>
    <cellStyle name="Вывод 3 7" xfId="8017"/>
    <cellStyle name="Вывод 3 8" xfId="8018"/>
    <cellStyle name="Вывод 3 9" xfId="8019"/>
    <cellStyle name="Вывод 4" xfId="1335"/>
    <cellStyle name="Вывод 4 10" xfId="8021"/>
    <cellStyle name="Вывод 4 11" xfId="8022"/>
    <cellStyle name="Вывод 4 12" xfId="8023"/>
    <cellStyle name="Вывод 4 13" xfId="8024"/>
    <cellStyle name="Вывод 4 14" xfId="8025"/>
    <cellStyle name="Вывод 4 15" xfId="11868"/>
    <cellStyle name="Вывод 4 15 2" xfId="14766"/>
    <cellStyle name="Вывод 4 15 2 2" xfId="16980"/>
    <cellStyle name="Вывод 4 15 2 2 2" xfId="23032"/>
    <cellStyle name="Вывод 4 15 2 2 3" xfId="30794"/>
    <cellStyle name="Вывод 4 15 2 2 4" xfId="40669"/>
    <cellStyle name="Вывод 4 15 2 3" xfId="20049"/>
    <cellStyle name="Вывод 4 15 2 3 2" xfId="33859"/>
    <cellStyle name="Вывод 4 15 2 3 3" xfId="43727"/>
    <cellStyle name="Вывод 4 15 2 4" xfId="28586"/>
    <cellStyle name="Вывод 4 15 2 5" xfId="38461"/>
    <cellStyle name="Вывод 4 15 3" xfId="14280"/>
    <cellStyle name="Вывод 4 15 3 2" xfId="19563"/>
    <cellStyle name="Вывод 4 15 3 2 2" xfId="33373"/>
    <cellStyle name="Вывод 4 15 3 2 3" xfId="43242"/>
    <cellStyle name="Вывод 4 15 3 3" xfId="28101"/>
    <cellStyle name="Вывод 4 15 3 4" xfId="37976"/>
    <cellStyle name="Вывод 4 15 4" xfId="17484"/>
    <cellStyle name="Вывод 4 15 4 2" xfId="20707"/>
    <cellStyle name="Вывод 4 15 4 3" xfId="31294"/>
    <cellStyle name="Вывод 4 15 4 4" xfId="41167"/>
    <cellStyle name="Вывод 4 15 5" xfId="21263"/>
    <cellStyle name="Вывод 4 15 6" xfId="22440"/>
    <cellStyle name="Вывод 4 15 7" xfId="23928"/>
    <cellStyle name="Вывод 4 15 8" xfId="25742"/>
    <cellStyle name="Вывод 4 15 9" xfId="35617"/>
    <cellStyle name="Вывод 4 16" xfId="12092"/>
    <cellStyle name="Вывод 4 16 2" xfId="14990"/>
    <cellStyle name="Вывод 4 16 2 2" xfId="20273"/>
    <cellStyle name="Вывод 4 16 2 2 2" xfId="34083"/>
    <cellStyle name="Вывод 4 16 2 2 3" xfId="43951"/>
    <cellStyle name="Вывод 4 16 2 3" xfId="23544"/>
    <cellStyle name="Вывод 4 16 2 4" xfId="28810"/>
    <cellStyle name="Вывод 4 16 2 5" xfId="38685"/>
    <cellStyle name="Вывод 4 16 3" xfId="17536"/>
    <cellStyle name="Вывод 4 16 3 2" xfId="20579"/>
    <cellStyle name="Вывод 4 16 3 3" xfId="31346"/>
    <cellStyle name="Вывод 4 16 3 4" xfId="41219"/>
    <cellStyle name="Вывод 4 16 4" xfId="20915"/>
    <cellStyle name="Вывод 4 16 5" xfId="21471"/>
    <cellStyle name="Вывод 4 16 6" xfId="22664"/>
    <cellStyle name="Вывод 4 16 7" xfId="24168"/>
    <cellStyle name="Вывод 4 16 8" xfId="25966"/>
    <cellStyle name="Вывод 4 16 9" xfId="35841"/>
    <cellStyle name="Вывод 4 17" xfId="12172"/>
    <cellStyle name="Вывод 4 17 2" xfId="15070"/>
    <cellStyle name="Вывод 4 17 2 2" xfId="20353"/>
    <cellStyle name="Вывод 4 17 2 2 2" xfId="34163"/>
    <cellStyle name="Вывод 4 17 2 2 3" xfId="44031"/>
    <cellStyle name="Вывод 4 17 2 3" xfId="23624"/>
    <cellStyle name="Вывод 4 17 2 4" xfId="28890"/>
    <cellStyle name="Вывод 4 17 2 5" xfId="38765"/>
    <cellStyle name="Вывод 4 17 3" xfId="17552"/>
    <cellStyle name="Вывод 4 17 3 2" xfId="20643"/>
    <cellStyle name="Вывод 4 17 3 3" xfId="31362"/>
    <cellStyle name="Вывод 4 17 3 4" xfId="41235"/>
    <cellStyle name="Вывод 4 17 4" xfId="20979"/>
    <cellStyle name="Вывод 4 17 5" xfId="21551"/>
    <cellStyle name="Вывод 4 17 6" xfId="22744"/>
    <cellStyle name="Вывод 4 17 7" xfId="24248"/>
    <cellStyle name="Вывод 4 17 8" xfId="26046"/>
    <cellStyle name="Вывод 4 17 9" xfId="35921"/>
    <cellStyle name="Вывод 4 18" xfId="11668"/>
    <cellStyle name="Вывод 4 18 2" xfId="14566"/>
    <cellStyle name="Вывод 4 18 2 2" xfId="19849"/>
    <cellStyle name="Вывод 4 18 2 2 2" xfId="33659"/>
    <cellStyle name="Вывод 4 18 2 2 3" xfId="43527"/>
    <cellStyle name="Вывод 4 18 2 3" xfId="28386"/>
    <cellStyle name="Вывод 4 18 2 4" xfId="38261"/>
    <cellStyle name="Вывод 4 18 3" xfId="15799"/>
    <cellStyle name="Вывод 4 18 3 2" xfId="22835"/>
    <cellStyle name="Вывод 4 18 3 3" xfId="24431"/>
    <cellStyle name="Вывод 4 18 3 4" xfId="29618"/>
    <cellStyle name="Вывод 4 18 3 5" xfId="39493"/>
    <cellStyle name="Вывод 4 18 4" xfId="17456"/>
    <cellStyle name="Вывод 4 18 4 2" xfId="23315"/>
    <cellStyle name="Вывод 4 18 4 3" xfId="31266"/>
    <cellStyle name="Вывод 4 18 4 4" xfId="41139"/>
    <cellStyle name="Вывод 4 18 5" xfId="25542"/>
    <cellStyle name="Вывод 4 18 6" xfId="35417"/>
    <cellStyle name="Вывод 4 19" xfId="13295"/>
    <cellStyle name="Вывод 4 19 2" xfId="16096"/>
    <cellStyle name="Вывод 4 19 2 2" xfId="29914"/>
    <cellStyle name="Вывод 4 19 2 3" xfId="39789"/>
    <cellStyle name="Вывод 4 19 3" xfId="18627"/>
    <cellStyle name="Вывод 4 19 3 2" xfId="32437"/>
    <cellStyle name="Вывод 4 19 3 3" xfId="42309"/>
    <cellStyle name="Вывод 4 19 4" xfId="27168"/>
    <cellStyle name="Вывод 4 19 5" xfId="37043"/>
    <cellStyle name="Вывод 4 2" xfId="1336"/>
    <cellStyle name="Вывод 4 2 10" xfId="24681"/>
    <cellStyle name="Вывод 4 2 11" xfId="34302"/>
    <cellStyle name="Вывод 4 2 12" xfId="34585"/>
    <cellStyle name="Вывод 4 2 2" xfId="8026"/>
    <cellStyle name="Вывод 4 2 3" xfId="11966"/>
    <cellStyle name="Вывод 4 2 3 2" xfId="14864"/>
    <cellStyle name="Вывод 4 2 3 2 2" xfId="17078"/>
    <cellStyle name="Вывод 4 2 3 2 2 2" xfId="23130"/>
    <cellStyle name="Вывод 4 2 3 2 2 3" xfId="30892"/>
    <cellStyle name="Вывод 4 2 3 2 2 4" xfId="40767"/>
    <cellStyle name="Вывод 4 2 3 2 3" xfId="20147"/>
    <cellStyle name="Вывод 4 2 3 2 3 2" xfId="33957"/>
    <cellStyle name="Вывод 4 2 3 2 3 3" xfId="43825"/>
    <cellStyle name="Вывод 4 2 3 2 4" xfId="28684"/>
    <cellStyle name="Вывод 4 2 3 2 5" xfId="38559"/>
    <cellStyle name="Вывод 4 2 3 3" xfId="14342"/>
    <cellStyle name="Вывод 4 2 3 3 2" xfId="19625"/>
    <cellStyle name="Вывод 4 2 3 3 2 2" xfId="33435"/>
    <cellStyle name="Вывод 4 2 3 3 2 3" xfId="43304"/>
    <cellStyle name="Вывод 4 2 3 3 3" xfId="28163"/>
    <cellStyle name="Вывод 4 2 3 3 4" xfId="38038"/>
    <cellStyle name="Вывод 4 2 3 4" xfId="17514"/>
    <cellStyle name="Вывод 4 2 3 4 2" xfId="20805"/>
    <cellStyle name="Вывод 4 2 3 4 3" xfId="31324"/>
    <cellStyle name="Вывод 4 2 3 4 4" xfId="41197"/>
    <cellStyle name="Вывод 4 2 3 5" xfId="21361"/>
    <cellStyle name="Вывод 4 2 3 6" xfId="22554"/>
    <cellStyle name="Вывод 4 2 3 7" xfId="24042"/>
    <cellStyle name="Вывод 4 2 3 8" xfId="25840"/>
    <cellStyle name="Вывод 4 2 3 9" xfId="35715"/>
    <cellStyle name="Вывод 4 2 4" xfId="11669"/>
    <cellStyle name="Вывод 4 2 4 2" xfId="14567"/>
    <cellStyle name="Вывод 4 2 4 2 2" xfId="19850"/>
    <cellStyle name="Вывод 4 2 4 2 2 2" xfId="33660"/>
    <cellStyle name="Вывод 4 2 4 2 2 3" xfId="43528"/>
    <cellStyle name="Вывод 4 2 4 2 3" xfId="28387"/>
    <cellStyle name="Вывод 4 2 4 2 4" xfId="38262"/>
    <cellStyle name="Вывод 4 2 4 3" xfId="15800"/>
    <cellStyle name="Вывод 4 2 4 3 2" xfId="22922"/>
    <cellStyle name="Вывод 4 2 4 3 3" xfId="24432"/>
    <cellStyle name="Вывод 4 2 4 3 4" xfId="29619"/>
    <cellStyle name="Вывод 4 2 4 3 5" xfId="39494"/>
    <cellStyle name="Вывод 4 2 4 4" xfId="17457"/>
    <cellStyle name="Вывод 4 2 4 4 2" xfId="23402"/>
    <cellStyle name="Вывод 4 2 4 4 3" xfId="31267"/>
    <cellStyle name="Вывод 4 2 4 4 4" xfId="41140"/>
    <cellStyle name="Вывод 4 2 4 5" xfId="25543"/>
    <cellStyle name="Вывод 4 2 4 6" xfId="35418"/>
    <cellStyle name="Вывод 4 2 5" xfId="12290"/>
    <cellStyle name="Вывод 4 2 5 2" xfId="17622"/>
    <cellStyle name="Вывод 4 2 5 2 2" xfId="31432"/>
    <cellStyle name="Вывод 4 2 5 2 3" xfId="41305"/>
    <cellStyle name="Вывод 4 2 5 3" xfId="20469"/>
    <cellStyle name="Вывод 4 2 5 4" xfId="24327"/>
    <cellStyle name="Вывод 4 2 5 5" xfId="26164"/>
    <cellStyle name="Вывод 4 2 5 6" xfId="36039"/>
    <cellStyle name="Вывод 4 2 6" xfId="13296"/>
    <cellStyle name="Вывод 4 2 6 2" xfId="16097"/>
    <cellStyle name="Вывод 4 2 6 2 2" xfId="29915"/>
    <cellStyle name="Вывод 4 2 6 2 3" xfId="39790"/>
    <cellStyle name="Вывод 4 2 6 3" xfId="18628"/>
    <cellStyle name="Вывод 4 2 6 3 2" xfId="32438"/>
    <cellStyle name="Вывод 4 2 6 3 3" xfId="42310"/>
    <cellStyle name="Вывод 4 2 6 4" xfId="27169"/>
    <cellStyle name="Вывод 4 2 6 5" xfId="37044"/>
    <cellStyle name="Вывод 4 2 7" xfId="13146"/>
    <cellStyle name="Вывод 4 2 7 2" xfId="18478"/>
    <cellStyle name="Вывод 4 2 7 2 2" xfId="32288"/>
    <cellStyle name="Вывод 4 2 7 2 3" xfId="42160"/>
    <cellStyle name="Вывод 4 2 7 3" xfId="27019"/>
    <cellStyle name="Вывод 4 2 7 4" xfId="36894"/>
    <cellStyle name="Вывод 4 2 8" xfId="17251"/>
    <cellStyle name="Вывод 4 2 8 2" xfId="21221"/>
    <cellStyle name="Вывод 4 2 8 3" xfId="31062"/>
    <cellStyle name="Вывод 4 2 8 4" xfId="40936"/>
    <cellStyle name="Вывод 4 2 9" xfId="23765"/>
    <cellStyle name="Вывод 4 20" xfId="13145"/>
    <cellStyle name="Вывод 4 20 2" xfId="18477"/>
    <cellStyle name="Вывод 4 20 2 2" xfId="32287"/>
    <cellStyle name="Вывод 4 20 2 3" xfId="42159"/>
    <cellStyle name="Вывод 4 20 3" xfId="27018"/>
    <cellStyle name="Вывод 4 20 4" xfId="36893"/>
    <cellStyle name="Вывод 4 21" xfId="17250"/>
    <cellStyle name="Вывод 4 21 2" xfId="21168"/>
    <cellStyle name="Вывод 4 21 3" xfId="31061"/>
    <cellStyle name="Вывод 4 21 4" xfId="40935"/>
    <cellStyle name="Вывод 4 22" xfId="23764"/>
    <cellStyle name="Вывод 4 23" xfId="24680"/>
    <cellStyle name="Вывод 4 24" xfId="34301"/>
    <cellStyle name="Вывод 4 25" xfId="34586"/>
    <cellStyle name="Вывод 4 3" xfId="1337"/>
    <cellStyle name="Вывод 4 3 10" xfId="24682"/>
    <cellStyle name="Вывод 4 3 11" xfId="34303"/>
    <cellStyle name="Вывод 4 3 12" xfId="34584"/>
    <cellStyle name="Вывод 4 3 2" xfId="8027"/>
    <cellStyle name="Вывод 4 3 3" xfId="11967"/>
    <cellStyle name="Вывод 4 3 3 2" xfId="14865"/>
    <cellStyle name="Вывод 4 3 3 2 2" xfId="17079"/>
    <cellStyle name="Вывод 4 3 3 2 2 2" xfId="23131"/>
    <cellStyle name="Вывод 4 3 3 2 2 3" xfId="30893"/>
    <cellStyle name="Вывод 4 3 3 2 2 4" xfId="40768"/>
    <cellStyle name="Вывод 4 3 3 2 3" xfId="20148"/>
    <cellStyle name="Вывод 4 3 3 2 3 2" xfId="33958"/>
    <cellStyle name="Вывод 4 3 3 2 3 3" xfId="43826"/>
    <cellStyle name="Вывод 4 3 3 2 4" xfId="28685"/>
    <cellStyle name="Вывод 4 3 3 2 5" xfId="38560"/>
    <cellStyle name="Вывод 4 3 3 3" xfId="14458"/>
    <cellStyle name="Вывод 4 3 3 3 2" xfId="19741"/>
    <cellStyle name="Вывод 4 3 3 3 2 2" xfId="33551"/>
    <cellStyle name="Вывод 4 3 3 3 2 3" xfId="43419"/>
    <cellStyle name="Вывод 4 3 3 3 3" xfId="28278"/>
    <cellStyle name="Вывод 4 3 3 3 4" xfId="38153"/>
    <cellStyle name="Вывод 4 3 3 4" xfId="17515"/>
    <cellStyle name="Вывод 4 3 3 4 2" xfId="20806"/>
    <cellStyle name="Вывод 4 3 3 4 3" xfId="31325"/>
    <cellStyle name="Вывод 4 3 3 4 4" xfId="41198"/>
    <cellStyle name="Вывод 4 3 3 5" xfId="21362"/>
    <cellStyle name="Вывод 4 3 3 6" xfId="22555"/>
    <cellStyle name="Вывод 4 3 3 7" xfId="24043"/>
    <cellStyle name="Вывод 4 3 3 8" xfId="25841"/>
    <cellStyle name="Вывод 4 3 3 9" xfId="35716"/>
    <cellStyle name="Вывод 4 3 4" xfId="11670"/>
    <cellStyle name="Вывод 4 3 4 2" xfId="14568"/>
    <cellStyle name="Вывод 4 3 4 2 2" xfId="19851"/>
    <cellStyle name="Вывод 4 3 4 2 2 2" xfId="33661"/>
    <cellStyle name="Вывод 4 3 4 2 2 3" xfId="43529"/>
    <cellStyle name="Вывод 4 3 4 2 3" xfId="28388"/>
    <cellStyle name="Вывод 4 3 4 2 4" xfId="38263"/>
    <cellStyle name="Вывод 4 3 4 3" xfId="15801"/>
    <cellStyle name="Вывод 4 3 4 3 2" xfId="22923"/>
    <cellStyle name="Вывод 4 3 4 3 3" xfId="24433"/>
    <cellStyle name="Вывод 4 3 4 3 4" xfId="29620"/>
    <cellStyle name="Вывод 4 3 4 3 5" xfId="39495"/>
    <cellStyle name="Вывод 4 3 4 4" xfId="17458"/>
    <cellStyle name="Вывод 4 3 4 4 2" xfId="23403"/>
    <cellStyle name="Вывод 4 3 4 4 3" xfId="31268"/>
    <cellStyle name="Вывод 4 3 4 4 4" xfId="41141"/>
    <cellStyle name="Вывод 4 3 4 5" xfId="25544"/>
    <cellStyle name="Вывод 4 3 4 6" xfId="35419"/>
    <cellStyle name="Вывод 4 3 5" xfId="12291"/>
    <cellStyle name="Вывод 4 3 5 2" xfId="17623"/>
    <cellStyle name="Вывод 4 3 5 2 2" xfId="31433"/>
    <cellStyle name="Вывод 4 3 5 2 3" xfId="41306"/>
    <cellStyle name="Вывод 4 3 5 3" xfId="20470"/>
    <cellStyle name="Вывод 4 3 5 4" xfId="24328"/>
    <cellStyle name="Вывод 4 3 5 5" xfId="26165"/>
    <cellStyle name="Вывод 4 3 5 6" xfId="36040"/>
    <cellStyle name="Вывод 4 3 6" xfId="13297"/>
    <cellStyle name="Вывод 4 3 6 2" xfId="16098"/>
    <cellStyle name="Вывод 4 3 6 2 2" xfId="29916"/>
    <cellStyle name="Вывод 4 3 6 2 3" xfId="39791"/>
    <cellStyle name="Вывод 4 3 6 3" xfId="18629"/>
    <cellStyle name="Вывод 4 3 6 3 2" xfId="32439"/>
    <cellStyle name="Вывод 4 3 6 3 3" xfId="42311"/>
    <cellStyle name="Вывод 4 3 6 4" xfId="27170"/>
    <cellStyle name="Вывод 4 3 6 5" xfId="37045"/>
    <cellStyle name="Вывод 4 3 7" xfId="13147"/>
    <cellStyle name="Вывод 4 3 7 2" xfId="18479"/>
    <cellStyle name="Вывод 4 3 7 2 2" xfId="32289"/>
    <cellStyle name="Вывод 4 3 7 2 3" xfId="42161"/>
    <cellStyle name="Вывод 4 3 7 3" xfId="27020"/>
    <cellStyle name="Вывод 4 3 7 4" xfId="36895"/>
    <cellStyle name="Вывод 4 3 8" xfId="17252"/>
    <cellStyle name="Вывод 4 3 8 2" xfId="21222"/>
    <cellStyle name="Вывод 4 3 8 3" xfId="31063"/>
    <cellStyle name="Вывод 4 3 8 4" xfId="40937"/>
    <cellStyle name="Вывод 4 3 9" xfId="23766"/>
    <cellStyle name="Вывод 4 4" xfId="8020"/>
    <cellStyle name="Вывод 4 5" xfId="8028"/>
    <cellStyle name="Вывод 4 6" xfId="8029"/>
    <cellStyle name="Вывод 4 7" xfId="8030"/>
    <cellStyle name="Вывод 4 8" xfId="8031"/>
    <cellStyle name="Вывод 4 9" xfId="8032"/>
    <cellStyle name="Вывод 5" xfId="1338"/>
    <cellStyle name="Вывод 5 10" xfId="8034"/>
    <cellStyle name="Вывод 5 11" xfId="8035"/>
    <cellStyle name="Вывод 5 12" xfId="8036"/>
    <cellStyle name="Вывод 5 13" xfId="8037"/>
    <cellStyle name="Вывод 5 14" xfId="8038"/>
    <cellStyle name="Вывод 5 15" xfId="11869"/>
    <cellStyle name="Вывод 5 15 2" xfId="14767"/>
    <cellStyle name="Вывод 5 15 2 2" xfId="16981"/>
    <cellStyle name="Вывод 5 15 2 2 2" xfId="23033"/>
    <cellStyle name="Вывод 5 15 2 2 3" xfId="30795"/>
    <cellStyle name="Вывод 5 15 2 2 4" xfId="40670"/>
    <cellStyle name="Вывод 5 15 2 3" xfId="20050"/>
    <cellStyle name="Вывод 5 15 2 3 2" xfId="33860"/>
    <cellStyle name="Вывод 5 15 2 3 3" xfId="43728"/>
    <cellStyle name="Вывод 5 15 2 4" xfId="28587"/>
    <cellStyle name="Вывод 5 15 2 5" xfId="38462"/>
    <cellStyle name="Вывод 5 15 3" xfId="14281"/>
    <cellStyle name="Вывод 5 15 3 2" xfId="19564"/>
    <cellStyle name="Вывод 5 15 3 2 2" xfId="33374"/>
    <cellStyle name="Вывод 5 15 3 2 3" xfId="43243"/>
    <cellStyle name="Вывод 5 15 3 3" xfId="28102"/>
    <cellStyle name="Вывод 5 15 3 4" xfId="37977"/>
    <cellStyle name="Вывод 5 15 4" xfId="17485"/>
    <cellStyle name="Вывод 5 15 4 2" xfId="20708"/>
    <cellStyle name="Вывод 5 15 4 3" xfId="31295"/>
    <cellStyle name="Вывод 5 15 4 4" xfId="41168"/>
    <cellStyle name="Вывод 5 15 5" xfId="21264"/>
    <cellStyle name="Вывод 5 15 6" xfId="22441"/>
    <cellStyle name="Вывод 5 15 7" xfId="23929"/>
    <cellStyle name="Вывод 5 15 8" xfId="25743"/>
    <cellStyle name="Вывод 5 15 9" xfId="35618"/>
    <cellStyle name="Вывод 5 16" xfId="12093"/>
    <cellStyle name="Вывод 5 16 2" xfId="14991"/>
    <cellStyle name="Вывод 5 16 2 2" xfId="20274"/>
    <cellStyle name="Вывод 5 16 2 2 2" xfId="34084"/>
    <cellStyle name="Вывод 5 16 2 2 3" xfId="43952"/>
    <cellStyle name="Вывод 5 16 2 3" xfId="23545"/>
    <cellStyle name="Вывод 5 16 2 4" xfId="28811"/>
    <cellStyle name="Вывод 5 16 2 5" xfId="38686"/>
    <cellStyle name="Вывод 5 16 3" xfId="17537"/>
    <cellStyle name="Вывод 5 16 3 2" xfId="20580"/>
    <cellStyle name="Вывод 5 16 3 3" xfId="31347"/>
    <cellStyle name="Вывод 5 16 3 4" xfId="41220"/>
    <cellStyle name="Вывод 5 16 4" xfId="20916"/>
    <cellStyle name="Вывод 5 16 5" xfId="21472"/>
    <cellStyle name="Вывод 5 16 6" xfId="22665"/>
    <cellStyle name="Вывод 5 16 7" xfId="24169"/>
    <cellStyle name="Вывод 5 16 8" xfId="25967"/>
    <cellStyle name="Вывод 5 16 9" xfId="35842"/>
    <cellStyle name="Вывод 5 17" xfId="12173"/>
    <cellStyle name="Вывод 5 17 2" xfId="15071"/>
    <cellStyle name="Вывод 5 17 2 2" xfId="20354"/>
    <cellStyle name="Вывод 5 17 2 2 2" xfId="34164"/>
    <cellStyle name="Вывод 5 17 2 2 3" xfId="44032"/>
    <cellStyle name="Вывод 5 17 2 3" xfId="23625"/>
    <cellStyle name="Вывод 5 17 2 4" xfId="28891"/>
    <cellStyle name="Вывод 5 17 2 5" xfId="38766"/>
    <cellStyle name="Вывод 5 17 3" xfId="17553"/>
    <cellStyle name="Вывод 5 17 3 2" xfId="20644"/>
    <cellStyle name="Вывод 5 17 3 3" xfId="31363"/>
    <cellStyle name="Вывод 5 17 3 4" xfId="41236"/>
    <cellStyle name="Вывод 5 17 4" xfId="20980"/>
    <cellStyle name="Вывод 5 17 5" xfId="21552"/>
    <cellStyle name="Вывод 5 17 6" xfId="22745"/>
    <cellStyle name="Вывод 5 17 7" xfId="24249"/>
    <cellStyle name="Вывод 5 17 8" xfId="26047"/>
    <cellStyle name="Вывод 5 17 9" xfId="35922"/>
    <cellStyle name="Вывод 5 18" xfId="11671"/>
    <cellStyle name="Вывод 5 18 2" xfId="14569"/>
    <cellStyle name="Вывод 5 18 2 2" xfId="19852"/>
    <cellStyle name="Вывод 5 18 2 2 2" xfId="33662"/>
    <cellStyle name="Вывод 5 18 2 2 3" xfId="43530"/>
    <cellStyle name="Вывод 5 18 2 3" xfId="28389"/>
    <cellStyle name="Вывод 5 18 2 4" xfId="38264"/>
    <cellStyle name="Вывод 5 18 3" xfId="15802"/>
    <cellStyle name="Вывод 5 18 3 2" xfId="22834"/>
    <cellStyle name="Вывод 5 18 3 3" xfId="24434"/>
    <cellStyle name="Вывод 5 18 3 4" xfId="29621"/>
    <cellStyle name="Вывод 5 18 3 5" xfId="39496"/>
    <cellStyle name="Вывод 5 18 4" xfId="17459"/>
    <cellStyle name="Вывод 5 18 4 2" xfId="23314"/>
    <cellStyle name="Вывод 5 18 4 3" xfId="31269"/>
    <cellStyle name="Вывод 5 18 4 4" xfId="41142"/>
    <cellStyle name="Вывод 5 18 5" xfId="25545"/>
    <cellStyle name="Вывод 5 18 6" xfId="35420"/>
    <cellStyle name="Вывод 5 19" xfId="13298"/>
    <cellStyle name="Вывод 5 19 2" xfId="16099"/>
    <cellStyle name="Вывод 5 19 2 2" xfId="29917"/>
    <cellStyle name="Вывод 5 19 2 3" xfId="39792"/>
    <cellStyle name="Вывод 5 19 3" xfId="18630"/>
    <cellStyle name="Вывод 5 19 3 2" xfId="32440"/>
    <cellStyle name="Вывод 5 19 3 3" xfId="42312"/>
    <cellStyle name="Вывод 5 19 4" xfId="27171"/>
    <cellStyle name="Вывод 5 19 5" xfId="37046"/>
    <cellStyle name="Вывод 5 2" xfId="1339"/>
    <cellStyle name="Вывод 5 2 10" xfId="24684"/>
    <cellStyle name="Вывод 5 2 11" xfId="34305"/>
    <cellStyle name="Вывод 5 2 12" xfId="34582"/>
    <cellStyle name="Вывод 5 2 2" xfId="8039"/>
    <cellStyle name="Вывод 5 2 3" xfId="11968"/>
    <cellStyle name="Вывод 5 2 3 2" xfId="14866"/>
    <cellStyle name="Вывод 5 2 3 2 2" xfId="17080"/>
    <cellStyle name="Вывод 5 2 3 2 2 2" xfId="23132"/>
    <cellStyle name="Вывод 5 2 3 2 2 3" xfId="30894"/>
    <cellStyle name="Вывод 5 2 3 2 2 4" xfId="40769"/>
    <cellStyle name="Вывод 5 2 3 2 3" xfId="20149"/>
    <cellStyle name="Вывод 5 2 3 2 3 2" xfId="33959"/>
    <cellStyle name="Вывод 5 2 3 2 3 3" xfId="43827"/>
    <cellStyle name="Вывод 5 2 3 2 4" xfId="28686"/>
    <cellStyle name="Вывод 5 2 3 2 5" xfId="38561"/>
    <cellStyle name="Вывод 5 2 3 3" xfId="13029"/>
    <cellStyle name="Вывод 5 2 3 3 2" xfId="18361"/>
    <cellStyle name="Вывод 5 2 3 3 2 2" xfId="32171"/>
    <cellStyle name="Вывод 5 2 3 3 2 3" xfId="42044"/>
    <cellStyle name="Вывод 5 2 3 3 3" xfId="26903"/>
    <cellStyle name="Вывод 5 2 3 3 4" xfId="36778"/>
    <cellStyle name="Вывод 5 2 3 4" xfId="17516"/>
    <cellStyle name="Вывод 5 2 3 4 2" xfId="20807"/>
    <cellStyle name="Вывод 5 2 3 4 3" xfId="31326"/>
    <cellStyle name="Вывод 5 2 3 4 4" xfId="41199"/>
    <cellStyle name="Вывод 5 2 3 5" xfId="21363"/>
    <cellStyle name="Вывод 5 2 3 6" xfId="22556"/>
    <cellStyle name="Вывод 5 2 3 7" xfId="24044"/>
    <cellStyle name="Вывод 5 2 3 8" xfId="25842"/>
    <cellStyle name="Вывод 5 2 3 9" xfId="35717"/>
    <cellStyle name="Вывод 5 2 4" xfId="11672"/>
    <cellStyle name="Вывод 5 2 4 2" xfId="14570"/>
    <cellStyle name="Вывод 5 2 4 2 2" xfId="19853"/>
    <cellStyle name="Вывод 5 2 4 2 2 2" xfId="33663"/>
    <cellStyle name="Вывод 5 2 4 2 2 3" xfId="43531"/>
    <cellStyle name="Вывод 5 2 4 2 3" xfId="28390"/>
    <cellStyle name="Вывод 5 2 4 2 4" xfId="38265"/>
    <cellStyle name="Вывод 5 2 4 3" xfId="15803"/>
    <cellStyle name="Вывод 5 2 4 3 2" xfId="22924"/>
    <cellStyle name="Вывод 5 2 4 3 3" xfId="24435"/>
    <cellStyle name="Вывод 5 2 4 3 4" xfId="29622"/>
    <cellStyle name="Вывод 5 2 4 3 5" xfId="39497"/>
    <cellStyle name="Вывод 5 2 4 4" xfId="17460"/>
    <cellStyle name="Вывод 5 2 4 4 2" xfId="23404"/>
    <cellStyle name="Вывод 5 2 4 4 3" xfId="31270"/>
    <cellStyle name="Вывод 5 2 4 4 4" xfId="41143"/>
    <cellStyle name="Вывод 5 2 4 5" xfId="25546"/>
    <cellStyle name="Вывод 5 2 4 6" xfId="35421"/>
    <cellStyle name="Вывод 5 2 5" xfId="12292"/>
    <cellStyle name="Вывод 5 2 5 2" xfId="17624"/>
    <cellStyle name="Вывод 5 2 5 2 2" xfId="31434"/>
    <cellStyle name="Вывод 5 2 5 2 3" xfId="41307"/>
    <cellStyle name="Вывод 5 2 5 3" xfId="20471"/>
    <cellStyle name="Вывод 5 2 5 4" xfId="24329"/>
    <cellStyle name="Вывод 5 2 5 5" xfId="26166"/>
    <cellStyle name="Вывод 5 2 5 6" xfId="36041"/>
    <cellStyle name="Вывод 5 2 6" xfId="13299"/>
    <cellStyle name="Вывод 5 2 6 2" xfId="16100"/>
    <cellStyle name="Вывод 5 2 6 2 2" xfId="29918"/>
    <cellStyle name="Вывод 5 2 6 2 3" xfId="39793"/>
    <cellStyle name="Вывод 5 2 6 3" xfId="18631"/>
    <cellStyle name="Вывод 5 2 6 3 2" xfId="32441"/>
    <cellStyle name="Вывод 5 2 6 3 3" xfId="42313"/>
    <cellStyle name="Вывод 5 2 6 4" xfId="27172"/>
    <cellStyle name="Вывод 5 2 6 5" xfId="37047"/>
    <cellStyle name="Вывод 5 2 7" xfId="13149"/>
    <cellStyle name="Вывод 5 2 7 2" xfId="18481"/>
    <cellStyle name="Вывод 5 2 7 2 2" xfId="32291"/>
    <cellStyle name="Вывод 5 2 7 2 3" xfId="42163"/>
    <cellStyle name="Вывод 5 2 7 3" xfId="27022"/>
    <cellStyle name="Вывод 5 2 7 4" xfId="36897"/>
    <cellStyle name="Вывод 5 2 8" xfId="17254"/>
    <cellStyle name="Вывод 5 2 8 2" xfId="21223"/>
    <cellStyle name="Вывод 5 2 8 3" xfId="31065"/>
    <cellStyle name="Вывод 5 2 8 4" xfId="40939"/>
    <cellStyle name="Вывод 5 2 9" xfId="23768"/>
    <cellStyle name="Вывод 5 20" xfId="13148"/>
    <cellStyle name="Вывод 5 20 2" xfId="18480"/>
    <cellStyle name="Вывод 5 20 2 2" xfId="32290"/>
    <cellStyle name="Вывод 5 20 2 3" xfId="42162"/>
    <cellStyle name="Вывод 5 20 3" xfId="27021"/>
    <cellStyle name="Вывод 5 20 4" xfId="36896"/>
    <cellStyle name="Вывод 5 21" xfId="17253"/>
    <cellStyle name="Вывод 5 21 2" xfId="21167"/>
    <cellStyle name="Вывод 5 21 3" xfId="31064"/>
    <cellStyle name="Вывод 5 21 4" xfId="40938"/>
    <cellStyle name="Вывод 5 22" xfId="23767"/>
    <cellStyle name="Вывод 5 23" xfId="24683"/>
    <cellStyle name="Вывод 5 24" xfId="34304"/>
    <cellStyle name="Вывод 5 25" xfId="34583"/>
    <cellStyle name="Вывод 5 3" xfId="1340"/>
    <cellStyle name="Вывод 5 3 10" xfId="24685"/>
    <cellStyle name="Вывод 5 3 11" xfId="34306"/>
    <cellStyle name="Вывод 5 3 12" xfId="34581"/>
    <cellStyle name="Вывод 5 3 2" xfId="8040"/>
    <cellStyle name="Вывод 5 3 3" xfId="11969"/>
    <cellStyle name="Вывод 5 3 3 2" xfId="14867"/>
    <cellStyle name="Вывод 5 3 3 2 2" xfId="17081"/>
    <cellStyle name="Вывод 5 3 3 2 2 2" xfId="23133"/>
    <cellStyle name="Вывод 5 3 3 2 2 3" xfId="30895"/>
    <cellStyle name="Вывод 5 3 3 2 2 4" xfId="40770"/>
    <cellStyle name="Вывод 5 3 3 2 3" xfId="20150"/>
    <cellStyle name="Вывод 5 3 3 2 3 2" xfId="33960"/>
    <cellStyle name="Вывод 5 3 3 2 3 3" xfId="43828"/>
    <cellStyle name="Вывод 5 3 3 2 4" xfId="28687"/>
    <cellStyle name="Вывод 5 3 3 2 5" xfId="38562"/>
    <cellStyle name="Вывод 5 3 3 3" xfId="14343"/>
    <cellStyle name="Вывод 5 3 3 3 2" xfId="19626"/>
    <cellStyle name="Вывод 5 3 3 3 2 2" xfId="33436"/>
    <cellStyle name="Вывод 5 3 3 3 2 3" xfId="43305"/>
    <cellStyle name="Вывод 5 3 3 3 3" xfId="28164"/>
    <cellStyle name="Вывод 5 3 3 3 4" xfId="38039"/>
    <cellStyle name="Вывод 5 3 3 4" xfId="17517"/>
    <cellStyle name="Вывод 5 3 3 4 2" xfId="20808"/>
    <cellStyle name="Вывод 5 3 3 4 3" xfId="31327"/>
    <cellStyle name="Вывод 5 3 3 4 4" xfId="41200"/>
    <cellStyle name="Вывод 5 3 3 5" xfId="21364"/>
    <cellStyle name="Вывод 5 3 3 6" xfId="22557"/>
    <cellStyle name="Вывод 5 3 3 7" xfId="24045"/>
    <cellStyle name="Вывод 5 3 3 8" xfId="25843"/>
    <cellStyle name="Вывод 5 3 3 9" xfId="35718"/>
    <cellStyle name="Вывод 5 3 4" xfId="11673"/>
    <cellStyle name="Вывод 5 3 4 2" xfId="14571"/>
    <cellStyle name="Вывод 5 3 4 2 2" xfId="19854"/>
    <cellStyle name="Вывод 5 3 4 2 2 2" xfId="33664"/>
    <cellStyle name="Вывод 5 3 4 2 2 3" xfId="43532"/>
    <cellStyle name="Вывод 5 3 4 2 3" xfId="28391"/>
    <cellStyle name="Вывод 5 3 4 2 4" xfId="38266"/>
    <cellStyle name="Вывод 5 3 4 3" xfId="15804"/>
    <cellStyle name="Вывод 5 3 4 3 2" xfId="22925"/>
    <cellStyle name="Вывод 5 3 4 3 3" xfId="24436"/>
    <cellStyle name="Вывод 5 3 4 3 4" xfId="29623"/>
    <cellStyle name="Вывод 5 3 4 3 5" xfId="39498"/>
    <cellStyle name="Вывод 5 3 4 4" xfId="17461"/>
    <cellStyle name="Вывод 5 3 4 4 2" xfId="23405"/>
    <cellStyle name="Вывод 5 3 4 4 3" xfId="31271"/>
    <cellStyle name="Вывод 5 3 4 4 4" xfId="41144"/>
    <cellStyle name="Вывод 5 3 4 5" xfId="25547"/>
    <cellStyle name="Вывод 5 3 4 6" xfId="35422"/>
    <cellStyle name="Вывод 5 3 5" xfId="12293"/>
    <cellStyle name="Вывод 5 3 5 2" xfId="17625"/>
    <cellStyle name="Вывод 5 3 5 2 2" xfId="31435"/>
    <cellStyle name="Вывод 5 3 5 2 3" xfId="41308"/>
    <cellStyle name="Вывод 5 3 5 3" xfId="20472"/>
    <cellStyle name="Вывод 5 3 5 4" xfId="24330"/>
    <cellStyle name="Вывод 5 3 5 5" xfId="26167"/>
    <cellStyle name="Вывод 5 3 5 6" xfId="36042"/>
    <cellStyle name="Вывод 5 3 6" xfId="13300"/>
    <cellStyle name="Вывод 5 3 6 2" xfId="16101"/>
    <cellStyle name="Вывод 5 3 6 2 2" xfId="29919"/>
    <cellStyle name="Вывод 5 3 6 2 3" xfId="39794"/>
    <cellStyle name="Вывод 5 3 6 3" xfId="18632"/>
    <cellStyle name="Вывод 5 3 6 3 2" xfId="32442"/>
    <cellStyle name="Вывод 5 3 6 3 3" xfId="42314"/>
    <cellStyle name="Вывод 5 3 6 4" xfId="27173"/>
    <cellStyle name="Вывод 5 3 6 5" xfId="37048"/>
    <cellStyle name="Вывод 5 3 7" xfId="13150"/>
    <cellStyle name="Вывод 5 3 7 2" xfId="18482"/>
    <cellStyle name="Вывод 5 3 7 2 2" xfId="32292"/>
    <cellStyle name="Вывод 5 3 7 2 3" xfId="42164"/>
    <cellStyle name="Вывод 5 3 7 3" xfId="27023"/>
    <cellStyle name="Вывод 5 3 7 4" xfId="36898"/>
    <cellStyle name="Вывод 5 3 8" xfId="17255"/>
    <cellStyle name="Вывод 5 3 8 2" xfId="21224"/>
    <cellStyle name="Вывод 5 3 8 3" xfId="31066"/>
    <cellStyle name="Вывод 5 3 8 4" xfId="40940"/>
    <cellStyle name="Вывод 5 3 9" xfId="23769"/>
    <cellStyle name="Вывод 5 4" xfId="8033"/>
    <cellStyle name="Вывод 5 5" xfId="8041"/>
    <cellStyle name="Вывод 5 6" xfId="8042"/>
    <cellStyle name="Вывод 5 7" xfId="8043"/>
    <cellStyle name="Вывод 5 8" xfId="8044"/>
    <cellStyle name="Вывод 5 9" xfId="8045"/>
    <cellStyle name="Вывод 6" xfId="1341"/>
    <cellStyle name="Вывод 6 10" xfId="8047"/>
    <cellStyle name="Вывод 6 11" xfId="8048"/>
    <cellStyle name="Вывод 6 12" xfId="8049"/>
    <cellStyle name="Вывод 6 13" xfId="8050"/>
    <cellStyle name="Вывод 6 14" xfId="8051"/>
    <cellStyle name="Вывод 6 15" xfId="11870"/>
    <cellStyle name="Вывод 6 15 2" xfId="14768"/>
    <cellStyle name="Вывод 6 15 2 2" xfId="16982"/>
    <cellStyle name="Вывод 6 15 2 2 2" xfId="23034"/>
    <cellStyle name="Вывод 6 15 2 2 3" xfId="30796"/>
    <cellStyle name="Вывод 6 15 2 2 4" xfId="40671"/>
    <cellStyle name="Вывод 6 15 2 3" xfId="20051"/>
    <cellStyle name="Вывод 6 15 2 3 2" xfId="33861"/>
    <cellStyle name="Вывод 6 15 2 3 3" xfId="43729"/>
    <cellStyle name="Вывод 6 15 2 4" xfId="28588"/>
    <cellStyle name="Вывод 6 15 2 5" xfId="38463"/>
    <cellStyle name="Вывод 6 15 3" xfId="14282"/>
    <cellStyle name="Вывод 6 15 3 2" xfId="19565"/>
    <cellStyle name="Вывод 6 15 3 2 2" xfId="33375"/>
    <cellStyle name="Вывод 6 15 3 2 3" xfId="43244"/>
    <cellStyle name="Вывод 6 15 3 3" xfId="28103"/>
    <cellStyle name="Вывод 6 15 3 4" xfId="37978"/>
    <cellStyle name="Вывод 6 15 4" xfId="17486"/>
    <cellStyle name="Вывод 6 15 4 2" xfId="20709"/>
    <cellStyle name="Вывод 6 15 4 3" xfId="31296"/>
    <cellStyle name="Вывод 6 15 4 4" xfId="41169"/>
    <cellStyle name="Вывод 6 15 5" xfId="21265"/>
    <cellStyle name="Вывод 6 15 6" xfId="22442"/>
    <cellStyle name="Вывод 6 15 7" xfId="23930"/>
    <cellStyle name="Вывод 6 15 8" xfId="25744"/>
    <cellStyle name="Вывод 6 15 9" xfId="35619"/>
    <cellStyle name="Вывод 6 16" xfId="12094"/>
    <cellStyle name="Вывод 6 16 2" xfId="14992"/>
    <cellStyle name="Вывод 6 16 2 2" xfId="20275"/>
    <cellStyle name="Вывод 6 16 2 2 2" xfId="34085"/>
    <cellStyle name="Вывод 6 16 2 2 3" xfId="43953"/>
    <cellStyle name="Вывод 6 16 2 3" xfId="23546"/>
    <cellStyle name="Вывод 6 16 2 4" xfId="28812"/>
    <cellStyle name="Вывод 6 16 2 5" xfId="38687"/>
    <cellStyle name="Вывод 6 16 3" xfId="17538"/>
    <cellStyle name="Вывод 6 16 3 2" xfId="20581"/>
    <cellStyle name="Вывод 6 16 3 3" xfId="31348"/>
    <cellStyle name="Вывод 6 16 3 4" xfId="41221"/>
    <cellStyle name="Вывод 6 16 4" xfId="20917"/>
    <cellStyle name="Вывод 6 16 5" xfId="21473"/>
    <cellStyle name="Вывод 6 16 6" xfId="22666"/>
    <cellStyle name="Вывод 6 16 7" xfId="24170"/>
    <cellStyle name="Вывод 6 16 8" xfId="25968"/>
    <cellStyle name="Вывод 6 16 9" xfId="35843"/>
    <cellStyle name="Вывод 6 17" xfId="12174"/>
    <cellStyle name="Вывод 6 17 2" xfId="15072"/>
    <cellStyle name="Вывод 6 17 2 2" xfId="20355"/>
    <cellStyle name="Вывод 6 17 2 2 2" xfId="34165"/>
    <cellStyle name="Вывод 6 17 2 2 3" xfId="44033"/>
    <cellStyle name="Вывод 6 17 2 3" xfId="23626"/>
    <cellStyle name="Вывод 6 17 2 4" xfId="28892"/>
    <cellStyle name="Вывод 6 17 2 5" xfId="38767"/>
    <cellStyle name="Вывод 6 17 3" xfId="17554"/>
    <cellStyle name="Вывод 6 17 3 2" xfId="20645"/>
    <cellStyle name="Вывод 6 17 3 3" xfId="31364"/>
    <cellStyle name="Вывод 6 17 3 4" xfId="41237"/>
    <cellStyle name="Вывод 6 17 4" xfId="20981"/>
    <cellStyle name="Вывод 6 17 5" xfId="21553"/>
    <cellStyle name="Вывод 6 17 6" xfId="22746"/>
    <cellStyle name="Вывод 6 17 7" xfId="24250"/>
    <cellStyle name="Вывод 6 17 8" xfId="26048"/>
    <cellStyle name="Вывод 6 17 9" xfId="35923"/>
    <cellStyle name="Вывод 6 18" xfId="11674"/>
    <cellStyle name="Вывод 6 18 2" xfId="14572"/>
    <cellStyle name="Вывод 6 18 2 2" xfId="19855"/>
    <cellStyle name="Вывод 6 18 2 2 2" xfId="33665"/>
    <cellStyle name="Вывод 6 18 2 2 3" xfId="43533"/>
    <cellStyle name="Вывод 6 18 2 3" xfId="28392"/>
    <cellStyle name="Вывод 6 18 2 4" xfId="38267"/>
    <cellStyle name="Вывод 6 18 3" xfId="15805"/>
    <cellStyle name="Вывод 6 18 3 2" xfId="22833"/>
    <cellStyle name="Вывод 6 18 3 3" xfId="24437"/>
    <cellStyle name="Вывод 6 18 3 4" xfId="29624"/>
    <cellStyle name="Вывод 6 18 3 5" xfId="39499"/>
    <cellStyle name="Вывод 6 18 4" xfId="17462"/>
    <cellStyle name="Вывод 6 18 4 2" xfId="23313"/>
    <cellStyle name="Вывод 6 18 4 3" xfId="31272"/>
    <cellStyle name="Вывод 6 18 4 4" xfId="41145"/>
    <cellStyle name="Вывод 6 18 5" xfId="25548"/>
    <cellStyle name="Вывод 6 18 6" xfId="35423"/>
    <cellStyle name="Вывод 6 19" xfId="13301"/>
    <cellStyle name="Вывод 6 19 2" xfId="16102"/>
    <cellStyle name="Вывод 6 19 2 2" xfId="29920"/>
    <cellStyle name="Вывод 6 19 2 3" xfId="39795"/>
    <cellStyle name="Вывод 6 19 3" xfId="18633"/>
    <cellStyle name="Вывод 6 19 3 2" xfId="32443"/>
    <cellStyle name="Вывод 6 19 3 3" xfId="42315"/>
    <cellStyle name="Вывод 6 19 4" xfId="27174"/>
    <cellStyle name="Вывод 6 19 5" xfId="37049"/>
    <cellStyle name="Вывод 6 2" xfId="1342"/>
    <cellStyle name="Вывод 6 2 10" xfId="24687"/>
    <cellStyle name="Вывод 6 2 11" xfId="34308"/>
    <cellStyle name="Вывод 6 2 12" xfId="34579"/>
    <cellStyle name="Вывод 6 2 2" xfId="8052"/>
    <cellStyle name="Вывод 6 2 3" xfId="11970"/>
    <cellStyle name="Вывод 6 2 3 2" xfId="14868"/>
    <cellStyle name="Вывод 6 2 3 2 2" xfId="17082"/>
    <cellStyle name="Вывод 6 2 3 2 2 2" xfId="23134"/>
    <cellStyle name="Вывод 6 2 3 2 2 3" xfId="30896"/>
    <cellStyle name="Вывод 6 2 3 2 2 4" xfId="40771"/>
    <cellStyle name="Вывод 6 2 3 2 3" xfId="20151"/>
    <cellStyle name="Вывод 6 2 3 2 3 2" xfId="33961"/>
    <cellStyle name="Вывод 6 2 3 2 3 3" xfId="43829"/>
    <cellStyle name="Вывод 6 2 3 2 4" xfId="28688"/>
    <cellStyle name="Вывод 6 2 3 2 5" xfId="38563"/>
    <cellStyle name="Вывод 6 2 3 3" xfId="13028"/>
    <cellStyle name="Вывод 6 2 3 3 2" xfId="18360"/>
    <cellStyle name="Вывод 6 2 3 3 2 2" xfId="32170"/>
    <cellStyle name="Вывод 6 2 3 3 2 3" xfId="42043"/>
    <cellStyle name="Вывод 6 2 3 3 3" xfId="26902"/>
    <cellStyle name="Вывод 6 2 3 3 4" xfId="36777"/>
    <cellStyle name="Вывод 6 2 3 4" xfId="17518"/>
    <cellStyle name="Вывод 6 2 3 4 2" xfId="20809"/>
    <cellStyle name="Вывод 6 2 3 4 3" xfId="31328"/>
    <cellStyle name="Вывод 6 2 3 4 4" xfId="41201"/>
    <cellStyle name="Вывод 6 2 3 5" xfId="21365"/>
    <cellStyle name="Вывод 6 2 3 6" xfId="22558"/>
    <cellStyle name="Вывод 6 2 3 7" xfId="24046"/>
    <cellStyle name="Вывод 6 2 3 8" xfId="25844"/>
    <cellStyle name="Вывод 6 2 3 9" xfId="35719"/>
    <cellStyle name="Вывод 6 2 4" xfId="11675"/>
    <cellStyle name="Вывод 6 2 4 2" xfId="14573"/>
    <cellStyle name="Вывод 6 2 4 2 2" xfId="19856"/>
    <cellStyle name="Вывод 6 2 4 2 2 2" xfId="33666"/>
    <cellStyle name="Вывод 6 2 4 2 2 3" xfId="43534"/>
    <cellStyle name="Вывод 6 2 4 2 3" xfId="28393"/>
    <cellStyle name="Вывод 6 2 4 2 4" xfId="38268"/>
    <cellStyle name="Вывод 6 2 4 3" xfId="15806"/>
    <cellStyle name="Вывод 6 2 4 3 2" xfId="22926"/>
    <cellStyle name="Вывод 6 2 4 3 3" xfId="24438"/>
    <cellStyle name="Вывод 6 2 4 3 4" xfId="29625"/>
    <cellStyle name="Вывод 6 2 4 3 5" xfId="39500"/>
    <cellStyle name="Вывод 6 2 4 4" xfId="17463"/>
    <cellStyle name="Вывод 6 2 4 4 2" xfId="23406"/>
    <cellStyle name="Вывод 6 2 4 4 3" xfId="31273"/>
    <cellStyle name="Вывод 6 2 4 4 4" xfId="41146"/>
    <cellStyle name="Вывод 6 2 4 5" xfId="25549"/>
    <cellStyle name="Вывод 6 2 4 6" xfId="35424"/>
    <cellStyle name="Вывод 6 2 5" xfId="12294"/>
    <cellStyle name="Вывод 6 2 5 2" xfId="17626"/>
    <cellStyle name="Вывод 6 2 5 2 2" xfId="31436"/>
    <cellStyle name="Вывод 6 2 5 2 3" xfId="41309"/>
    <cellStyle name="Вывод 6 2 5 3" xfId="20473"/>
    <cellStyle name="Вывод 6 2 5 4" xfId="24331"/>
    <cellStyle name="Вывод 6 2 5 5" xfId="26168"/>
    <cellStyle name="Вывод 6 2 5 6" xfId="36043"/>
    <cellStyle name="Вывод 6 2 6" xfId="13302"/>
    <cellStyle name="Вывод 6 2 6 2" xfId="16103"/>
    <cellStyle name="Вывод 6 2 6 2 2" xfId="29921"/>
    <cellStyle name="Вывод 6 2 6 2 3" xfId="39796"/>
    <cellStyle name="Вывод 6 2 6 3" xfId="18634"/>
    <cellStyle name="Вывод 6 2 6 3 2" xfId="32444"/>
    <cellStyle name="Вывод 6 2 6 3 3" xfId="42316"/>
    <cellStyle name="Вывод 6 2 6 4" xfId="27175"/>
    <cellStyle name="Вывод 6 2 6 5" xfId="37050"/>
    <cellStyle name="Вывод 6 2 7" xfId="13152"/>
    <cellStyle name="Вывод 6 2 7 2" xfId="18484"/>
    <cellStyle name="Вывод 6 2 7 2 2" xfId="32294"/>
    <cellStyle name="Вывод 6 2 7 2 3" xfId="42166"/>
    <cellStyle name="Вывод 6 2 7 3" xfId="27025"/>
    <cellStyle name="Вывод 6 2 7 4" xfId="36900"/>
    <cellStyle name="Вывод 6 2 8" xfId="17257"/>
    <cellStyle name="Вывод 6 2 8 2" xfId="21225"/>
    <cellStyle name="Вывод 6 2 8 3" xfId="31068"/>
    <cellStyle name="Вывод 6 2 8 4" xfId="40942"/>
    <cellStyle name="Вывод 6 2 9" xfId="23771"/>
    <cellStyle name="Вывод 6 20" xfId="13151"/>
    <cellStyle name="Вывод 6 20 2" xfId="18483"/>
    <cellStyle name="Вывод 6 20 2 2" xfId="32293"/>
    <cellStyle name="Вывод 6 20 2 3" xfId="42165"/>
    <cellStyle name="Вывод 6 20 3" xfId="27024"/>
    <cellStyle name="Вывод 6 20 4" xfId="36899"/>
    <cellStyle name="Вывод 6 21" xfId="17256"/>
    <cellStyle name="Вывод 6 21 2" xfId="21166"/>
    <cellStyle name="Вывод 6 21 3" xfId="31067"/>
    <cellStyle name="Вывод 6 21 4" xfId="40941"/>
    <cellStyle name="Вывод 6 22" xfId="23770"/>
    <cellStyle name="Вывод 6 23" xfId="24686"/>
    <cellStyle name="Вывод 6 24" xfId="34307"/>
    <cellStyle name="Вывод 6 25" xfId="34580"/>
    <cellStyle name="Вывод 6 3" xfId="1343"/>
    <cellStyle name="Вывод 6 3 10" xfId="24688"/>
    <cellStyle name="Вывод 6 3 11" xfId="34309"/>
    <cellStyle name="Вывод 6 3 12" xfId="34578"/>
    <cellStyle name="Вывод 6 3 2" xfId="8053"/>
    <cellStyle name="Вывод 6 3 3" xfId="11971"/>
    <cellStyle name="Вывод 6 3 3 2" xfId="14869"/>
    <cellStyle name="Вывод 6 3 3 2 2" xfId="17083"/>
    <cellStyle name="Вывод 6 3 3 2 2 2" xfId="23135"/>
    <cellStyle name="Вывод 6 3 3 2 2 3" xfId="30897"/>
    <cellStyle name="Вывод 6 3 3 2 2 4" xfId="40772"/>
    <cellStyle name="Вывод 6 3 3 2 3" xfId="20152"/>
    <cellStyle name="Вывод 6 3 3 2 3 2" xfId="33962"/>
    <cellStyle name="Вывод 6 3 3 2 3 3" xfId="43830"/>
    <cellStyle name="Вывод 6 3 3 2 4" xfId="28689"/>
    <cellStyle name="Вывод 6 3 3 2 5" xfId="38564"/>
    <cellStyle name="Вывод 6 3 3 3" xfId="14344"/>
    <cellStyle name="Вывод 6 3 3 3 2" xfId="19627"/>
    <cellStyle name="Вывод 6 3 3 3 2 2" xfId="33437"/>
    <cellStyle name="Вывод 6 3 3 3 2 3" xfId="43306"/>
    <cellStyle name="Вывод 6 3 3 3 3" xfId="28165"/>
    <cellStyle name="Вывод 6 3 3 3 4" xfId="38040"/>
    <cellStyle name="Вывод 6 3 3 4" xfId="17519"/>
    <cellStyle name="Вывод 6 3 3 4 2" xfId="20810"/>
    <cellStyle name="Вывод 6 3 3 4 3" xfId="31329"/>
    <cellStyle name="Вывод 6 3 3 4 4" xfId="41202"/>
    <cellStyle name="Вывод 6 3 3 5" xfId="21366"/>
    <cellStyle name="Вывод 6 3 3 6" xfId="22559"/>
    <cellStyle name="Вывод 6 3 3 7" xfId="24047"/>
    <cellStyle name="Вывод 6 3 3 8" xfId="25845"/>
    <cellStyle name="Вывод 6 3 3 9" xfId="35720"/>
    <cellStyle name="Вывод 6 3 4" xfId="11676"/>
    <cellStyle name="Вывод 6 3 4 2" xfId="14574"/>
    <cellStyle name="Вывод 6 3 4 2 2" xfId="19857"/>
    <cellStyle name="Вывод 6 3 4 2 2 2" xfId="33667"/>
    <cellStyle name="Вывод 6 3 4 2 2 3" xfId="43535"/>
    <cellStyle name="Вывод 6 3 4 2 3" xfId="28394"/>
    <cellStyle name="Вывод 6 3 4 2 4" xfId="38269"/>
    <cellStyle name="Вывод 6 3 4 3" xfId="15807"/>
    <cellStyle name="Вывод 6 3 4 3 2" xfId="22927"/>
    <cellStyle name="Вывод 6 3 4 3 3" xfId="24439"/>
    <cellStyle name="Вывод 6 3 4 3 4" xfId="29626"/>
    <cellStyle name="Вывод 6 3 4 3 5" xfId="39501"/>
    <cellStyle name="Вывод 6 3 4 4" xfId="17464"/>
    <cellStyle name="Вывод 6 3 4 4 2" xfId="23407"/>
    <cellStyle name="Вывод 6 3 4 4 3" xfId="31274"/>
    <cellStyle name="Вывод 6 3 4 4 4" xfId="41147"/>
    <cellStyle name="Вывод 6 3 4 5" xfId="25550"/>
    <cellStyle name="Вывод 6 3 4 6" xfId="35425"/>
    <cellStyle name="Вывод 6 3 5" xfId="12295"/>
    <cellStyle name="Вывод 6 3 5 2" xfId="17627"/>
    <cellStyle name="Вывод 6 3 5 2 2" xfId="31437"/>
    <cellStyle name="Вывод 6 3 5 2 3" xfId="41310"/>
    <cellStyle name="Вывод 6 3 5 3" xfId="20474"/>
    <cellStyle name="Вывод 6 3 5 4" xfId="24332"/>
    <cellStyle name="Вывод 6 3 5 5" xfId="26169"/>
    <cellStyle name="Вывод 6 3 5 6" xfId="36044"/>
    <cellStyle name="Вывод 6 3 6" xfId="13303"/>
    <cellStyle name="Вывод 6 3 6 2" xfId="16104"/>
    <cellStyle name="Вывод 6 3 6 2 2" xfId="29922"/>
    <cellStyle name="Вывод 6 3 6 2 3" xfId="39797"/>
    <cellStyle name="Вывод 6 3 6 3" xfId="18635"/>
    <cellStyle name="Вывод 6 3 6 3 2" xfId="32445"/>
    <cellStyle name="Вывод 6 3 6 3 3" xfId="42317"/>
    <cellStyle name="Вывод 6 3 6 4" xfId="27176"/>
    <cellStyle name="Вывод 6 3 6 5" xfId="37051"/>
    <cellStyle name="Вывод 6 3 7" xfId="13153"/>
    <cellStyle name="Вывод 6 3 7 2" xfId="18485"/>
    <cellStyle name="Вывод 6 3 7 2 2" xfId="32295"/>
    <cellStyle name="Вывод 6 3 7 2 3" xfId="42167"/>
    <cellStyle name="Вывод 6 3 7 3" xfId="27026"/>
    <cellStyle name="Вывод 6 3 7 4" xfId="36901"/>
    <cellStyle name="Вывод 6 3 8" xfId="17258"/>
    <cellStyle name="Вывод 6 3 8 2" xfId="21226"/>
    <cellStyle name="Вывод 6 3 8 3" xfId="31069"/>
    <cellStyle name="Вывод 6 3 8 4" xfId="40943"/>
    <cellStyle name="Вывод 6 3 9" xfId="23772"/>
    <cellStyle name="Вывод 6 4" xfId="8046"/>
    <cellStyle name="Вывод 6 5" xfId="8054"/>
    <cellStyle name="Вывод 6 6" xfId="8055"/>
    <cellStyle name="Вывод 6 7" xfId="8056"/>
    <cellStyle name="Вывод 6 8" xfId="8057"/>
    <cellStyle name="Вывод 6 9" xfId="8058"/>
    <cellStyle name="Вывод 7" xfId="1344"/>
    <cellStyle name="Вывод 7 10" xfId="8060"/>
    <cellStyle name="Вывод 7 11" xfId="8061"/>
    <cellStyle name="Вывод 7 12" xfId="8062"/>
    <cellStyle name="Вывод 7 13" xfId="8063"/>
    <cellStyle name="Вывод 7 14" xfId="8064"/>
    <cellStyle name="Вывод 7 15" xfId="11871"/>
    <cellStyle name="Вывод 7 15 2" xfId="14769"/>
    <cellStyle name="Вывод 7 15 2 2" xfId="16983"/>
    <cellStyle name="Вывод 7 15 2 2 2" xfId="23035"/>
    <cellStyle name="Вывод 7 15 2 2 3" xfId="30797"/>
    <cellStyle name="Вывод 7 15 2 2 4" xfId="40672"/>
    <cellStyle name="Вывод 7 15 2 3" xfId="20052"/>
    <cellStyle name="Вывод 7 15 2 3 2" xfId="33862"/>
    <cellStyle name="Вывод 7 15 2 3 3" xfId="43730"/>
    <cellStyle name="Вывод 7 15 2 4" xfId="28589"/>
    <cellStyle name="Вывод 7 15 2 5" xfId="38464"/>
    <cellStyle name="Вывод 7 15 3" xfId="14283"/>
    <cellStyle name="Вывод 7 15 3 2" xfId="19566"/>
    <cellStyle name="Вывод 7 15 3 2 2" xfId="33376"/>
    <cellStyle name="Вывод 7 15 3 2 3" xfId="43245"/>
    <cellStyle name="Вывод 7 15 3 3" xfId="28104"/>
    <cellStyle name="Вывод 7 15 3 4" xfId="37979"/>
    <cellStyle name="Вывод 7 15 4" xfId="17487"/>
    <cellStyle name="Вывод 7 15 4 2" xfId="20710"/>
    <cellStyle name="Вывод 7 15 4 3" xfId="31297"/>
    <cellStyle name="Вывод 7 15 4 4" xfId="41170"/>
    <cellStyle name="Вывод 7 15 5" xfId="21266"/>
    <cellStyle name="Вывод 7 15 6" xfId="22443"/>
    <cellStyle name="Вывод 7 15 7" xfId="23931"/>
    <cellStyle name="Вывод 7 15 8" xfId="25745"/>
    <cellStyle name="Вывод 7 15 9" xfId="35620"/>
    <cellStyle name="Вывод 7 16" xfId="12095"/>
    <cellStyle name="Вывод 7 16 2" xfId="14993"/>
    <cellStyle name="Вывод 7 16 2 2" xfId="20276"/>
    <cellStyle name="Вывод 7 16 2 2 2" xfId="34086"/>
    <cellStyle name="Вывод 7 16 2 2 3" xfId="43954"/>
    <cellStyle name="Вывод 7 16 2 3" xfId="23547"/>
    <cellStyle name="Вывод 7 16 2 4" xfId="28813"/>
    <cellStyle name="Вывод 7 16 2 5" xfId="38688"/>
    <cellStyle name="Вывод 7 16 3" xfId="17539"/>
    <cellStyle name="Вывод 7 16 3 2" xfId="20582"/>
    <cellStyle name="Вывод 7 16 3 3" xfId="31349"/>
    <cellStyle name="Вывод 7 16 3 4" xfId="41222"/>
    <cellStyle name="Вывод 7 16 4" xfId="20918"/>
    <cellStyle name="Вывод 7 16 5" xfId="21474"/>
    <cellStyle name="Вывод 7 16 6" xfId="22667"/>
    <cellStyle name="Вывод 7 16 7" xfId="24171"/>
    <cellStyle name="Вывод 7 16 8" xfId="25969"/>
    <cellStyle name="Вывод 7 16 9" xfId="35844"/>
    <cellStyle name="Вывод 7 17" xfId="12175"/>
    <cellStyle name="Вывод 7 17 2" xfId="15073"/>
    <cellStyle name="Вывод 7 17 2 2" xfId="20356"/>
    <cellStyle name="Вывод 7 17 2 2 2" xfId="34166"/>
    <cellStyle name="Вывод 7 17 2 2 3" xfId="44034"/>
    <cellStyle name="Вывод 7 17 2 3" xfId="23627"/>
    <cellStyle name="Вывод 7 17 2 4" xfId="28893"/>
    <cellStyle name="Вывод 7 17 2 5" xfId="38768"/>
    <cellStyle name="Вывод 7 17 3" xfId="17555"/>
    <cellStyle name="Вывод 7 17 3 2" xfId="20646"/>
    <cellStyle name="Вывод 7 17 3 3" xfId="31365"/>
    <cellStyle name="Вывод 7 17 3 4" xfId="41238"/>
    <cellStyle name="Вывод 7 17 4" xfId="20982"/>
    <cellStyle name="Вывод 7 17 5" xfId="21554"/>
    <cellStyle name="Вывод 7 17 6" xfId="22747"/>
    <cellStyle name="Вывод 7 17 7" xfId="24251"/>
    <cellStyle name="Вывод 7 17 8" xfId="26049"/>
    <cellStyle name="Вывод 7 17 9" xfId="35924"/>
    <cellStyle name="Вывод 7 18" xfId="11677"/>
    <cellStyle name="Вывод 7 18 2" xfId="14575"/>
    <cellStyle name="Вывод 7 18 2 2" xfId="19858"/>
    <cellStyle name="Вывод 7 18 2 2 2" xfId="33668"/>
    <cellStyle name="Вывод 7 18 2 2 3" xfId="43536"/>
    <cellStyle name="Вывод 7 18 2 3" xfId="28395"/>
    <cellStyle name="Вывод 7 18 2 4" xfId="38270"/>
    <cellStyle name="Вывод 7 18 3" xfId="15808"/>
    <cellStyle name="Вывод 7 18 3 2" xfId="22832"/>
    <cellStyle name="Вывод 7 18 3 3" xfId="24440"/>
    <cellStyle name="Вывод 7 18 3 4" xfId="29627"/>
    <cellStyle name="Вывод 7 18 3 5" xfId="39502"/>
    <cellStyle name="Вывод 7 18 4" xfId="17465"/>
    <cellStyle name="Вывод 7 18 4 2" xfId="23312"/>
    <cellStyle name="Вывод 7 18 4 3" xfId="31275"/>
    <cellStyle name="Вывод 7 18 4 4" xfId="41148"/>
    <cellStyle name="Вывод 7 18 5" xfId="25551"/>
    <cellStyle name="Вывод 7 18 6" xfId="35426"/>
    <cellStyle name="Вывод 7 19" xfId="13304"/>
    <cellStyle name="Вывод 7 19 2" xfId="16105"/>
    <cellStyle name="Вывод 7 19 2 2" xfId="29923"/>
    <cellStyle name="Вывод 7 19 2 3" xfId="39798"/>
    <cellStyle name="Вывод 7 19 3" xfId="18636"/>
    <cellStyle name="Вывод 7 19 3 2" xfId="32446"/>
    <cellStyle name="Вывод 7 19 3 3" xfId="42318"/>
    <cellStyle name="Вывод 7 19 4" xfId="27177"/>
    <cellStyle name="Вывод 7 19 5" xfId="37052"/>
    <cellStyle name="Вывод 7 2" xfId="1345"/>
    <cellStyle name="Вывод 7 2 10" xfId="24690"/>
    <cellStyle name="Вывод 7 2 11" xfId="34311"/>
    <cellStyle name="Вывод 7 2 12" xfId="34576"/>
    <cellStyle name="Вывод 7 2 2" xfId="8065"/>
    <cellStyle name="Вывод 7 2 3" xfId="11972"/>
    <cellStyle name="Вывод 7 2 3 2" xfId="14870"/>
    <cellStyle name="Вывод 7 2 3 2 2" xfId="17084"/>
    <cellStyle name="Вывод 7 2 3 2 2 2" xfId="23136"/>
    <cellStyle name="Вывод 7 2 3 2 2 3" xfId="30898"/>
    <cellStyle name="Вывод 7 2 3 2 2 4" xfId="40773"/>
    <cellStyle name="Вывод 7 2 3 2 3" xfId="20153"/>
    <cellStyle name="Вывод 7 2 3 2 3 2" xfId="33963"/>
    <cellStyle name="Вывод 7 2 3 2 3 3" xfId="43831"/>
    <cellStyle name="Вывод 7 2 3 2 4" xfId="28690"/>
    <cellStyle name="Вывод 7 2 3 2 5" xfId="38565"/>
    <cellStyle name="Вывод 7 2 3 3" xfId="14337"/>
    <cellStyle name="Вывод 7 2 3 3 2" xfId="19620"/>
    <cellStyle name="Вывод 7 2 3 3 2 2" xfId="33430"/>
    <cellStyle name="Вывод 7 2 3 3 2 3" xfId="43299"/>
    <cellStyle name="Вывод 7 2 3 3 3" xfId="28158"/>
    <cellStyle name="Вывод 7 2 3 3 4" xfId="38033"/>
    <cellStyle name="Вывод 7 2 3 4" xfId="17520"/>
    <cellStyle name="Вывод 7 2 3 4 2" xfId="20811"/>
    <cellStyle name="Вывод 7 2 3 4 3" xfId="31330"/>
    <cellStyle name="Вывод 7 2 3 4 4" xfId="41203"/>
    <cellStyle name="Вывод 7 2 3 5" xfId="21367"/>
    <cellStyle name="Вывод 7 2 3 6" xfId="22560"/>
    <cellStyle name="Вывод 7 2 3 7" xfId="24048"/>
    <cellStyle name="Вывод 7 2 3 8" xfId="25846"/>
    <cellStyle name="Вывод 7 2 3 9" xfId="35721"/>
    <cellStyle name="Вывод 7 2 4" xfId="11678"/>
    <cellStyle name="Вывод 7 2 4 2" xfId="14576"/>
    <cellStyle name="Вывод 7 2 4 2 2" xfId="19859"/>
    <cellStyle name="Вывод 7 2 4 2 2 2" xfId="33669"/>
    <cellStyle name="Вывод 7 2 4 2 2 3" xfId="43537"/>
    <cellStyle name="Вывод 7 2 4 2 3" xfId="28396"/>
    <cellStyle name="Вывод 7 2 4 2 4" xfId="38271"/>
    <cellStyle name="Вывод 7 2 4 3" xfId="15809"/>
    <cellStyle name="Вывод 7 2 4 3 2" xfId="22928"/>
    <cellStyle name="Вывод 7 2 4 3 3" xfId="24441"/>
    <cellStyle name="Вывод 7 2 4 3 4" xfId="29628"/>
    <cellStyle name="Вывод 7 2 4 3 5" xfId="39503"/>
    <cellStyle name="Вывод 7 2 4 4" xfId="17466"/>
    <cellStyle name="Вывод 7 2 4 4 2" xfId="23408"/>
    <cellStyle name="Вывод 7 2 4 4 3" xfId="31276"/>
    <cellStyle name="Вывод 7 2 4 4 4" xfId="41149"/>
    <cellStyle name="Вывод 7 2 4 5" xfId="25552"/>
    <cellStyle name="Вывод 7 2 4 6" xfId="35427"/>
    <cellStyle name="Вывод 7 2 5" xfId="12296"/>
    <cellStyle name="Вывод 7 2 5 2" xfId="17628"/>
    <cellStyle name="Вывод 7 2 5 2 2" xfId="31438"/>
    <cellStyle name="Вывод 7 2 5 2 3" xfId="41311"/>
    <cellStyle name="Вывод 7 2 5 3" xfId="20475"/>
    <cellStyle name="Вывод 7 2 5 4" xfId="24333"/>
    <cellStyle name="Вывод 7 2 5 5" xfId="26170"/>
    <cellStyle name="Вывод 7 2 5 6" xfId="36045"/>
    <cellStyle name="Вывод 7 2 6" xfId="13305"/>
    <cellStyle name="Вывод 7 2 6 2" xfId="16106"/>
    <cellStyle name="Вывод 7 2 6 2 2" xfId="29924"/>
    <cellStyle name="Вывод 7 2 6 2 3" xfId="39799"/>
    <cellStyle name="Вывод 7 2 6 3" xfId="18637"/>
    <cellStyle name="Вывод 7 2 6 3 2" xfId="32447"/>
    <cellStyle name="Вывод 7 2 6 3 3" xfId="42319"/>
    <cellStyle name="Вывод 7 2 6 4" xfId="27178"/>
    <cellStyle name="Вывод 7 2 6 5" xfId="37053"/>
    <cellStyle name="Вывод 7 2 7" xfId="13155"/>
    <cellStyle name="Вывод 7 2 7 2" xfId="18487"/>
    <cellStyle name="Вывод 7 2 7 2 2" xfId="32297"/>
    <cellStyle name="Вывод 7 2 7 2 3" xfId="42169"/>
    <cellStyle name="Вывод 7 2 7 3" xfId="27028"/>
    <cellStyle name="Вывод 7 2 7 4" xfId="36903"/>
    <cellStyle name="Вывод 7 2 8" xfId="17260"/>
    <cellStyle name="Вывод 7 2 8 2" xfId="21227"/>
    <cellStyle name="Вывод 7 2 8 3" xfId="31071"/>
    <cellStyle name="Вывод 7 2 8 4" xfId="40945"/>
    <cellStyle name="Вывод 7 2 9" xfId="23774"/>
    <cellStyle name="Вывод 7 20" xfId="13154"/>
    <cellStyle name="Вывод 7 20 2" xfId="18486"/>
    <cellStyle name="Вывод 7 20 2 2" xfId="32296"/>
    <cellStyle name="Вывод 7 20 2 3" xfId="42168"/>
    <cellStyle name="Вывод 7 20 3" xfId="27027"/>
    <cellStyle name="Вывод 7 20 4" xfId="36902"/>
    <cellStyle name="Вывод 7 21" xfId="17259"/>
    <cellStyle name="Вывод 7 21 2" xfId="21165"/>
    <cellStyle name="Вывод 7 21 3" xfId="31070"/>
    <cellStyle name="Вывод 7 21 4" xfId="40944"/>
    <cellStyle name="Вывод 7 22" xfId="23773"/>
    <cellStyle name="Вывод 7 23" xfId="24689"/>
    <cellStyle name="Вывод 7 24" xfId="34310"/>
    <cellStyle name="Вывод 7 25" xfId="34577"/>
    <cellStyle name="Вывод 7 3" xfId="1346"/>
    <cellStyle name="Вывод 7 3 10" xfId="24691"/>
    <cellStyle name="Вывод 7 3 11" xfId="34312"/>
    <cellStyle name="Вывод 7 3 12" xfId="34575"/>
    <cellStyle name="Вывод 7 3 2" xfId="8066"/>
    <cellStyle name="Вывод 7 3 3" xfId="11973"/>
    <cellStyle name="Вывод 7 3 3 2" xfId="14871"/>
    <cellStyle name="Вывод 7 3 3 2 2" xfId="17085"/>
    <cellStyle name="Вывод 7 3 3 2 2 2" xfId="23137"/>
    <cellStyle name="Вывод 7 3 3 2 2 3" xfId="30899"/>
    <cellStyle name="Вывод 7 3 3 2 2 4" xfId="40774"/>
    <cellStyle name="Вывод 7 3 3 2 3" xfId="20154"/>
    <cellStyle name="Вывод 7 3 3 2 3 2" xfId="33964"/>
    <cellStyle name="Вывод 7 3 3 2 3 3" xfId="43832"/>
    <cellStyle name="Вывод 7 3 3 2 4" xfId="28691"/>
    <cellStyle name="Вывод 7 3 3 2 5" xfId="38566"/>
    <cellStyle name="Вывод 7 3 3 3" xfId="14345"/>
    <cellStyle name="Вывод 7 3 3 3 2" xfId="19628"/>
    <cellStyle name="Вывод 7 3 3 3 2 2" xfId="33438"/>
    <cellStyle name="Вывод 7 3 3 3 2 3" xfId="43307"/>
    <cellStyle name="Вывод 7 3 3 3 3" xfId="28166"/>
    <cellStyle name="Вывод 7 3 3 3 4" xfId="38041"/>
    <cellStyle name="Вывод 7 3 3 4" xfId="17521"/>
    <cellStyle name="Вывод 7 3 3 4 2" xfId="20812"/>
    <cellStyle name="Вывод 7 3 3 4 3" xfId="31331"/>
    <cellStyle name="Вывод 7 3 3 4 4" xfId="41204"/>
    <cellStyle name="Вывод 7 3 3 5" xfId="21368"/>
    <cellStyle name="Вывод 7 3 3 6" xfId="22561"/>
    <cellStyle name="Вывод 7 3 3 7" xfId="24049"/>
    <cellStyle name="Вывод 7 3 3 8" xfId="25847"/>
    <cellStyle name="Вывод 7 3 3 9" xfId="35722"/>
    <cellStyle name="Вывод 7 3 4" xfId="11679"/>
    <cellStyle name="Вывод 7 3 4 2" xfId="14577"/>
    <cellStyle name="Вывод 7 3 4 2 2" xfId="19860"/>
    <cellStyle name="Вывод 7 3 4 2 2 2" xfId="33670"/>
    <cellStyle name="Вывод 7 3 4 2 2 3" xfId="43538"/>
    <cellStyle name="Вывод 7 3 4 2 3" xfId="28397"/>
    <cellStyle name="Вывод 7 3 4 2 4" xfId="38272"/>
    <cellStyle name="Вывод 7 3 4 3" xfId="15810"/>
    <cellStyle name="Вывод 7 3 4 3 2" xfId="22929"/>
    <cellStyle name="Вывод 7 3 4 3 3" xfId="24442"/>
    <cellStyle name="Вывод 7 3 4 3 4" xfId="29629"/>
    <cellStyle name="Вывод 7 3 4 3 5" xfId="39504"/>
    <cellStyle name="Вывод 7 3 4 4" xfId="17467"/>
    <cellStyle name="Вывод 7 3 4 4 2" xfId="23409"/>
    <cellStyle name="Вывод 7 3 4 4 3" xfId="31277"/>
    <cellStyle name="Вывод 7 3 4 4 4" xfId="41150"/>
    <cellStyle name="Вывод 7 3 4 5" xfId="25553"/>
    <cellStyle name="Вывод 7 3 4 6" xfId="35428"/>
    <cellStyle name="Вывод 7 3 5" xfId="12297"/>
    <cellStyle name="Вывод 7 3 5 2" xfId="17629"/>
    <cellStyle name="Вывод 7 3 5 2 2" xfId="31439"/>
    <cellStyle name="Вывод 7 3 5 2 3" xfId="41312"/>
    <cellStyle name="Вывод 7 3 5 3" xfId="20476"/>
    <cellStyle name="Вывод 7 3 5 4" xfId="24334"/>
    <cellStyle name="Вывод 7 3 5 5" xfId="26171"/>
    <cellStyle name="Вывод 7 3 5 6" xfId="36046"/>
    <cellStyle name="Вывод 7 3 6" xfId="13306"/>
    <cellStyle name="Вывод 7 3 6 2" xfId="16107"/>
    <cellStyle name="Вывод 7 3 6 2 2" xfId="29925"/>
    <cellStyle name="Вывод 7 3 6 2 3" xfId="39800"/>
    <cellStyle name="Вывод 7 3 6 3" xfId="18638"/>
    <cellStyle name="Вывод 7 3 6 3 2" xfId="32448"/>
    <cellStyle name="Вывод 7 3 6 3 3" xfId="42320"/>
    <cellStyle name="Вывод 7 3 6 4" xfId="27179"/>
    <cellStyle name="Вывод 7 3 6 5" xfId="37054"/>
    <cellStyle name="Вывод 7 3 7" xfId="13156"/>
    <cellStyle name="Вывод 7 3 7 2" xfId="18488"/>
    <cellStyle name="Вывод 7 3 7 2 2" xfId="32298"/>
    <cellStyle name="Вывод 7 3 7 2 3" xfId="42170"/>
    <cellStyle name="Вывод 7 3 7 3" xfId="27029"/>
    <cellStyle name="Вывод 7 3 7 4" xfId="36904"/>
    <cellStyle name="Вывод 7 3 8" xfId="17261"/>
    <cellStyle name="Вывод 7 3 8 2" xfId="21228"/>
    <cellStyle name="Вывод 7 3 8 3" xfId="31072"/>
    <cellStyle name="Вывод 7 3 8 4" xfId="40946"/>
    <cellStyle name="Вывод 7 3 9" xfId="23775"/>
    <cellStyle name="Вывод 7 4" xfId="8059"/>
    <cellStyle name="Вывод 7 5" xfId="8067"/>
    <cellStyle name="Вывод 7 6" xfId="8068"/>
    <cellStyle name="Вывод 7 7" xfId="8069"/>
    <cellStyle name="Вывод 7 8" xfId="8070"/>
    <cellStyle name="Вывод 7 9" xfId="8071"/>
    <cellStyle name="Вывод 8" xfId="1347"/>
    <cellStyle name="Вывод 8 10" xfId="8073"/>
    <cellStyle name="Вывод 8 11" xfId="8074"/>
    <cellStyle name="Вывод 8 12" xfId="8075"/>
    <cellStyle name="Вывод 8 13" xfId="8076"/>
    <cellStyle name="Вывод 8 14" xfId="8077"/>
    <cellStyle name="Вывод 8 15" xfId="11872"/>
    <cellStyle name="Вывод 8 15 2" xfId="14770"/>
    <cellStyle name="Вывод 8 15 2 2" xfId="16984"/>
    <cellStyle name="Вывод 8 15 2 2 2" xfId="23036"/>
    <cellStyle name="Вывод 8 15 2 2 3" xfId="30798"/>
    <cellStyle name="Вывод 8 15 2 2 4" xfId="40673"/>
    <cellStyle name="Вывод 8 15 2 3" xfId="20053"/>
    <cellStyle name="Вывод 8 15 2 3 2" xfId="33863"/>
    <cellStyle name="Вывод 8 15 2 3 3" xfId="43731"/>
    <cellStyle name="Вывод 8 15 2 4" xfId="28590"/>
    <cellStyle name="Вывод 8 15 2 5" xfId="38465"/>
    <cellStyle name="Вывод 8 15 3" xfId="14437"/>
    <cellStyle name="Вывод 8 15 3 2" xfId="19720"/>
    <cellStyle name="Вывод 8 15 3 2 2" xfId="33530"/>
    <cellStyle name="Вывод 8 15 3 2 3" xfId="43398"/>
    <cellStyle name="Вывод 8 15 3 3" xfId="28257"/>
    <cellStyle name="Вывод 8 15 3 4" xfId="38132"/>
    <cellStyle name="Вывод 8 15 4" xfId="17488"/>
    <cellStyle name="Вывод 8 15 4 2" xfId="20711"/>
    <cellStyle name="Вывод 8 15 4 3" xfId="31298"/>
    <cellStyle name="Вывод 8 15 4 4" xfId="41171"/>
    <cellStyle name="Вывод 8 15 5" xfId="21267"/>
    <cellStyle name="Вывод 8 15 6" xfId="22444"/>
    <cellStyle name="Вывод 8 15 7" xfId="23932"/>
    <cellStyle name="Вывод 8 15 8" xfId="25746"/>
    <cellStyle name="Вывод 8 15 9" xfId="35621"/>
    <cellStyle name="Вывод 8 16" xfId="12096"/>
    <cellStyle name="Вывод 8 16 2" xfId="14994"/>
    <cellStyle name="Вывод 8 16 2 2" xfId="20277"/>
    <cellStyle name="Вывод 8 16 2 2 2" xfId="34087"/>
    <cellStyle name="Вывод 8 16 2 2 3" xfId="43955"/>
    <cellStyle name="Вывод 8 16 2 3" xfId="23548"/>
    <cellStyle name="Вывод 8 16 2 4" xfId="28814"/>
    <cellStyle name="Вывод 8 16 2 5" xfId="38689"/>
    <cellStyle name="Вывод 8 16 3" xfId="17540"/>
    <cellStyle name="Вывод 8 16 3 2" xfId="20583"/>
    <cellStyle name="Вывод 8 16 3 3" xfId="31350"/>
    <cellStyle name="Вывод 8 16 3 4" xfId="41223"/>
    <cellStyle name="Вывод 8 16 4" xfId="20919"/>
    <cellStyle name="Вывод 8 16 5" xfId="21475"/>
    <cellStyle name="Вывод 8 16 6" xfId="22668"/>
    <cellStyle name="Вывод 8 16 7" xfId="24172"/>
    <cellStyle name="Вывод 8 16 8" xfId="25970"/>
    <cellStyle name="Вывод 8 16 9" xfId="35845"/>
    <cellStyle name="Вывод 8 17" xfId="12176"/>
    <cellStyle name="Вывод 8 17 2" xfId="15074"/>
    <cellStyle name="Вывод 8 17 2 2" xfId="20357"/>
    <cellStyle name="Вывод 8 17 2 2 2" xfId="34167"/>
    <cellStyle name="Вывод 8 17 2 2 3" xfId="44035"/>
    <cellStyle name="Вывод 8 17 2 3" xfId="23628"/>
    <cellStyle name="Вывод 8 17 2 4" xfId="28894"/>
    <cellStyle name="Вывод 8 17 2 5" xfId="38769"/>
    <cellStyle name="Вывод 8 17 3" xfId="17556"/>
    <cellStyle name="Вывод 8 17 3 2" xfId="20647"/>
    <cellStyle name="Вывод 8 17 3 3" xfId="31366"/>
    <cellStyle name="Вывод 8 17 3 4" xfId="41239"/>
    <cellStyle name="Вывод 8 17 4" xfId="20983"/>
    <cellStyle name="Вывод 8 17 5" xfId="21555"/>
    <cellStyle name="Вывод 8 17 6" xfId="22748"/>
    <cellStyle name="Вывод 8 17 7" xfId="24252"/>
    <cellStyle name="Вывод 8 17 8" xfId="26050"/>
    <cellStyle name="Вывод 8 17 9" xfId="35925"/>
    <cellStyle name="Вывод 8 18" xfId="11680"/>
    <cellStyle name="Вывод 8 18 2" xfId="14578"/>
    <cellStyle name="Вывод 8 18 2 2" xfId="19861"/>
    <cellStyle name="Вывод 8 18 2 2 2" xfId="33671"/>
    <cellStyle name="Вывод 8 18 2 2 3" xfId="43539"/>
    <cellStyle name="Вывод 8 18 2 3" xfId="28398"/>
    <cellStyle name="Вывод 8 18 2 4" xfId="38273"/>
    <cellStyle name="Вывод 8 18 3" xfId="15811"/>
    <cellStyle name="Вывод 8 18 3 2" xfId="22831"/>
    <cellStyle name="Вывод 8 18 3 3" xfId="24443"/>
    <cellStyle name="Вывод 8 18 3 4" xfId="29630"/>
    <cellStyle name="Вывод 8 18 3 5" xfId="39505"/>
    <cellStyle name="Вывод 8 18 4" xfId="17468"/>
    <cellStyle name="Вывод 8 18 4 2" xfId="23311"/>
    <cellStyle name="Вывод 8 18 4 3" xfId="31278"/>
    <cellStyle name="Вывод 8 18 4 4" xfId="41151"/>
    <cellStyle name="Вывод 8 18 5" xfId="25554"/>
    <cellStyle name="Вывод 8 18 6" xfId="35429"/>
    <cellStyle name="Вывод 8 19" xfId="13307"/>
    <cellStyle name="Вывод 8 19 2" xfId="16108"/>
    <cellStyle name="Вывод 8 19 2 2" xfId="29926"/>
    <cellStyle name="Вывод 8 19 2 3" xfId="39801"/>
    <cellStyle name="Вывод 8 19 3" xfId="18639"/>
    <cellStyle name="Вывод 8 19 3 2" xfId="32449"/>
    <cellStyle name="Вывод 8 19 3 3" xfId="42321"/>
    <cellStyle name="Вывод 8 19 4" xfId="27180"/>
    <cellStyle name="Вывод 8 19 5" xfId="37055"/>
    <cellStyle name="Вывод 8 2" xfId="1348"/>
    <cellStyle name="Вывод 8 2 10" xfId="24693"/>
    <cellStyle name="Вывод 8 2 11" xfId="34314"/>
    <cellStyle name="Вывод 8 2 12" xfId="34573"/>
    <cellStyle name="Вывод 8 2 2" xfId="8078"/>
    <cellStyle name="Вывод 8 2 3" xfId="11974"/>
    <cellStyle name="Вывод 8 2 3 2" xfId="14872"/>
    <cellStyle name="Вывод 8 2 3 2 2" xfId="17086"/>
    <cellStyle name="Вывод 8 2 3 2 2 2" xfId="23138"/>
    <cellStyle name="Вывод 8 2 3 2 2 3" xfId="30900"/>
    <cellStyle name="Вывод 8 2 3 2 2 4" xfId="40775"/>
    <cellStyle name="Вывод 8 2 3 2 3" xfId="20155"/>
    <cellStyle name="Вывод 8 2 3 2 3 2" xfId="33965"/>
    <cellStyle name="Вывод 8 2 3 2 3 3" xfId="43833"/>
    <cellStyle name="Вывод 8 2 3 2 4" xfId="28692"/>
    <cellStyle name="Вывод 8 2 3 2 5" xfId="38567"/>
    <cellStyle name="Вывод 8 2 3 3" xfId="14459"/>
    <cellStyle name="Вывод 8 2 3 3 2" xfId="19742"/>
    <cellStyle name="Вывод 8 2 3 3 2 2" xfId="33552"/>
    <cellStyle name="Вывод 8 2 3 3 2 3" xfId="43420"/>
    <cellStyle name="Вывод 8 2 3 3 3" xfId="28279"/>
    <cellStyle name="Вывод 8 2 3 3 4" xfId="38154"/>
    <cellStyle name="Вывод 8 2 3 4" xfId="17522"/>
    <cellStyle name="Вывод 8 2 3 4 2" xfId="20813"/>
    <cellStyle name="Вывод 8 2 3 4 3" xfId="31332"/>
    <cellStyle name="Вывод 8 2 3 4 4" xfId="41205"/>
    <cellStyle name="Вывод 8 2 3 5" xfId="21369"/>
    <cellStyle name="Вывод 8 2 3 6" xfId="22562"/>
    <cellStyle name="Вывод 8 2 3 7" xfId="24050"/>
    <cellStyle name="Вывод 8 2 3 8" xfId="25848"/>
    <cellStyle name="Вывод 8 2 3 9" xfId="35723"/>
    <cellStyle name="Вывод 8 2 4" xfId="11681"/>
    <cellStyle name="Вывод 8 2 4 2" xfId="14579"/>
    <cellStyle name="Вывод 8 2 4 2 2" xfId="19862"/>
    <cellStyle name="Вывод 8 2 4 2 2 2" xfId="33672"/>
    <cellStyle name="Вывод 8 2 4 2 2 3" xfId="43540"/>
    <cellStyle name="Вывод 8 2 4 2 3" xfId="28399"/>
    <cellStyle name="Вывод 8 2 4 2 4" xfId="38274"/>
    <cellStyle name="Вывод 8 2 4 3" xfId="15812"/>
    <cellStyle name="Вывод 8 2 4 3 2" xfId="22930"/>
    <cellStyle name="Вывод 8 2 4 3 3" xfId="24444"/>
    <cellStyle name="Вывод 8 2 4 3 4" xfId="29631"/>
    <cellStyle name="Вывод 8 2 4 3 5" xfId="39506"/>
    <cellStyle name="Вывод 8 2 4 4" xfId="17469"/>
    <cellStyle name="Вывод 8 2 4 4 2" xfId="23410"/>
    <cellStyle name="Вывод 8 2 4 4 3" xfId="31279"/>
    <cellStyle name="Вывод 8 2 4 4 4" xfId="41152"/>
    <cellStyle name="Вывод 8 2 4 5" xfId="25555"/>
    <cellStyle name="Вывод 8 2 4 6" xfId="35430"/>
    <cellStyle name="Вывод 8 2 5" xfId="12298"/>
    <cellStyle name="Вывод 8 2 5 2" xfId="17630"/>
    <cellStyle name="Вывод 8 2 5 2 2" xfId="31440"/>
    <cellStyle name="Вывод 8 2 5 2 3" xfId="41313"/>
    <cellStyle name="Вывод 8 2 5 3" xfId="20477"/>
    <cellStyle name="Вывод 8 2 5 4" xfId="24335"/>
    <cellStyle name="Вывод 8 2 5 5" xfId="26172"/>
    <cellStyle name="Вывод 8 2 5 6" xfId="36047"/>
    <cellStyle name="Вывод 8 2 6" xfId="13308"/>
    <cellStyle name="Вывод 8 2 6 2" xfId="16109"/>
    <cellStyle name="Вывод 8 2 6 2 2" xfId="29927"/>
    <cellStyle name="Вывод 8 2 6 2 3" xfId="39802"/>
    <cellStyle name="Вывод 8 2 6 3" xfId="18640"/>
    <cellStyle name="Вывод 8 2 6 3 2" xfId="32450"/>
    <cellStyle name="Вывод 8 2 6 3 3" xfId="42322"/>
    <cellStyle name="Вывод 8 2 6 4" xfId="27181"/>
    <cellStyle name="Вывод 8 2 6 5" xfId="37056"/>
    <cellStyle name="Вывод 8 2 7" xfId="13158"/>
    <cellStyle name="Вывод 8 2 7 2" xfId="18490"/>
    <cellStyle name="Вывод 8 2 7 2 2" xfId="32300"/>
    <cellStyle name="Вывод 8 2 7 2 3" xfId="42172"/>
    <cellStyle name="Вывод 8 2 7 3" xfId="27031"/>
    <cellStyle name="Вывод 8 2 7 4" xfId="36906"/>
    <cellStyle name="Вывод 8 2 8" xfId="17263"/>
    <cellStyle name="Вывод 8 2 8 2" xfId="21229"/>
    <cellStyle name="Вывод 8 2 8 3" xfId="31074"/>
    <cellStyle name="Вывод 8 2 8 4" xfId="40948"/>
    <cellStyle name="Вывод 8 2 9" xfId="23777"/>
    <cellStyle name="Вывод 8 20" xfId="13157"/>
    <cellStyle name="Вывод 8 20 2" xfId="18489"/>
    <cellStyle name="Вывод 8 20 2 2" xfId="32299"/>
    <cellStyle name="Вывод 8 20 2 3" xfId="42171"/>
    <cellStyle name="Вывод 8 20 3" xfId="27030"/>
    <cellStyle name="Вывод 8 20 4" xfId="36905"/>
    <cellStyle name="Вывод 8 21" xfId="17262"/>
    <cellStyle name="Вывод 8 21 2" xfId="21164"/>
    <cellStyle name="Вывод 8 21 3" xfId="31073"/>
    <cellStyle name="Вывод 8 21 4" xfId="40947"/>
    <cellStyle name="Вывод 8 22" xfId="23776"/>
    <cellStyle name="Вывод 8 23" xfId="24692"/>
    <cellStyle name="Вывод 8 24" xfId="34313"/>
    <cellStyle name="Вывод 8 25" xfId="34574"/>
    <cellStyle name="Вывод 8 3" xfId="1349"/>
    <cellStyle name="Вывод 8 3 10" xfId="24694"/>
    <cellStyle name="Вывод 8 3 11" xfId="34315"/>
    <cellStyle name="Вывод 8 3 12" xfId="34572"/>
    <cellStyle name="Вывод 8 3 2" xfId="8079"/>
    <cellStyle name="Вывод 8 3 3" xfId="11975"/>
    <cellStyle name="Вывод 8 3 3 2" xfId="14873"/>
    <cellStyle name="Вывод 8 3 3 2 2" xfId="17087"/>
    <cellStyle name="Вывод 8 3 3 2 2 2" xfId="23139"/>
    <cellStyle name="Вывод 8 3 3 2 2 3" xfId="30901"/>
    <cellStyle name="Вывод 8 3 3 2 2 4" xfId="40776"/>
    <cellStyle name="Вывод 8 3 3 2 3" xfId="20156"/>
    <cellStyle name="Вывод 8 3 3 2 3 2" xfId="33966"/>
    <cellStyle name="Вывод 8 3 3 2 3 3" xfId="43834"/>
    <cellStyle name="Вывод 8 3 3 2 4" xfId="28693"/>
    <cellStyle name="Вывод 8 3 3 2 5" xfId="38568"/>
    <cellStyle name="Вывод 8 3 3 3" xfId="14460"/>
    <cellStyle name="Вывод 8 3 3 3 2" xfId="19743"/>
    <cellStyle name="Вывод 8 3 3 3 2 2" xfId="33553"/>
    <cellStyle name="Вывод 8 3 3 3 2 3" xfId="43421"/>
    <cellStyle name="Вывод 8 3 3 3 3" xfId="28280"/>
    <cellStyle name="Вывод 8 3 3 3 4" xfId="38155"/>
    <cellStyle name="Вывод 8 3 3 4" xfId="17523"/>
    <cellStyle name="Вывод 8 3 3 4 2" xfId="20814"/>
    <cellStyle name="Вывод 8 3 3 4 3" xfId="31333"/>
    <cellStyle name="Вывод 8 3 3 4 4" xfId="41206"/>
    <cellStyle name="Вывод 8 3 3 5" xfId="21370"/>
    <cellStyle name="Вывод 8 3 3 6" xfId="22563"/>
    <cellStyle name="Вывод 8 3 3 7" xfId="24051"/>
    <cellStyle name="Вывод 8 3 3 8" xfId="25849"/>
    <cellStyle name="Вывод 8 3 3 9" xfId="35724"/>
    <cellStyle name="Вывод 8 3 4" xfId="11682"/>
    <cellStyle name="Вывод 8 3 4 2" xfId="14580"/>
    <cellStyle name="Вывод 8 3 4 2 2" xfId="19863"/>
    <cellStyle name="Вывод 8 3 4 2 2 2" xfId="33673"/>
    <cellStyle name="Вывод 8 3 4 2 2 3" xfId="43541"/>
    <cellStyle name="Вывод 8 3 4 2 3" xfId="28400"/>
    <cellStyle name="Вывод 8 3 4 2 4" xfId="38275"/>
    <cellStyle name="Вывод 8 3 4 3" xfId="15813"/>
    <cellStyle name="Вывод 8 3 4 3 2" xfId="22931"/>
    <cellStyle name="Вывод 8 3 4 3 3" xfId="24445"/>
    <cellStyle name="Вывод 8 3 4 3 4" xfId="29632"/>
    <cellStyle name="Вывод 8 3 4 3 5" xfId="39507"/>
    <cellStyle name="Вывод 8 3 4 4" xfId="17470"/>
    <cellStyle name="Вывод 8 3 4 4 2" xfId="23411"/>
    <cellStyle name="Вывод 8 3 4 4 3" xfId="31280"/>
    <cellStyle name="Вывод 8 3 4 4 4" xfId="41153"/>
    <cellStyle name="Вывод 8 3 4 5" xfId="25556"/>
    <cellStyle name="Вывод 8 3 4 6" xfId="35431"/>
    <cellStyle name="Вывод 8 3 5" xfId="12299"/>
    <cellStyle name="Вывод 8 3 5 2" xfId="17631"/>
    <cellStyle name="Вывод 8 3 5 2 2" xfId="31441"/>
    <cellStyle name="Вывод 8 3 5 2 3" xfId="41314"/>
    <cellStyle name="Вывод 8 3 5 3" xfId="20478"/>
    <cellStyle name="Вывод 8 3 5 4" xfId="24336"/>
    <cellStyle name="Вывод 8 3 5 5" xfId="26173"/>
    <cellStyle name="Вывод 8 3 5 6" xfId="36048"/>
    <cellStyle name="Вывод 8 3 6" xfId="13309"/>
    <cellStyle name="Вывод 8 3 6 2" xfId="16110"/>
    <cellStyle name="Вывод 8 3 6 2 2" xfId="29928"/>
    <cellStyle name="Вывод 8 3 6 2 3" xfId="39803"/>
    <cellStyle name="Вывод 8 3 6 3" xfId="18641"/>
    <cellStyle name="Вывод 8 3 6 3 2" xfId="32451"/>
    <cellStyle name="Вывод 8 3 6 3 3" xfId="42323"/>
    <cellStyle name="Вывод 8 3 6 4" xfId="27182"/>
    <cellStyle name="Вывод 8 3 6 5" xfId="37057"/>
    <cellStyle name="Вывод 8 3 7" xfId="13159"/>
    <cellStyle name="Вывод 8 3 7 2" xfId="18491"/>
    <cellStyle name="Вывод 8 3 7 2 2" xfId="32301"/>
    <cellStyle name="Вывод 8 3 7 2 3" xfId="42173"/>
    <cellStyle name="Вывод 8 3 7 3" xfId="27032"/>
    <cellStyle name="Вывод 8 3 7 4" xfId="36907"/>
    <cellStyle name="Вывод 8 3 8" xfId="17264"/>
    <cellStyle name="Вывод 8 3 8 2" xfId="21230"/>
    <cellStyle name="Вывод 8 3 8 3" xfId="31075"/>
    <cellStyle name="Вывод 8 3 8 4" xfId="40949"/>
    <cellStyle name="Вывод 8 3 9" xfId="23778"/>
    <cellStyle name="Вывод 8 4" xfId="8072"/>
    <cellStyle name="Вывод 8 5" xfId="8080"/>
    <cellStyle name="Вывод 8 6" xfId="8081"/>
    <cellStyle name="Вывод 8 7" xfId="8082"/>
    <cellStyle name="Вывод 8 8" xfId="8083"/>
    <cellStyle name="Вывод 8 9" xfId="8084"/>
    <cellStyle name="Вывод 9" xfId="1350"/>
    <cellStyle name="Вывод 9 10" xfId="8086"/>
    <cellStyle name="Вывод 9 11" xfId="8087"/>
    <cellStyle name="Вывод 9 12" xfId="8088"/>
    <cellStyle name="Вывод 9 13" xfId="8089"/>
    <cellStyle name="Вывод 9 14" xfId="8090"/>
    <cellStyle name="Вывод 9 15" xfId="11873"/>
    <cellStyle name="Вывод 9 15 2" xfId="14771"/>
    <cellStyle name="Вывод 9 15 2 2" xfId="16985"/>
    <cellStyle name="Вывод 9 15 2 2 2" xfId="23037"/>
    <cellStyle name="Вывод 9 15 2 2 3" xfId="30799"/>
    <cellStyle name="Вывод 9 15 2 2 4" xfId="40674"/>
    <cellStyle name="Вывод 9 15 2 3" xfId="20054"/>
    <cellStyle name="Вывод 9 15 2 3 2" xfId="33864"/>
    <cellStyle name="Вывод 9 15 2 3 3" xfId="43732"/>
    <cellStyle name="Вывод 9 15 2 4" xfId="28591"/>
    <cellStyle name="Вывод 9 15 2 5" xfId="38466"/>
    <cellStyle name="Вывод 9 15 3" xfId="14438"/>
    <cellStyle name="Вывод 9 15 3 2" xfId="19721"/>
    <cellStyle name="Вывод 9 15 3 2 2" xfId="33531"/>
    <cellStyle name="Вывод 9 15 3 2 3" xfId="43399"/>
    <cellStyle name="Вывод 9 15 3 3" xfId="28258"/>
    <cellStyle name="Вывод 9 15 3 4" xfId="38133"/>
    <cellStyle name="Вывод 9 15 4" xfId="17489"/>
    <cellStyle name="Вывод 9 15 4 2" xfId="20712"/>
    <cellStyle name="Вывод 9 15 4 3" xfId="31299"/>
    <cellStyle name="Вывод 9 15 4 4" xfId="41172"/>
    <cellStyle name="Вывод 9 15 5" xfId="21268"/>
    <cellStyle name="Вывод 9 15 6" xfId="22445"/>
    <cellStyle name="Вывод 9 15 7" xfId="23933"/>
    <cellStyle name="Вывод 9 15 8" xfId="25747"/>
    <cellStyle name="Вывод 9 15 9" xfId="35622"/>
    <cellStyle name="Вывод 9 16" xfId="12097"/>
    <cellStyle name="Вывод 9 16 2" xfId="14995"/>
    <cellStyle name="Вывод 9 16 2 2" xfId="20278"/>
    <cellStyle name="Вывод 9 16 2 2 2" xfId="34088"/>
    <cellStyle name="Вывод 9 16 2 2 3" xfId="43956"/>
    <cellStyle name="Вывод 9 16 2 3" xfId="23549"/>
    <cellStyle name="Вывод 9 16 2 4" xfId="28815"/>
    <cellStyle name="Вывод 9 16 2 5" xfId="38690"/>
    <cellStyle name="Вывод 9 16 3" xfId="17541"/>
    <cellStyle name="Вывод 9 16 3 2" xfId="20584"/>
    <cellStyle name="Вывод 9 16 3 3" xfId="31351"/>
    <cellStyle name="Вывод 9 16 3 4" xfId="41224"/>
    <cellStyle name="Вывод 9 16 4" xfId="20920"/>
    <cellStyle name="Вывод 9 16 5" xfId="21476"/>
    <cellStyle name="Вывод 9 16 6" xfId="22669"/>
    <cellStyle name="Вывод 9 16 7" xfId="24173"/>
    <cellStyle name="Вывод 9 16 8" xfId="25971"/>
    <cellStyle name="Вывод 9 16 9" xfId="35846"/>
    <cellStyle name="Вывод 9 17" xfId="12177"/>
    <cellStyle name="Вывод 9 17 2" xfId="15075"/>
    <cellStyle name="Вывод 9 17 2 2" xfId="20358"/>
    <cellStyle name="Вывод 9 17 2 2 2" xfId="34168"/>
    <cellStyle name="Вывод 9 17 2 2 3" xfId="44036"/>
    <cellStyle name="Вывод 9 17 2 3" xfId="23629"/>
    <cellStyle name="Вывод 9 17 2 4" xfId="28895"/>
    <cellStyle name="Вывод 9 17 2 5" xfId="38770"/>
    <cellStyle name="Вывод 9 17 3" xfId="17557"/>
    <cellStyle name="Вывод 9 17 3 2" xfId="20648"/>
    <cellStyle name="Вывод 9 17 3 3" xfId="31367"/>
    <cellStyle name="Вывод 9 17 3 4" xfId="41240"/>
    <cellStyle name="Вывод 9 17 4" xfId="20984"/>
    <cellStyle name="Вывод 9 17 5" xfId="21556"/>
    <cellStyle name="Вывод 9 17 6" xfId="22749"/>
    <cellStyle name="Вывод 9 17 7" xfId="24253"/>
    <cellStyle name="Вывод 9 17 8" xfId="26051"/>
    <cellStyle name="Вывод 9 17 9" xfId="35926"/>
    <cellStyle name="Вывод 9 18" xfId="11683"/>
    <cellStyle name="Вывод 9 18 2" xfId="14581"/>
    <cellStyle name="Вывод 9 18 2 2" xfId="19864"/>
    <cellStyle name="Вывод 9 18 2 2 2" xfId="33674"/>
    <cellStyle name="Вывод 9 18 2 2 3" xfId="43542"/>
    <cellStyle name="Вывод 9 18 2 3" xfId="28401"/>
    <cellStyle name="Вывод 9 18 2 4" xfId="38276"/>
    <cellStyle name="Вывод 9 18 3" xfId="15814"/>
    <cellStyle name="Вывод 9 18 3 2" xfId="22830"/>
    <cellStyle name="Вывод 9 18 3 3" xfId="24446"/>
    <cellStyle name="Вывод 9 18 3 4" xfId="29633"/>
    <cellStyle name="Вывод 9 18 3 5" xfId="39508"/>
    <cellStyle name="Вывод 9 18 4" xfId="17471"/>
    <cellStyle name="Вывод 9 18 4 2" xfId="23310"/>
    <cellStyle name="Вывод 9 18 4 3" xfId="31281"/>
    <cellStyle name="Вывод 9 18 4 4" xfId="41154"/>
    <cellStyle name="Вывод 9 18 5" xfId="25557"/>
    <cellStyle name="Вывод 9 18 6" xfId="35432"/>
    <cellStyle name="Вывод 9 19" xfId="13310"/>
    <cellStyle name="Вывод 9 19 2" xfId="16111"/>
    <cellStyle name="Вывод 9 19 2 2" xfId="29929"/>
    <cellStyle name="Вывод 9 19 2 3" xfId="39804"/>
    <cellStyle name="Вывод 9 19 3" xfId="18642"/>
    <cellStyle name="Вывод 9 19 3 2" xfId="32452"/>
    <cellStyle name="Вывод 9 19 3 3" xfId="42324"/>
    <cellStyle name="Вывод 9 19 4" xfId="27183"/>
    <cellStyle name="Вывод 9 19 5" xfId="37058"/>
    <cellStyle name="Вывод 9 2" xfId="1351"/>
    <cellStyle name="Вывод 9 2 10" xfId="24696"/>
    <cellStyle name="Вывод 9 2 11" xfId="34317"/>
    <cellStyle name="Вывод 9 2 12" xfId="34570"/>
    <cellStyle name="Вывод 9 2 2" xfId="8091"/>
    <cellStyle name="Вывод 9 2 3" xfId="11976"/>
    <cellStyle name="Вывод 9 2 3 2" xfId="14874"/>
    <cellStyle name="Вывод 9 2 3 2 2" xfId="17088"/>
    <cellStyle name="Вывод 9 2 3 2 2 2" xfId="23140"/>
    <cellStyle name="Вывод 9 2 3 2 2 3" xfId="30902"/>
    <cellStyle name="Вывод 9 2 3 2 2 4" xfId="40777"/>
    <cellStyle name="Вывод 9 2 3 2 3" xfId="20157"/>
    <cellStyle name="Вывод 9 2 3 2 3 2" xfId="33967"/>
    <cellStyle name="Вывод 9 2 3 2 3 3" xfId="43835"/>
    <cellStyle name="Вывод 9 2 3 2 4" xfId="28694"/>
    <cellStyle name="Вывод 9 2 3 2 5" xfId="38569"/>
    <cellStyle name="Вывод 9 2 3 3" xfId="14346"/>
    <cellStyle name="Вывод 9 2 3 3 2" xfId="19629"/>
    <cellStyle name="Вывод 9 2 3 3 2 2" xfId="33439"/>
    <cellStyle name="Вывод 9 2 3 3 2 3" xfId="43308"/>
    <cellStyle name="Вывод 9 2 3 3 3" xfId="28167"/>
    <cellStyle name="Вывод 9 2 3 3 4" xfId="38042"/>
    <cellStyle name="Вывод 9 2 3 4" xfId="17524"/>
    <cellStyle name="Вывод 9 2 3 4 2" xfId="20815"/>
    <cellStyle name="Вывод 9 2 3 4 3" xfId="31334"/>
    <cellStyle name="Вывод 9 2 3 4 4" xfId="41207"/>
    <cellStyle name="Вывод 9 2 3 5" xfId="21371"/>
    <cellStyle name="Вывод 9 2 3 6" xfId="22564"/>
    <cellStyle name="Вывод 9 2 3 7" xfId="24052"/>
    <cellStyle name="Вывод 9 2 3 8" xfId="25850"/>
    <cellStyle name="Вывод 9 2 3 9" xfId="35725"/>
    <cellStyle name="Вывод 9 2 4" xfId="11684"/>
    <cellStyle name="Вывод 9 2 4 2" xfId="14582"/>
    <cellStyle name="Вывод 9 2 4 2 2" xfId="19865"/>
    <cellStyle name="Вывод 9 2 4 2 2 2" xfId="33675"/>
    <cellStyle name="Вывод 9 2 4 2 2 3" xfId="43543"/>
    <cellStyle name="Вывод 9 2 4 2 3" xfId="28402"/>
    <cellStyle name="Вывод 9 2 4 2 4" xfId="38277"/>
    <cellStyle name="Вывод 9 2 4 3" xfId="15815"/>
    <cellStyle name="Вывод 9 2 4 3 2" xfId="22932"/>
    <cellStyle name="Вывод 9 2 4 3 3" xfId="24447"/>
    <cellStyle name="Вывод 9 2 4 3 4" xfId="29634"/>
    <cellStyle name="Вывод 9 2 4 3 5" xfId="39509"/>
    <cellStyle name="Вывод 9 2 4 4" xfId="17472"/>
    <cellStyle name="Вывод 9 2 4 4 2" xfId="23412"/>
    <cellStyle name="Вывод 9 2 4 4 3" xfId="31282"/>
    <cellStyle name="Вывод 9 2 4 4 4" xfId="41155"/>
    <cellStyle name="Вывод 9 2 4 5" xfId="25558"/>
    <cellStyle name="Вывод 9 2 4 6" xfId="35433"/>
    <cellStyle name="Вывод 9 2 5" xfId="12300"/>
    <cellStyle name="Вывод 9 2 5 2" xfId="17632"/>
    <cellStyle name="Вывод 9 2 5 2 2" xfId="31442"/>
    <cellStyle name="Вывод 9 2 5 2 3" xfId="41315"/>
    <cellStyle name="Вывод 9 2 5 3" xfId="20479"/>
    <cellStyle name="Вывод 9 2 5 4" xfId="24337"/>
    <cellStyle name="Вывод 9 2 5 5" xfId="26174"/>
    <cellStyle name="Вывод 9 2 5 6" xfId="36049"/>
    <cellStyle name="Вывод 9 2 6" xfId="13311"/>
    <cellStyle name="Вывод 9 2 6 2" xfId="16112"/>
    <cellStyle name="Вывод 9 2 6 2 2" xfId="29930"/>
    <cellStyle name="Вывод 9 2 6 2 3" xfId="39805"/>
    <cellStyle name="Вывод 9 2 6 3" xfId="18643"/>
    <cellStyle name="Вывод 9 2 6 3 2" xfId="32453"/>
    <cellStyle name="Вывод 9 2 6 3 3" xfId="42325"/>
    <cellStyle name="Вывод 9 2 6 4" xfId="27184"/>
    <cellStyle name="Вывод 9 2 6 5" xfId="37059"/>
    <cellStyle name="Вывод 9 2 7" xfId="13161"/>
    <cellStyle name="Вывод 9 2 7 2" xfId="18493"/>
    <cellStyle name="Вывод 9 2 7 2 2" xfId="32303"/>
    <cellStyle name="Вывод 9 2 7 2 3" xfId="42175"/>
    <cellStyle name="Вывод 9 2 7 3" xfId="27034"/>
    <cellStyle name="Вывод 9 2 7 4" xfId="36909"/>
    <cellStyle name="Вывод 9 2 8" xfId="17266"/>
    <cellStyle name="Вывод 9 2 8 2" xfId="21231"/>
    <cellStyle name="Вывод 9 2 8 3" xfId="31077"/>
    <cellStyle name="Вывод 9 2 8 4" xfId="40951"/>
    <cellStyle name="Вывод 9 2 9" xfId="23780"/>
    <cellStyle name="Вывод 9 20" xfId="13160"/>
    <cellStyle name="Вывод 9 20 2" xfId="18492"/>
    <cellStyle name="Вывод 9 20 2 2" xfId="32302"/>
    <cellStyle name="Вывод 9 20 2 3" xfId="42174"/>
    <cellStyle name="Вывод 9 20 3" xfId="27033"/>
    <cellStyle name="Вывод 9 20 4" xfId="36908"/>
    <cellStyle name="Вывод 9 21" xfId="17265"/>
    <cellStyle name="Вывод 9 21 2" xfId="21163"/>
    <cellStyle name="Вывод 9 21 3" xfId="31076"/>
    <cellStyle name="Вывод 9 21 4" xfId="40950"/>
    <cellStyle name="Вывод 9 22" xfId="23779"/>
    <cellStyle name="Вывод 9 23" xfId="24695"/>
    <cellStyle name="Вывод 9 24" xfId="34316"/>
    <cellStyle name="Вывод 9 25" xfId="34571"/>
    <cellStyle name="Вывод 9 3" xfId="1352"/>
    <cellStyle name="Вывод 9 3 10" xfId="24697"/>
    <cellStyle name="Вывод 9 3 11" xfId="34318"/>
    <cellStyle name="Вывод 9 3 12" xfId="34569"/>
    <cellStyle name="Вывод 9 3 2" xfId="8092"/>
    <cellStyle name="Вывод 9 3 3" xfId="11977"/>
    <cellStyle name="Вывод 9 3 3 2" xfId="14875"/>
    <cellStyle name="Вывод 9 3 3 2 2" xfId="17089"/>
    <cellStyle name="Вывод 9 3 3 2 2 2" xfId="23141"/>
    <cellStyle name="Вывод 9 3 3 2 2 3" xfId="30903"/>
    <cellStyle name="Вывод 9 3 3 2 2 4" xfId="40778"/>
    <cellStyle name="Вывод 9 3 3 2 3" xfId="20158"/>
    <cellStyle name="Вывод 9 3 3 2 3 2" xfId="33968"/>
    <cellStyle name="Вывод 9 3 3 2 3 3" xfId="43836"/>
    <cellStyle name="Вывод 9 3 3 2 4" xfId="28695"/>
    <cellStyle name="Вывод 9 3 3 2 5" xfId="38570"/>
    <cellStyle name="Вывод 9 3 3 3" xfId="14347"/>
    <cellStyle name="Вывод 9 3 3 3 2" xfId="19630"/>
    <cellStyle name="Вывод 9 3 3 3 2 2" xfId="33440"/>
    <cellStyle name="Вывод 9 3 3 3 2 3" xfId="43309"/>
    <cellStyle name="Вывод 9 3 3 3 3" xfId="28168"/>
    <cellStyle name="Вывод 9 3 3 3 4" xfId="38043"/>
    <cellStyle name="Вывод 9 3 3 4" xfId="17525"/>
    <cellStyle name="Вывод 9 3 3 4 2" xfId="20816"/>
    <cellStyle name="Вывод 9 3 3 4 3" xfId="31335"/>
    <cellStyle name="Вывод 9 3 3 4 4" xfId="41208"/>
    <cellStyle name="Вывод 9 3 3 5" xfId="21372"/>
    <cellStyle name="Вывод 9 3 3 6" xfId="22565"/>
    <cellStyle name="Вывод 9 3 3 7" xfId="24053"/>
    <cellStyle name="Вывод 9 3 3 8" xfId="25851"/>
    <cellStyle name="Вывод 9 3 3 9" xfId="35726"/>
    <cellStyle name="Вывод 9 3 4" xfId="11685"/>
    <cellStyle name="Вывод 9 3 4 2" xfId="14583"/>
    <cellStyle name="Вывод 9 3 4 2 2" xfId="19866"/>
    <cellStyle name="Вывод 9 3 4 2 2 2" xfId="33676"/>
    <cellStyle name="Вывод 9 3 4 2 2 3" xfId="43544"/>
    <cellStyle name="Вывод 9 3 4 2 3" xfId="28403"/>
    <cellStyle name="Вывод 9 3 4 2 4" xfId="38278"/>
    <cellStyle name="Вывод 9 3 4 3" xfId="15816"/>
    <cellStyle name="Вывод 9 3 4 3 2" xfId="22933"/>
    <cellStyle name="Вывод 9 3 4 3 3" xfId="24448"/>
    <cellStyle name="Вывод 9 3 4 3 4" xfId="29635"/>
    <cellStyle name="Вывод 9 3 4 3 5" xfId="39510"/>
    <cellStyle name="Вывод 9 3 4 4" xfId="17473"/>
    <cellStyle name="Вывод 9 3 4 4 2" xfId="23413"/>
    <cellStyle name="Вывод 9 3 4 4 3" xfId="31283"/>
    <cellStyle name="Вывод 9 3 4 4 4" xfId="41156"/>
    <cellStyle name="Вывод 9 3 4 5" xfId="25559"/>
    <cellStyle name="Вывод 9 3 4 6" xfId="35434"/>
    <cellStyle name="Вывод 9 3 5" xfId="12301"/>
    <cellStyle name="Вывод 9 3 5 2" xfId="17633"/>
    <cellStyle name="Вывод 9 3 5 2 2" xfId="31443"/>
    <cellStyle name="Вывод 9 3 5 2 3" xfId="41316"/>
    <cellStyle name="Вывод 9 3 5 3" xfId="20480"/>
    <cellStyle name="Вывод 9 3 5 4" xfId="24338"/>
    <cellStyle name="Вывод 9 3 5 5" xfId="26175"/>
    <cellStyle name="Вывод 9 3 5 6" xfId="36050"/>
    <cellStyle name="Вывод 9 3 6" xfId="13312"/>
    <cellStyle name="Вывод 9 3 6 2" xfId="16113"/>
    <cellStyle name="Вывод 9 3 6 2 2" xfId="29931"/>
    <cellStyle name="Вывод 9 3 6 2 3" xfId="39806"/>
    <cellStyle name="Вывод 9 3 6 3" xfId="18644"/>
    <cellStyle name="Вывод 9 3 6 3 2" xfId="32454"/>
    <cellStyle name="Вывод 9 3 6 3 3" xfId="42326"/>
    <cellStyle name="Вывод 9 3 6 4" xfId="27185"/>
    <cellStyle name="Вывод 9 3 6 5" xfId="37060"/>
    <cellStyle name="Вывод 9 3 7" xfId="13162"/>
    <cellStyle name="Вывод 9 3 7 2" xfId="18494"/>
    <cellStyle name="Вывод 9 3 7 2 2" xfId="32304"/>
    <cellStyle name="Вывод 9 3 7 2 3" xfId="42176"/>
    <cellStyle name="Вывод 9 3 7 3" xfId="27035"/>
    <cellStyle name="Вывод 9 3 7 4" xfId="36910"/>
    <cellStyle name="Вывод 9 3 8" xfId="17267"/>
    <cellStyle name="Вывод 9 3 8 2" xfId="21232"/>
    <cellStyle name="Вывод 9 3 8 3" xfId="31078"/>
    <cellStyle name="Вывод 9 3 8 4" xfId="40952"/>
    <cellStyle name="Вывод 9 3 9" xfId="23781"/>
    <cellStyle name="Вывод 9 4" xfId="8085"/>
    <cellStyle name="Вывод 9 5" xfId="8093"/>
    <cellStyle name="Вывод 9 6" xfId="8094"/>
    <cellStyle name="Вывод 9 7" xfId="8095"/>
    <cellStyle name="Вывод 9 8" xfId="8096"/>
    <cellStyle name="Вывод 9 9" xfId="8097"/>
    <cellStyle name="Вычисление 10" xfId="1353"/>
    <cellStyle name="Вычисление 10 10" xfId="8099"/>
    <cellStyle name="Вычисление 10 11" xfId="8100"/>
    <cellStyle name="Вычисление 10 12" xfId="8101"/>
    <cellStyle name="Вычисление 10 13" xfId="8102"/>
    <cellStyle name="Вычисление 10 14" xfId="8103"/>
    <cellStyle name="Вычисление 10 15" xfId="11874"/>
    <cellStyle name="Вычисление 10 15 10" xfId="25748"/>
    <cellStyle name="Вычисление 10 15 11" xfId="35623"/>
    <cellStyle name="Вычисление 10 15 2" xfId="14772"/>
    <cellStyle name="Вычисление 10 15 2 2" xfId="16986"/>
    <cellStyle name="Вычисление 10 15 2 2 2" xfId="23038"/>
    <cellStyle name="Вычисление 10 15 2 2 3" xfId="30800"/>
    <cellStyle name="Вычисление 10 15 2 2 4" xfId="40675"/>
    <cellStyle name="Вычисление 10 15 2 3" xfId="20055"/>
    <cellStyle name="Вычисление 10 15 2 3 2" xfId="33865"/>
    <cellStyle name="Вычисление 10 15 2 3 3" xfId="43733"/>
    <cellStyle name="Вычисление 10 15 2 4" xfId="28592"/>
    <cellStyle name="Вычисление 10 15 2 5" xfId="38467"/>
    <cellStyle name="Вычисление 10 15 3" xfId="14284"/>
    <cellStyle name="Вычисление 10 15 3 2" xfId="19567"/>
    <cellStyle name="Вычисление 10 15 3 2 2" xfId="33377"/>
    <cellStyle name="Вычисление 10 15 3 2 3" xfId="43246"/>
    <cellStyle name="Вычисление 10 15 3 3" xfId="28105"/>
    <cellStyle name="Вычисление 10 15 3 4" xfId="37980"/>
    <cellStyle name="Вычисление 10 15 4" xfId="20713"/>
    <cellStyle name="Вычисление 10 15 5" xfId="21269"/>
    <cellStyle name="Вычисление 10 15 6" xfId="21725"/>
    <cellStyle name="Вычисление 10 15 7" xfId="22262"/>
    <cellStyle name="Вычисление 10 15 8" xfId="22446"/>
    <cellStyle name="Вычисление 10 15 9" xfId="23934"/>
    <cellStyle name="Вычисление 10 16" xfId="12098"/>
    <cellStyle name="Вычисление 10 16 10" xfId="24174"/>
    <cellStyle name="Вычисление 10 16 11" xfId="25972"/>
    <cellStyle name="Вычисление 10 16 12" xfId="35847"/>
    <cellStyle name="Вычисление 10 16 2" xfId="14996"/>
    <cellStyle name="Вычисление 10 16 2 2" xfId="20279"/>
    <cellStyle name="Вычисление 10 16 2 2 2" xfId="34089"/>
    <cellStyle name="Вычисление 10 16 2 2 3" xfId="43957"/>
    <cellStyle name="Вычисление 10 16 2 3" xfId="23550"/>
    <cellStyle name="Вычисление 10 16 2 4" xfId="28816"/>
    <cellStyle name="Вычисление 10 16 2 5" xfId="38691"/>
    <cellStyle name="Вычисление 10 16 3" xfId="20585"/>
    <cellStyle name="Вычисление 10 16 4" xfId="20921"/>
    <cellStyle name="Вычисление 10 16 5" xfId="21035"/>
    <cellStyle name="Вычисление 10 16 6" xfId="21477"/>
    <cellStyle name="Вычисление 10 16 7" xfId="21861"/>
    <cellStyle name="Вычисление 10 16 8" xfId="22366"/>
    <cellStyle name="Вычисление 10 16 9" xfId="22670"/>
    <cellStyle name="Вычисление 10 17" xfId="12178"/>
    <cellStyle name="Вычисление 10 17 10" xfId="24254"/>
    <cellStyle name="Вычисление 10 17 11" xfId="26052"/>
    <cellStyle name="Вычисление 10 17 12" xfId="35927"/>
    <cellStyle name="Вычисление 10 17 2" xfId="15076"/>
    <cellStyle name="Вычисление 10 17 2 2" xfId="20359"/>
    <cellStyle name="Вычисление 10 17 2 2 2" xfId="34169"/>
    <cellStyle name="Вычисление 10 17 2 2 3" xfId="44037"/>
    <cellStyle name="Вычисление 10 17 2 3" xfId="23630"/>
    <cellStyle name="Вычисление 10 17 2 4" xfId="28896"/>
    <cellStyle name="Вычисление 10 17 2 5" xfId="38771"/>
    <cellStyle name="Вычисление 10 17 3" xfId="20649"/>
    <cellStyle name="Вычисление 10 17 4" xfId="20985"/>
    <cellStyle name="Вычисление 10 17 5" xfId="21083"/>
    <cellStyle name="Вычисление 10 17 6" xfId="21557"/>
    <cellStyle name="Вычисление 10 17 7" xfId="21909"/>
    <cellStyle name="Вычисление 10 17 8" xfId="22398"/>
    <cellStyle name="Вычисление 10 17 9" xfId="22750"/>
    <cellStyle name="Вычисление 10 18" xfId="11686"/>
    <cellStyle name="Вычисление 10 18 2" xfId="14584"/>
    <cellStyle name="Вычисление 10 18 2 2" xfId="19867"/>
    <cellStyle name="Вычисление 10 18 2 2 2" xfId="33677"/>
    <cellStyle name="Вычисление 10 18 2 2 3" xfId="43545"/>
    <cellStyle name="Вычисление 10 18 2 3" xfId="28404"/>
    <cellStyle name="Вычисление 10 18 2 4" xfId="38279"/>
    <cellStyle name="Вычисление 10 18 3" xfId="15817"/>
    <cellStyle name="Вычисление 10 18 3 2" xfId="22829"/>
    <cellStyle name="Вычисление 10 18 3 3" xfId="24449"/>
    <cellStyle name="Вычисление 10 18 3 4" xfId="29636"/>
    <cellStyle name="Вычисление 10 18 3 5" xfId="39511"/>
    <cellStyle name="Вычисление 10 18 4" xfId="23309"/>
    <cellStyle name="Вычисление 10 18 5" xfId="25560"/>
    <cellStyle name="Вычисление 10 18 6" xfId="35435"/>
    <cellStyle name="Вычисление 10 19" xfId="13313"/>
    <cellStyle name="Вычисление 10 19 2" xfId="16114"/>
    <cellStyle name="Вычисление 10 19 2 2" xfId="29932"/>
    <cellStyle name="Вычисление 10 19 2 3" xfId="39807"/>
    <cellStyle name="Вычисление 10 19 3" xfId="18645"/>
    <cellStyle name="Вычисление 10 19 3 2" xfId="32455"/>
    <cellStyle name="Вычисление 10 19 3 3" xfId="42327"/>
    <cellStyle name="Вычисление 10 19 4" xfId="27186"/>
    <cellStyle name="Вычисление 10 19 5" xfId="37061"/>
    <cellStyle name="Вычисление 10 2" xfId="1354"/>
    <cellStyle name="Вычисление 10 2 10" xfId="23783"/>
    <cellStyle name="Вычисление 10 2 11" xfId="24699"/>
    <cellStyle name="Вычисление 10 2 12" xfId="34320"/>
    <cellStyle name="Вычисление 10 2 13" xfId="34567"/>
    <cellStyle name="Вычисление 10 2 2" xfId="8104"/>
    <cellStyle name="Вычисление 10 2 3" xfId="11978"/>
    <cellStyle name="Вычисление 10 2 3 10" xfId="25852"/>
    <cellStyle name="Вычисление 10 2 3 11" xfId="35727"/>
    <cellStyle name="Вычисление 10 2 3 2" xfId="14876"/>
    <cellStyle name="Вычисление 10 2 3 2 2" xfId="17090"/>
    <cellStyle name="Вычисление 10 2 3 2 2 2" xfId="23142"/>
    <cellStyle name="Вычисление 10 2 3 2 2 3" xfId="30904"/>
    <cellStyle name="Вычисление 10 2 3 2 2 4" xfId="40779"/>
    <cellStyle name="Вычисление 10 2 3 2 3" xfId="20159"/>
    <cellStyle name="Вычисление 10 2 3 2 3 2" xfId="33969"/>
    <cellStyle name="Вычисление 10 2 3 2 3 3" xfId="43837"/>
    <cellStyle name="Вычисление 10 2 3 2 4" xfId="28696"/>
    <cellStyle name="Вычисление 10 2 3 2 5" xfId="38571"/>
    <cellStyle name="Вычисление 10 2 3 3" xfId="14348"/>
    <cellStyle name="Вычисление 10 2 3 3 2" xfId="19631"/>
    <cellStyle name="Вычисление 10 2 3 3 2 2" xfId="33441"/>
    <cellStyle name="Вычисление 10 2 3 3 2 3" xfId="43310"/>
    <cellStyle name="Вычисление 10 2 3 3 3" xfId="28169"/>
    <cellStyle name="Вычисление 10 2 3 3 4" xfId="38044"/>
    <cellStyle name="Вычисление 10 2 3 4" xfId="20817"/>
    <cellStyle name="Вычисление 10 2 3 5" xfId="21373"/>
    <cellStyle name="Вычисление 10 2 3 6" xfId="21793"/>
    <cellStyle name="Вычисление 10 2 3 7" xfId="22314"/>
    <cellStyle name="Вычисление 10 2 3 8" xfId="22566"/>
    <cellStyle name="Вычисление 10 2 3 9" xfId="24054"/>
    <cellStyle name="Вычисление 10 2 4" xfId="11687"/>
    <cellStyle name="Вычисление 10 2 4 2" xfId="14585"/>
    <cellStyle name="Вычисление 10 2 4 2 2" xfId="19868"/>
    <cellStyle name="Вычисление 10 2 4 2 2 2" xfId="33678"/>
    <cellStyle name="Вычисление 10 2 4 2 2 3" xfId="43546"/>
    <cellStyle name="Вычисление 10 2 4 2 3" xfId="28405"/>
    <cellStyle name="Вычисление 10 2 4 2 4" xfId="38280"/>
    <cellStyle name="Вычисление 10 2 4 3" xfId="15818"/>
    <cellStyle name="Вычисление 10 2 4 3 2" xfId="22934"/>
    <cellStyle name="Вычисление 10 2 4 3 3" xfId="24450"/>
    <cellStyle name="Вычисление 10 2 4 3 4" xfId="29637"/>
    <cellStyle name="Вычисление 10 2 4 3 5" xfId="39512"/>
    <cellStyle name="Вычисление 10 2 4 4" xfId="23414"/>
    <cellStyle name="Вычисление 10 2 4 5" xfId="25561"/>
    <cellStyle name="Вычисление 10 2 4 6" xfId="35436"/>
    <cellStyle name="Вычисление 10 2 5" xfId="12302"/>
    <cellStyle name="Вычисление 10 2 5 2" xfId="17634"/>
    <cellStyle name="Вычисление 10 2 5 2 2" xfId="31444"/>
    <cellStyle name="Вычисление 10 2 5 2 3" xfId="41317"/>
    <cellStyle name="Вычисление 10 2 5 3" xfId="20481"/>
    <cellStyle name="Вычисление 10 2 5 4" xfId="26176"/>
    <cellStyle name="Вычисление 10 2 5 5" xfId="36051"/>
    <cellStyle name="Вычисление 10 2 6" xfId="13314"/>
    <cellStyle name="Вычисление 10 2 6 2" xfId="16115"/>
    <cellStyle name="Вычисление 10 2 6 2 2" xfId="29933"/>
    <cellStyle name="Вычисление 10 2 6 2 3" xfId="39808"/>
    <cellStyle name="Вычисление 10 2 6 3" xfId="18646"/>
    <cellStyle name="Вычисление 10 2 6 3 2" xfId="32456"/>
    <cellStyle name="Вычисление 10 2 6 3 3" xfId="42328"/>
    <cellStyle name="Вычисление 10 2 6 4" xfId="27187"/>
    <cellStyle name="Вычисление 10 2 6 5" xfId="37062"/>
    <cellStyle name="Вычисление 10 2 7" xfId="13164"/>
    <cellStyle name="Вычисление 10 2 7 2" xfId="18496"/>
    <cellStyle name="Вычисление 10 2 7 2 2" xfId="32306"/>
    <cellStyle name="Вычисление 10 2 7 2 3" xfId="42178"/>
    <cellStyle name="Вычисление 10 2 7 3" xfId="27037"/>
    <cellStyle name="Вычисление 10 2 7 4" xfId="36912"/>
    <cellStyle name="Вычисление 10 2 8" xfId="17269"/>
    <cellStyle name="Вычисление 10 2 8 2" xfId="21673"/>
    <cellStyle name="Вычисление 10 2 8 3" xfId="31080"/>
    <cellStyle name="Вычисление 10 2 8 4" xfId="40954"/>
    <cellStyle name="Вычисление 10 2 9" xfId="21996"/>
    <cellStyle name="Вычисление 10 20" xfId="13163"/>
    <cellStyle name="Вычисление 10 20 2" xfId="18495"/>
    <cellStyle name="Вычисление 10 20 2 2" xfId="32305"/>
    <cellStyle name="Вычисление 10 20 2 3" xfId="42177"/>
    <cellStyle name="Вычисление 10 20 3" xfId="27036"/>
    <cellStyle name="Вычисление 10 20 4" xfId="36911"/>
    <cellStyle name="Вычисление 10 21" xfId="17268"/>
    <cellStyle name="Вычисление 10 21 2" xfId="21162"/>
    <cellStyle name="Вычисление 10 21 3" xfId="31079"/>
    <cellStyle name="Вычисление 10 21 4" xfId="40953"/>
    <cellStyle name="Вычисление 10 22" xfId="21621"/>
    <cellStyle name="Вычисление 10 23" xfId="21995"/>
    <cellStyle name="Вычисление 10 24" xfId="23782"/>
    <cellStyle name="Вычисление 10 25" xfId="24698"/>
    <cellStyle name="Вычисление 10 26" xfId="34319"/>
    <cellStyle name="Вычисление 10 27" xfId="34568"/>
    <cellStyle name="Вычисление 10 3" xfId="1355"/>
    <cellStyle name="Вычисление 10 3 10" xfId="23784"/>
    <cellStyle name="Вычисление 10 3 11" xfId="24700"/>
    <cellStyle name="Вычисление 10 3 12" xfId="34321"/>
    <cellStyle name="Вычисление 10 3 13" xfId="34566"/>
    <cellStyle name="Вычисление 10 3 2" xfId="8105"/>
    <cellStyle name="Вычисление 10 3 3" xfId="11979"/>
    <cellStyle name="Вычисление 10 3 3 10" xfId="25853"/>
    <cellStyle name="Вычисление 10 3 3 11" xfId="35728"/>
    <cellStyle name="Вычисление 10 3 3 2" xfId="14877"/>
    <cellStyle name="Вычисление 10 3 3 2 2" xfId="17091"/>
    <cellStyle name="Вычисление 10 3 3 2 2 2" xfId="23143"/>
    <cellStyle name="Вычисление 10 3 3 2 2 3" xfId="30905"/>
    <cellStyle name="Вычисление 10 3 3 2 2 4" xfId="40780"/>
    <cellStyle name="Вычисление 10 3 3 2 3" xfId="20160"/>
    <cellStyle name="Вычисление 10 3 3 2 3 2" xfId="33970"/>
    <cellStyle name="Вычисление 10 3 3 2 3 3" xfId="43838"/>
    <cellStyle name="Вычисление 10 3 3 2 4" xfId="28697"/>
    <cellStyle name="Вычисление 10 3 3 2 5" xfId="38572"/>
    <cellStyle name="Вычисление 10 3 3 3" xfId="14349"/>
    <cellStyle name="Вычисление 10 3 3 3 2" xfId="19632"/>
    <cellStyle name="Вычисление 10 3 3 3 2 2" xfId="33442"/>
    <cellStyle name="Вычисление 10 3 3 3 2 3" xfId="43311"/>
    <cellStyle name="Вычисление 10 3 3 3 3" xfId="28170"/>
    <cellStyle name="Вычисление 10 3 3 3 4" xfId="38045"/>
    <cellStyle name="Вычисление 10 3 3 4" xfId="20818"/>
    <cellStyle name="Вычисление 10 3 3 5" xfId="21374"/>
    <cellStyle name="Вычисление 10 3 3 6" xfId="21794"/>
    <cellStyle name="Вычисление 10 3 3 7" xfId="22315"/>
    <cellStyle name="Вычисление 10 3 3 8" xfId="22567"/>
    <cellStyle name="Вычисление 10 3 3 9" xfId="24055"/>
    <cellStyle name="Вычисление 10 3 4" xfId="11688"/>
    <cellStyle name="Вычисление 10 3 4 2" xfId="14586"/>
    <cellStyle name="Вычисление 10 3 4 2 2" xfId="19869"/>
    <cellStyle name="Вычисление 10 3 4 2 2 2" xfId="33679"/>
    <cellStyle name="Вычисление 10 3 4 2 2 3" xfId="43547"/>
    <cellStyle name="Вычисление 10 3 4 2 3" xfId="28406"/>
    <cellStyle name="Вычисление 10 3 4 2 4" xfId="38281"/>
    <cellStyle name="Вычисление 10 3 4 3" xfId="15819"/>
    <cellStyle name="Вычисление 10 3 4 3 2" xfId="22935"/>
    <cellStyle name="Вычисление 10 3 4 3 3" xfId="24451"/>
    <cellStyle name="Вычисление 10 3 4 3 4" xfId="29638"/>
    <cellStyle name="Вычисление 10 3 4 3 5" xfId="39513"/>
    <cellStyle name="Вычисление 10 3 4 4" xfId="23415"/>
    <cellStyle name="Вычисление 10 3 4 5" xfId="25562"/>
    <cellStyle name="Вычисление 10 3 4 6" xfId="35437"/>
    <cellStyle name="Вычисление 10 3 5" xfId="12303"/>
    <cellStyle name="Вычисление 10 3 5 2" xfId="17635"/>
    <cellStyle name="Вычисление 10 3 5 2 2" xfId="31445"/>
    <cellStyle name="Вычисление 10 3 5 2 3" xfId="41318"/>
    <cellStyle name="Вычисление 10 3 5 3" xfId="20482"/>
    <cellStyle name="Вычисление 10 3 5 4" xfId="26177"/>
    <cellStyle name="Вычисление 10 3 5 5" xfId="36052"/>
    <cellStyle name="Вычисление 10 3 6" xfId="13315"/>
    <cellStyle name="Вычисление 10 3 6 2" xfId="16116"/>
    <cellStyle name="Вычисление 10 3 6 2 2" xfId="29934"/>
    <cellStyle name="Вычисление 10 3 6 2 3" xfId="39809"/>
    <cellStyle name="Вычисление 10 3 6 3" xfId="18647"/>
    <cellStyle name="Вычисление 10 3 6 3 2" xfId="32457"/>
    <cellStyle name="Вычисление 10 3 6 3 3" xfId="42329"/>
    <cellStyle name="Вычисление 10 3 6 4" xfId="27188"/>
    <cellStyle name="Вычисление 10 3 6 5" xfId="37063"/>
    <cellStyle name="Вычисление 10 3 7" xfId="13165"/>
    <cellStyle name="Вычисление 10 3 7 2" xfId="18497"/>
    <cellStyle name="Вычисление 10 3 7 2 2" xfId="32307"/>
    <cellStyle name="Вычисление 10 3 7 2 3" xfId="42179"/>
    <cellStyle name="Вычисление 10 3 7 3" xfId="27038"/>
    <cellStyle name="Вычисление 10 3 7 4" xfId="36913"/>
    <cellStyle name="Вычисление 10 3 8" xfId="17270"/>
    <cellStyle name="Вычисление 10 3 8 2" xfId="21674"/>
    <cellStyle name="Вычисление 10 3 8 3" xfId="31081"/>
    <cellStyle name="Вычисление 10 3 8 4" xfId="40955"/>
    <cellStyle name="Вычисление 10 3 9" xfId="21997"/>
    <cellStyle name="Вычисление 10 4" xfId="8098"/>
    <cellStyle name="Вычисление 10 5" xfId="8106"/>
    <cellStyle name="Вычисление 10 6" xfId="8107"/>
    <cellStyle name="Вычисление 10 7" xfId="8108"/>
    <cellStyle name="Вычисление 10 8" xfId="8109"/>
    <cellStyle name="Вычисление 10 9" xfId="8110"/>
    <cellStyle name="Вычисление 11" xfId="1356"/>
    <cellStyle name="Вычисление 11 10" xfId="8112"/>
    <cellStyle name="Вычисление 11 11" xfId="8113"/>
    <cellStyle name="Вычисление 11 12" xfId="8114"/>
    <cellStyle name="Вычисление 11 13" xfId="8115"/>
    <cellStyle name="Вычисление 11 14" xfId="8116"/>
    <cellStyle name="Вычисление 11 15" xfId="11875"/>
    <cellStyle name="Вычисление 11 15 10" xfId="25749"/>
    <cellStyle name="Вычисление 11 15 11" xfId="35624"/>
    <cellStyle name="Вычисление 11 15 2" xfId="14773"/>
    <cellStyle name="Вычисление 11 15 2 2" xfId="16987"/>
    <cellStyle name="Вычисление 11 15 2 2 2" xfId="23039"/>
    <cellStyle name="Вычисление 11 15 2 2 3" xfId="30801"/>
    <cellStyle name="Вычисление 11 15 2 2 4" xfId="40676"/>
    <cellStyle name="Вычисление 11 15 2 3" xfId="20056"/>
    <cellStyle name="Вычисление 11 15 2 3 2" xfId="33866"/>
    <cellStyle name="Вычисление 11 15 2 3 3" xfId="43734"/>
    <cellStyle name="Вычисление 11 15 2 4" xfId="28593"/>
    <cellStyle name="Вычисление 11 15 2 5" xfId="38468"/>
    <cellStyle name="Вычисление 11 15 3" xfId="13042"/>
    <cellStyle name="Вычисление 11 15 3 2" xfId="18374"/>
    <cellStyle name="Вычисление 11 15 3 2 2" xfId="32184"/>
    <cellStyle name="Вычисление 11 15 3 2 3" xfId="42057"/>
    <cellStyle name="Вычисление 11 15 3 3" xfId="26916"/>
    <cellStyle name="Вычисление 11 15 3 4" xfId="36791"/>
    <cellStyle name="Вычисление 11 15 4" xfId="20714"/>
    <cellStyle name="Вычисление 11 15 5" xfId="21270"/>
    <cellStyle name="Вычисление 11 15 6" xfId="21726"/>
    <cellStyle name="Вычисление 11 15 7" xfId="22263"/>
    <cellStyle name="Вычисление 11 15 8" xfId="22447"/>
    <cellStyle name="Вычисление 11 15 9" xfId="23935"/>
    <cellStyle name="Вычисление 11 16" xfId="12099"/>
    <cellStyle name="Вычисление 11 16 10" xfId="24175"/>
    <cellStyle name="Вычисление 11 16 11" xfId="25973"/>
    <cellStyle name="Вычисление 11 16 12" xfId="35848"/>
    <cellStyle name="Вычисление 11 16 2" xfId="14997"/>
    <cellStyle name="Вычисление 11 16 2 2" xfId="20280"/>
    <cellStyle name="Вычисление 11 16 2 2 2" xfId="34090"/>
    <cellStyle name="Вычисление 11 16 2 2 3" xfId="43958"/>
    <cellStyle name="Вычисление 11 16 2 3" xfId="23551"/>
    <cellStyle name="Вычисление 11 16 2 4" xfId="28817"/>
    <cellStyle name="Вычисление 11 16 2 5" xfId="38692"/>
    <cellStyle name="Вычисление 11 16 3" xfId="20586"/>
    <cellStyle name="Вычисление 11 16 4" xfId="20922"/>
    <cellStyle name="Вычисление 11 16 5" xfId="21036"/>
    <cellStyle name="Вычисление 11 16 6" xfId="21478"/>
    <cellStyle name="Вычисление 11 16 7" xfId="21862"/>
    <cellStyle name="Вычисление 11 16 8" xfId="22367"/>
    <cellStyle name="Вычисление 11 16 9" xfId="22671"/>
    <cellStyle name="Вычисление 11 17" xfId="12179"/>
    <cellStyle name="Вычисление 11 17 10" xfId="24255"/>
    <cellStyle name="Вычисление 11 17 11" xfId="26053"/>
    <cellStyle name="Вычисление 11 17 12" xfId="35928"/>
    <cellStyle name="Вычисление 11 17 2" xfId="15077"/>
    <cellStyle name="Вычисление 11 17 2 2" xfId="20360"/>
    <cellStyle name="Вычисление 11 17 2 2 2" xfId="34170"/>
    <cellStyle name="Вычисление 11 17 2 2 3" xfId="44038"/>
    <cellStyle name="Вычисление 11 17 2 3" xfId="23631"/>
    <cellStyle name="Вычисление 11 17 2 4" xfId="28897"/>
    <cellStyle name="Вычисление 11 17 2 5" xfId="38772"/>
    <cellStyle name="Вычисление 11 17 3" xfId="20650"/>
    <cellStyle name="Вычисление 11 17 4" xfId="20986"/>
    <cellStyle name="Вычисление 11 17 5" xfId="21084"/>
    <cellStyle name="Вычисление 11 17 6" xfId="21558"/>
    <cellStyle name="Вычисление 11 17 7" xfId="21910"/>
    <cellStyle name="Вычисление 11 17 8" xfId="22399"/>
    <cellStyle name="Вычисление 11 17 9" xfId="22751"/>
    <cellStyle name="Вычисление 11 18" xfId="11689"/>
    <cellStyle name="Вычисление 11 18 2" xfId="14587"/>
    <cellStyle name="Вычисление 11 18 2 2" xfId="19870"/>
    <cellStyle name="Вычисление 11 18 2 2 2" xfId="33680"/>
    <cellStyle name="Вычисление 11 18 2 2 3" xfId="43548"/>
    <cellStyle name="Вычисление 11 18 2 3" xfId="28407"/>
    <cellStyle name="Вычисление 11 18 2 4" xfId="38282"/>
    <cellStyle name="Вычисление 11 18 3" xfId="15820"/>
    <cellStyle name="Вычисление 11 18 3 2" xfId="22828"/>
    <cellStyle name="Вычисление 11 18 3 3" xfId="24452"/>
    <cellStyle name="Вычисление 11 18 3 4" xfId="29639"/>
    <cellStyle name="Вычисление 11 18 3 5" xfId="39514"/>
    <cellStyle name="Вычисление 11 18 4" xfId="23308"/>
    <cellStyle name="Вычисление 11 18 5" xfId="25563"/>
    <cellStyle name="Вычисление 11 18 6" xfId="35438"/>
    <cellStyle name="Вычисление 11 19" xfId="13316"/>
    <cellStyle name="Вычисление 11 19 2" xfId="16117"/>
    <cellStyle name="Вычисление 11 19 2 2" xfId="29935"/>
    <cellStyle name="Вычисление 11 19 2 3" xfId="39810"/>
    <cellStyle name="Вычисление 11 19 3" xfId="18648"/>
    <cellStyle name="Вычисление 11 19 3 2" xfId="32458"/>
    <cellStyle name="Вычисление 11 19 3 3" xfId="42330"/>
    <cellStyle name="Вычисление 11 19 4" xfId="27189"/>
    <cellStyle name="Вычисление 11 19 5" xfId="37064"/>
    <cellStyle name="Вычисление 11 2" xfId="1357"/>
    <cellStyle name="Вычисление 11 2 10" xfId="23786"/>
    <cellStyle name="Вычисление 11 2 11" xfId="24702"/>
    <cellStyle name="Вычисление 11 2 12" xfId="34323"/>
    <cellStyle name="Вычисление 11 2 13" xfId="34564"/>
    <cellStyle name="Вычисление 11 2 2" xfId="8117"/>
    <cellStyle name="Вычисление 11 2 3" xfId="11980"/>
    <cellStyle name="Вычисление 11 2 3 10" xfId="25854"/>
    <cellStyle name="Вычисление 11 2 3 11" xfId="35729"/>
    <cellStyle name="Вычисление 11 2 3 2" xfId="14878"/>
    <cellStyle name="Вычисление 11 2 3 2 2" xfId="17092"/>
    <cellStyle name="Вычисление 11 2 3 2 2 2" xfId="23144"/>
    <cellStyle name="Вычисление 11 2 3 2 2 3" xfId="30906"/>
    <cellStyle name="Вычисление 11 2 3 2 2 4" xfId="40781"/>
    <cellStyle name="Вычисление 11 2 3 2 3" xfId="20161"/>
    <cellStyle name="Вычисление 11 2 3 2 3 2" xfId="33971"/>
    <cellStyle name="Вычисление 11 2 3 2 3 3" xfId="43839"/>
    <cellStyle name="Вычисление 11 2 3 2 4" xfId="28698"/>
    <cellStyle name="Вычисление 11 2 3 2 5" xfId="38573"/>
    <cellStyle name="Вычисление 11 2 3 3" xfId="13027"/>
    <cellStyle name="Вычисление 11 2 3 3 2" xfId="18359"/>
    <cellStyle name="Вычисление 11 2 3 3 2 2" xfId="32169"/>
    <cellStyle name="Вычисление 11 2 3 3 2 3" xfId="42042"/>
    <cellStyle name="Вычисление 11 2 3 3 3" xfId="26901"/>
    <cellStyle name="Вычисление 11 2 3 3 4" xfId="36776"/>
    <cellStyle name="Вычисление 11 2 3 4" xfId="20819"/>
    <cellStyle name="Вычисление 11 2 3 5" xfId="21375"/>
    <cellStyle name="Вычисление 11 2 3 6" xfId="21795"/>
    <cellStyle name="Вычисление 11 2 3 7" xfId="22316"/>
    <cellStyle name="Вычисление 11 2 3 8" xfId="22568"/>
    <cellStyle name="Вычисление 11 2 3 9" xfId="24056"/>
    <cellStyle name="Вычисление 11 2 4" xfId="11690"/>
    <cellStyle name="Вычисление 11 2 4 2" xfId="14588"/>
    <cellStyle name="Вычисление 11 2 4 2 2" xfId="19871"/>
    <cellStyle name="Вычисление 11 2 4 2 2 2" xfId="33681"/>
    <cellStyle name="Вычисление 11 2 4 2 2 3" xfId="43549"/>
    <cellStyle name="Вычисление 11 2 4 2 3" xfId="28408"/>
    <cellStyle name="Вычисление 11 2 4 2 4" xfId="38283"/>
    <cellStyle name="Вычисление 11 2 4 3" xfId="15821"/>
    <cellStyle name="Вычисление 11 2 4 3 2" xfId="22936"/>
    <cellStyle name="Вычисление 11 2 4 3 3" xfId="24453"/>
    <cellStyle name="Вычисление 11 2 4 3 4" xfId="29640"/>
    <cellStyle name="Вычисление 11 2 4 3 5" xfId="39515"/>
    <cellStyle name="Вычисление 11 2 4 4" xfId="23416"/>
    <cellStyle name="Вычисление 11 2 4 5" xfId="25564"/>
    <cellStyle name="Вычисление 11 2 4 6" xfId="35439"/>
    <cellStyle name="Вычисление 11 2 5" xfId="12304"/>
    <cellStyle name="Вычисление 11 2 5 2" xfId="17636"/>
    <cellStyle name="Вычисление 11 2 5 2 2" xfId="31446"/>
    <cellStyle name="Вычисление 11 2 5 2 3" xfId="41319"/>
    <cellStyle name="Вычисление 11 2 5 3" xfId="20483"/>
    <cellStyle name="Вычисление 11 2 5 4" xfId="26178"/>
    <cellStyle name="Вычисление 11 2 5 5" xfId="36053"/>
    <cellStyle name="Вычисление 11 2 6" xfId="13317"/>
    <cellStyle name="Вычисление 11 2 6 2" xfId="16118"/>
    <cellStyle name="Вычисление 11 2 6 2 2" xfId="29936"/>
    <cellStyle name="Вычисление 11 2 6 2 3" xfId="39811"/>
    <cellStyle name="Вычисление 11 2 6 3" xfId="18649"/>
    <cellStyle name="Вычисление 11 2 6 3 2" xfId="32459"/>
    <cellStyle name="Вычисление 11 2 6 3 3" xfId="42331"/>
    <cellStyle name="Вычисление 11 2 6 4" xfId="27190"/>
    <cellStyle name="Вычисление 11 2 6 5" xfId="37065"/>
    <cellStyle name="Вычисление 11 2 7" xfId="13167"/>
    <cellStyle name="Вычисление 11 2 7 2" xfId="18499"/>
    <cellStyle name="Вычисление 11 2 7 2 2" xfId="32309"/>
    <cellStyle name="Вычисление 11 2 7 2 3" xfId="42181"/>
    <cellStyle name="Вычисление 11 2 7 3" xfId="27040"/>
    <cellStyle name="Вычисление 11 2 7 4" xfId="36915"/>
    <cellStyle name="Вычисление 11 2 8" xfId="17272"/>
    <cellStyle name="Вычисление 11 2 8 2" xfId="21675"/>
    <cellStyle name="Вычисление 11 2 8 3" xfId="31083"/>
    <cellStyle name="Вычисление 11 2 8 4" xfId="40957"/>
    <cellStyle name="Вычисление 11 2 9" xfId="21999"/>
    <cellStyle name="Вычисление 11 20" xfId="13166"/>
    <cellStyle name="Вычисление 11 20 2" xfId="18498"/>
    <cellStyle name="Вычисление 11 20 2 2" xfId="32308"/>
    <cellStyle name="Вычисление 11 20 2 3" xfId="42180"/>
    <cellStyle name="Вычисление 11 20 3" xfId="27039"/>
    <cellStyle name="Вычисление 11 20 4" xfId="36914"/>
    <cellStyle name="Вычисление 11 21" xfId="17271"/>
    <cellStyle name="Вычисление 11 21 2" xfId="21161"/>
    <cellStyle name="Вычисление 11 21 3" xfId="31082"/>
    <cellStyle name="Вычисление 11 21 4" xfId="40956"/>
    <cellStyle name="Вычисление 11 22" xfId="21622"/>
    <cellStyle name="Вычисление 11 23" xfId="21998"/>
    <cellStyle name="Вычисление 11 24" xfId="23785"/>
    <cellStyle name="Вычисление 11 25" xfId="24701"/>
    <cellStyle name="Вычисление 11 26" xfId="34322"/>
    <cellStyle name="Вычисление 11 27" xfId="34565"/>
    <cellStyle name="Вычисление 11 3" xfId="1358"/>
    <cellStyle name="Вычисление 11 3 10" xfId="23787"/>
    <cellStyle name="Вычисление 11 3 11" xfId="24703"/>
    <cellStyle name="Вычисление 11 3 12" xfId="34324"/>
    <cellStyle name="Вычисление 11 3 13" xfId="34563"/>
    <cellStyle name="Вычисление 11 3 2" xfId="8118"/>
    <cellStyle name="Вычисление 11 3 3" xfId="11981"/>
    <cellStyle name="Вычисление 11 3 3 10" xfId="25855"/>
    <cellStyle name="Вычисление 11 3 3 11" xfId="35730"/>
    <cellStyle name="Вычисление 11 3 3 2" xfId="14879"/>
    <cellStyle name="Вычисление 11 3 3 2 2" xfId="17093"/>
    <cellStyle name="Вычисление 11 3 3 2 2 2" xfId="23145"/>
    <cellStyle name="Вычисление 11 3 3 2 2 3" xfId="30907"/>
    <cellStyle name="Вычисление 11 3 3 2 2 4" xfId="40782"/>
    <cellStyle name="Вычисление 11 3 3 2 3" xfId="20162"/>
    <cellStyle name="Вычисление 11 3 3 2 3 2" xfId="33972"/>
    <cellStyle name="Вычисление 11 3 3 2 3 3" xfId="43840"/>
    <cellStyle name="Вычисление 11 3 3 2 4" xfId="28699"/>
    <cellStyle name="Вычисление 11 3 3 2 5" xfId="38574"/>
    <cellStyle name="Вычисление 11 3 3 3" xfId="13623"/>
    <cellStyle name="Вычисление 11 3 3 3 2" xfId="18906"/>
    <cellStyle name="Вычисление 11 3 3 3 2 2" xfId="32716"/>
    <cellStyle name="Вычисление 11 3 3 3 2 3" xfId="42586"/>
    <cellStyle name="Вычисление 11 3 3 3 3" xfId="27445"/>
    <cellStyle name="Вычисление 11 3 3 3 4" xfId="37320"/>
    <cellStyle name="Вычисление 11 3 3 4" xfId="20820"/>
    <cellStyle name="Вычисление 11 3 3 5" xfId="21376"/>
    <cellStyle name="Вычисление 11 3 3 6" xfId="21796"/>
    <cellStyle name="Вычисление 11 3 3 7" xfId="22317"/>
    <cellStyle name="Вычисление 11 3 3 8" xfId="22569"/>
    <cellStyle name="Вычисление 11 3 3 9" xfId="24057"/>
    <cellStyle name="Вычисление 11 3 4" xfId="11691"/>
    <cellStyle name="Вычисление 11 3 4 2" xfId="14589"/>
    <cellStyle name="Вычисление 11 3 4 2 2" xfId="19872"/>
    <cellStyle name="Вычисление 11 3 4 2 2 2" xfId="33682"/>
    <cellStyle name="Вычисление 11 3 4 2 2 3" xfId="43550"/>
    <cellStyle name="Вычисление 11 3 4 2 3" xfId="28409"/>
    <cellStyle name="Вычисление 11 3 4 2 4" xfId="38284"/>
    <cellStyle name="Вычисление 11 3 4 3" xfId="15822"/>
    <cellStyle name="Вычисление 11 3 4 3 2" xfId="22937"/>
    <cellStyle name="Вычисление 11 3 4 3 3" xfId="24454"/>
    <cellStyle name="Вычисление 11 3 4 3 4" xfId="29641"/>
    <cellStyle name="Вычисление 11 3 4 3 5" xfId="39516"/>
    <cellStyle name="Вычисление 11 3 4 4" xfId="23417"/>
    <cellStyle name="Вычисление 11 3 4 5" xfId="25565"/>
    <cellStyle name="Вычисление 11 3 4 6" xfId="35440"/>
    <cellStyle name="Вычисление 11 3 5" xfId="12305"/>
    <cellStyle name="Вычисление 11 3 5 2" xfId="17637"/>
    <cellStyle name="Вычисление 11 3 5 2 2" xfId="31447"/>
    <cellStyle name="Вычисление 11 3 5 2 3" xfId="41320"/>
    <cellStyle name="Вычисление 11 3 5 3" xfId="20484"/>
    <cellStyle name="Вычисление 11 3 5 4" xfId="26179"/>
    <cellStyle name="Вычисление 11 3 5 5" xfId="36054"/>
    <cellStyle name="Вычисление 11 3 6" xfId="13318"/>
    <cellStyle name="Вычисление 11 3 6 2" xfId="16119"/>
    <cellStyle name="Вычисление 11 3 6 2 2" xfId="29937"/>
    <cellStyle name="Вычисление 11 3 6 2 3" xfId="39812"/>
    <cellStyle name="Вычисление 11 3 6 3" xfId="18650"/>
    <cellStyle name="Вычисление 11 3 6 3 2" xfId="32460"/>
    <cellStyle name="Вычисление 11 3 6 3 3" xfId="42332"/>
    <cellStyle name="Вычисление 11 3 6 4" xfId="27191"/>
    <cellStyle name="Вычисление 11 3 6 5" xfId="37066"/>
    <cellStyle name="Вычисление 11 3 7" xfId="13168"/>
    <cellStyle name="Вычисление 11 3 7 2" xfId="18500"/>
    <cellStyle name="Вычисление 11 3 7 2 2" xfId="32310"/>
    <cellStyle name="Вычисление 11 3 7 2 3" xfId="42182"/>
    <cellStyle name="Вычисление 11 3 7 3" xfId="27041"/>
    <cellStyle name="Вычисление 11 3 7 4" xfId="36916"/>
    <cellStyle name="Вычисление 11 3 8" xfId="17273"/>
    <cellStyle name="Вычисление 11 3 8 2" xfId="21676"/>
    <cellStyle name="Вычисление 11 3 8 3" xfId="31084"/>
    <cellStyle name="Вычисление 11 3 8 4" xfId="40958"/>
    <cellStyle name="Вычисление 11 3 9" xfId="22000"/>
    <cellStyle name="Вычисление 11 4" xfId="8111"/>
    <cellStyle name="Вычисление 11 5" xfId="8119"/>
    <cellStyle name="Вычисление 11 6" xfId="8120"/>
    <cellStyle name="Вычисление 11 7" xfId="8121"/>
    <cellStyle name="Вычисление 11 8" xfId="8122"/>
    <cellStyle name="Вычисление 11 9" xfId="8123"/>
    <cellStyle name="Вычисление 12" xfId="1359"/>
    <cellStyle name="Вычисление 12 10" xfId="8125"/>
    <cellStyle name="Вычисление 12 11" xfId="8126"/>
    <cellStyle name="Вычисление 12 12" xfId="8127"/>
    <cellStyle name="Вычисление 12 13" xfId="8128"/>
    <cellStyle name="Вычисление 12 14" xfId="8129"/>
    <cellStyle name="Вычисление 12 15" xfId="11876"/>
    <cellStyle name="Вычисление 12 15 10" xfId="25750"/>
    <cellStyle name="Вычисление 12 15 11" xfId="35625"/>
    <cellStyle name="Вычисление 12 15 2" xfId="14774"/>
    <cellStyle name="Вычисление 12 15 2 2" xfId="16988"/>
    <cellStyle name="Вычисление 12 15 2 2 2" xfId="23040"/>
    <cellStyle name="Вычисление 12 15 2 2 3" xfId="30802"/>
    <cellStyle name="Вычисление 12 15 2 2 4" xfId="40677"/>
    <cellStyle name="Вычисление 12 15 2 3" xfId="20057"/>
    <cellStyle name="Вычисление 12 15 2 3 2" xfId="33867"/>
    <cellStyle name="Вычисление 12 15 2 3 3" xfId="43735"/>
    <cellStyle name="Вычисление 12 15 2 4" xfId="28594"/>
    <cellStyle name="Вычисление 12 15 2 5" xfId="38469"/>
    <cellStyle name="Вычисление 12 15 3" xfId="14286"/>
    <cellStyle name="Вычисление 12 15 3 2" xfId="19569"/>
    <cellStyle name="Вычисление 12 15 3 2 2" xfId="33379"/>
    <cellStyle name="Вычисление 12 15 3 2 3" xfId="43248"/>
    <cellStyle name="Вычисление 12 15 3 3" xfId="28107"/>
    <cellStyle name="Вычисление 12 15 3 4" xfId="37982"/>
    <cellStyle name="Вычисление 12 15 4" xfId="20715"/>
    <cellStyle name="Вычисление 12 15 5" xfId="21271"/>
    <cellStyle name="Вычисление 12 15 6" xfId="21727"/>
    <cellStyle name="Вычисление 12 15 7" xfId="22264"/>
    <cellStyle name="Вычисление 12 15 8" xfId="22448"/>
    <cellStyle name="Вычисление 12 15 9" xfId="23936"/>
    <cellStyle name="Вычисление 12 16" xfId="12100"/>
    <cellStyle name="Вычисление 12 16 10" xfId="24176"/>
    <cellStyle name="Вычисление 12 16 11" xfId="25974"/>
    <cellStyle name="Вычисление 12 16 12" xfId="35849"/>
    <cellStyle name="Вычисление 12 16 2" xfId="14998"/>
    <cellStyle name="Вычисление 12 16 2 2" xfId="20281"/>
    <cellStyle name="Вычисление 12 16 2 2 2" xfId="34091"/>
    <cellStyle name="Вычисление 12 16 2 2 3" xfId="43959"/>
    <cellStyle name="Вычисление 12 16 2 3" xfId="23552"/>
    <cellStyle name="Вычисление 12 16 2 4" xfId="28818"/>
    <cellStyle name="Вычисление 12 16 2 5" xfId="38693"/>
    <cellStyle name="Вычисление 12 16 3" xfId="20587"/>
    <cellStyle name="Вычисление 12 16 4" xfId="20923"/>
    <cellStyle name="Вычисление 12 16 5" xfId="21037"/>
    <cellStyle name="Вычисление 12 16 6" xfId="21479"/>
    <cellStyle name="Вычисление 12 16 7" xfId="21863"/>
    <cellStyle name="Вычисление 12 16 8" xfId="22368"/>
    <cellStyle name="Вычисление 12 16 9" xfId="22672"/>
    <cellStyle name="Вычисление 12 17" xfId="12180"/>
    <cellStyle name="Вычисление 12 17 10" xfId="24256"/>
    <cellStyle name="Вычисление 12 17 11" xfId="26054"/>
    <cellStyle name="Вычисление 12 17 12" xfId="35929"/>
    <cellStyle name="Вычисление 12 17 2" xfId="15078"/>
    <cellStyle name="Вычисление 12 17 2 2" xfId="20361"/>
    <cellStyle name="Вычисление 12 17 2 2 2" xfId="34171"/>
    <cellStyle name="Вычисление 12 17 2 2 3" xfId="44039"/>
    <cellStyle name="Вычисление 12 17 2 3" xfId="23632"/>
    <cellStyle name="Вычисление 12 17 2 4" xfId="28898"/>
    <cellStyle name="Вычисление 12 17 2 5" xfId="38773"/>
    <cellStyle name="Вычисление 12 17 3" xfId="20651"/>
    <cellStyle name="Вычисление 12 17 4" xfId="20987"/>
    <cellStyle name="Вычисление 12 17 5" xfId="21085"/>
    <cellStyle name="Вычисление 12 17 6" xfId="21559"/>
    <cellStyle name="Вычисление 12 17 7" xfId="21911"/>
    <cellStyle name="Вычисление 12 17 8" xfId="22400"/>
    <cellStyle name="Вычисление 12 17 9" xfId="22752"/>
    <cellStyle name="Вычисление 12 18" xfId="11692"/>
    <cellStyle name="Вычисление 12 18 2" xfId="14590"/>
    <cellStyle name="Вычисление 12 18 2 2" xfId="19873"/>
    <cellStyle name="Вычисление 12 18 2 2 2" xfId="33683"/>
    <cellStyle name="Вычисление 12 18 2 2 3" xfId="43551"/>
    <cellStyle name="Вычисление 12 18 2 3" xfId="28410"/>
    <cellStyle name="Вычисление 12 18 2 4" xfId="38285"/>
    <cellStyle name="Вычисление 12 18 3" xfId="15823"/>
    <cellStyle name="Вычисление 12 18 3 2" xfId="22827"/>
    <cellStyle name="Вычисление 12 18 3 3" xfId="24455"/>
    <cellStyle name="Вычисление 12 18 3 4" xfId="29642"/>
    <cellStyle name="Вычисление 12 18 3 5" xfId="39517"/>
    <cellStyle name="Вычисление 12 18 4" xfId="23307"/>
    <cellStyle name="Вычисление 12 18 5" xfId="25566"/>
    <cellStyle name="Вычисление 12 18 6" xfId="35441"/>
    <cellStyle name="Вычисление 12 19" xfId="13319"/>
    <cellStyle name="Вычисление 12 19 2" xfId="16120"/>
    <cellStyle name="Вычисление 12 19 2 2" xfId="29938"/>
    <cellStyle name="Вычисление 12 19 2 3" xfId="39813"/>
    <cellStyle name="Вычисление 12 19 3" xfId="18651"/>
    <cellStyle name="Вычисление 12 19 3 2" xfId="32461"/>
    <cellStyle name="Вычисление 12 19 3 3" xfId="42333"/>
    <cellStyle name="Вычисление 12 19 4" xfId="27192"/>
    <cellStyle name="Вычисление 12 19 5" xfId="37067"/>
    <cellStyle name="Вычисление 12 2" xfId="1360"/>
    <cellStyle name="Вычисление 12 2 10" xfId="23789"/>
    <cellStyle name="Вычисление 12 2 11" xfId="24705"/>
    <cellStyle name="Вычисление 12 2 12" xfId="34326"/>
    <cellStyle name="Вычисление 12 2 13" xfId="34561"/>
    <cellStyle name="Вычисление 12 2 2" xfId="8130"/>
    <cellStyle name="Вычисление 12 2 3" xfId="11982"/>
    <cellStyle name="Вычисление 12 2 3 10" xfId="25856"/>
    <cellStyle name="Вычисление 12 2 3 11" xfId="35731"/>
    <cellStyle name="Вычисление 12 2 3 2" xfId="14880"/>
    <cellStyle name="Вычисление 12 2 3 2 2" xfId="17094"/>
    <cellStyle name="Вычисление 12 2 3 2 2 2" xfId="23146"/>
    <cellStyle name="Вычисление 12 2 3 2 2 3" xfId="30908"/>
    <cellStyle name="Вычисление 12 2 3 2 2 4" xfId="40783"/>
    <cellStyle name="Вычисление 12 2 3 2 3" xfId="20163"/>
    <cellStyle name="Вычисление 12 2 3 2 3 2" xfId="33973"/>
    <cellStyle name="Вычисление 12 2 3 2 3 3" xfId="43841"/>
    <cellStyle name="Вычисление 12 2 3 2 4" xfId="28700"/>
    <cellStyle name="Вычисление 12 2 3 2 5" xfId="38575"/>
    <cellStyle name="Вычисление 12 2 3 3" xfId="14351"/>
    <cellStyle name="Вычисление 12 2 3 3 2" xfId="19634"/>
    <cellStyle name="Вычисление 12 2 3 3 2 2" xfId="33444"/>
    <cellStyle name="Вычисление 12 2 3 3 2 3" xfId="43313"/>
    <cellStyle name="Вычисление 12 2 3 3 3" xfId="28172"/>
    <cellStyle name="Вычисление 12 2 3 3 4" xfId="38047"/>
    <cellStyle name="Вычисление 12 2 3 4" xfId="20821"/>
    <cellStyle name="Вычисление 12 2 3 5" xfId="21377"/>
    <cellStyle name="Вычисление 12 2 3 6" xfId="21797"/>
    <cellStyle name="Вычисление 12 2 3 7" xfId="22318"/>
    <cellStyle name="Вычисление 12 2 3 8" xfId="22570"/>
    <cellStyle name="Вычисление 12 2 3 9" xfId="24058"/>
    <cellStyle name="Вычисление 12 2 4" xfId="11693"/>
    <cellStyle name="Вычисление 12 2 4 2" xfId="14591"/>
    <cellStyle name="Вычисление 12 2 4 2 2" xfId="19874"/>
    <cellStyle name="Вычисление 12 2 4 2 2 2" xfId="33684"/>
    <cellStyle name="Вычисление 12 2 4 2 2 3" xfId="43552"/>
    <cellStyle name="Вычисление 12 2 4 2 3" xfId="28411"/>
    <cellStyle name="Вычисление 12 2 4 2 4" xfId="38286"/>
    <cellStyle name="Вычисление 12 2 4 3" xfId="15824"/>
    <cellStyle name="Вычисление 12 2 4 3 2" xfId="22938"/>
    <cellStyle name="Вычисление 12 2 4 3 3" xfId="24456"/>
    <cellStyle name="Вычисление 12 2 4 3 4" xfId="29643"/>
    <cellStyle name="Вычисление 12 2 4 3 5" xfId="39518"/>
    <cellStyle name="Вычисление 12 2 4 4" xfId="23418"/>
    <cellStyle name="Вычисление 12 2 4 5" xfId="25567"/>
    <cellStyle name="Вычисление 12 2 4 6" xfId="35442"/>
    <cellStyle name="Вычисление 12 2 5" xfId="12306"/>
    <cellStyle name="Вычисление 12 2 5 2" xfId="17638"/>
    <cellStyle name="Вычисление 12 2 5 2 2" xfId="31448"/>
    <cellStyle name="Вычисление 12 2 5 2 3" xfId="41321"/>
    <cellStyle name="Вычисление 12 2 5 3" xfId="20485"/>
    <cellStyle name="Вычисление 12 2 5 4" xfId="26180"/>
    <cellStyle name="Вычисление 12 2 5 5" xfId="36055"/>
    <cellStyle name="Вычисление 12 2 6" xfId="13320"/>
    <cellStyle name="Вычисление 12 2 6 2" xfId="16121"/>
    <cellStyle name="Вычисление 12 2 6 2 2" xfId="29939"/>
    <cellStyle name="Вычисление 12 2 6 2 3" xfId="39814"/>
    <cellStyle name="Вычисление 12 2 6 3" xfId="18652"/>
    <cellStyle name="Вычисление 12 2 6 3 2" xfId="32462"/>
    <cellStyle name="Вычисление 12 2 6 3 3" xfId="42334"/>
    <cellStyle name="Вычисление 12 2 6 4" xfId="27193"/>
    <cellStyle name="Вычисление 12 2 6 5" xfId="37068"/>
    <cellStyle name="Вычисление 12 2 7" xfId="13170"/>
    <cellStyle name="Вычисление 12 2 7 2" xfId="18502"/>
    <cellStyle name="Вычисление 12 2 7 2 2" xfId="32312"/>
    <cellStyle name="Вычисление 12 2 7 2 3" xfId="42184"/>
    <cellStyle name="Вычисление 12 2 7 3" xfId="27043"/>
    <cellStyle name="Вычисление 12 2 7 4" xfId="36918"/>
    <cellStyle name="Вычисление 12 2 8" xfId="17275"/>
    <cellStyle name="Вычисление 12 2 8 2" xfId="21677"/>
    <cellStyle name="Вычисление 12 2 8 3" xfId="31086"/>
    <cellStyle name="Вычисление 12 2 8 4" xfId="40960"/>
    <cellStyle name="Вычисление 12 2 9" xfId="22002"/>
    <cellStyle name="Вычисление 12 20" xfId="13169"/>
    <cellStyle name="Вычисление 12 20 2" xfId="18501"/>
    <cellStyle name="Вычисление 12 20 2 2" xfId="32311"/>
    <cellStyle name="Вычисление 12 20 2 3" xfId="42183"/>
    <cellStyle name="Вычисление 12 20 3" xfId="27042"/>
    <cellStyle name="Вычисление 12 20 4" xfId="36917"/>
    <cellStyle name="Вычисление 12 21" xfId="17274"/>
    <cellStyle name="Вычисление 12 21 2" xfId="21160"/>
    <cellStyle name="Вычисление 12 21 3" xfId="31085"/>
    <cellStyle name="Вычисление 12 21 4" xfId="40959"/>
    <cellStyle name="Вычисление 12 22" xfId="21623"/>
    <cellStyle name="Вычисление 12 23" xfId="22001"/>
    <cellStyle name="Вычисление 12 24" xfId="23788"/>
    <cellStyle name="Вычисление 12 25" xfId="24704"/>
    <cellStyle name="Вычисление 12 26" xfId="34325"/>
    <cellStyle name="Вычисление 12 27" xfId="34562"/>
    <cellStyle name="Вычисление 12 3" xfId="1361"/>
    <cellStyle name="Вычисление 12 3 10" xfId="23790"/>
    <cellStyle name="Вычисление 12 3 11" xfId="24706"/>
    <cellStyle name="Вычисление 12 3 12" xfId="34327"/>
    <cellStyle name="Вычисление 12 3 13" xfId="34560"/>
    <cellStyle name="Вычисление 12 3 2" xfId="8131"/>
    <cellStyle name="Вычисление 12 3 3" xfId="11983"/>
    <cellStyle name="Вычисление 12 3 3 10" xfId="25857"/>
    <cellStyle name="Вычисление 12 3 3 11" xfId="35732"/>
    <cellStyle name="Вычисление 12 3 3 2" xfId="14881"/>
    <cellStyle name="Вычисление 12 3 3 2 2" xfId="17095"/>
    <cellStyle name="Вычисление 12 3 3 2 2 2" xfId="23147"/>
    <cellStyle name="Вычисление 12 3 3 2 2 3" xfId="30909"/>
    <cellStyle name="Вычисление 12 3 3 2 2 4" xfId="40784"/>
    <cellStyle name="Вычисление 12 3 3 2 3" xfId="20164"/>
    <cellStyle name="Вычисление 12 3 3 2 3 2" xfId="33974"/>
    <cellStyle name="Вычисление 12 3 3 2 3 3" xfId="43842"/>
    <cellStyle name="Вычисление 12 3 3 2 4" xfId="28701"/>
    <cellStyle name="Вычисление 12 3 3 2 5" xfId="38576"/>
    <cellStyle name="Вычисление 12 3 3 3" xfId="14352"/>
    <cellStyle name="Вычисление 12 3 3 3 2" xfId="19635"/>
    <cellStyle name="Вычисление 12 3 3 3 2 2" xfId="33445"/>
    <cellStyle name="Вычисление 12 3 3 3 2 3" xfId="43314"/>
    <cellStyle name="Вычисление 12 3 3 3 3" xfId="28173"/>
    <cellStyle name="Вычисление 12 3 3 3 4" xfId="38048"/>
    <cellStyle name="Вычисление 12 3 3 4" xfId="20822"/>
    <cellStyle name="Вычисление 12 3 3 5" xfId="21378"/>
    <cellStyle name="Вычисление 12 3 3 6" xfId="21798"/>
    <cellStyle name="Вычисление 12 3 3 7" xfId="22319"/>
    <cellStyle name="Вычисление 12 3 3 8" xfId="22571"/>
    <cellStyle name="Вычисление 12 3 3 9" xfId="24059"/>
    <cellStyle name="Вычисление 12 3 4" xfId="11694"/>
    <cellStyle name="Вычисление 12 3 4 2" xfId="14592"/>
    <cellStyle name="Вычисление 12 3 4 2 2" xfId="19875"/>
    <cellStyle name="Вычисление 12 3 4 2 2 2" xfId="33685"/>
    <cellStyle name="Вычисление 12 3 4 2 2 3" xfId="43553"/>
    <cellStyle name="Вычисление 12 3 4 2 3" xfId="28412"/>
    <cellStyle name="Вычисление 12 3 4 2 4" xfId="38287"/>
    <cellStyle name="Вычисление 12 3 4 3" xfId="15825"/>
    <cellStyle name="Вычисление 12 3 4 3 2" xfId="22939"/>
    <cellStyle name="Вычисление 12 3 4 3 3" xfId="24457"/>
    <cellStyle name="Вычисление 12 3 4 3 4" xfId="29644"/>
    <cellStyle name="Вычисление 12 3 4 3 5" xfId="39519"/>
    <cellStyle name="Вычисление 12 3 4 4" xfId="23419"/>
    <cellStyle name="Вычисление 12 3 4 5" xfId="25568"/>
    <cellStyle name="Вычисление 12 3 4 6" xfId="35443"/>
    <cellStyle name="Вычисление 12 3 5" xfId="12307"/>
    <cellStyle name="Вычисление 12 3 5 2" xfId="17639"/>
    <cellStyle name="Вычисление 12 3 5 2 2" xfId="31449"/>
    <cellStyle name="Вычисление 12 3 5 2 3" xfId="41322"/>
    <cellStyle name="Вычисление 12 3 5 3" xfId="20486"/>
    <cellStyle name="Вычисление 12 3 5 4" xfId="26181"/>
    <cellStyle name="Вычисление 12 3 5 5" xfId="36056"/>
    <cellStyle name="Вычисление 12 3 6" xfId="13321"/>
    <cellStyle name="Вычисление 12 3 6 2" xfId="16122"/>
    <cellStyle name="Вычисление 12 3 6 2 2" xfId="29940"/>
    <cellStyle name="Вычисление 12 3 6 2 3" xfId="39815"/>
    <cellStyle name="Вычисление 12 3 6 3" xfId="18653"/>
    <cellStyle name="Вычисление 12 3 6 3 2" xfId="32463"/>
    <cellStyle name="Вычисление 12 3 6 3 3" xfId="42335"/>
    <cellStyle name="Вычисление 12 3 6 4" xfId="27194"/>
    <cellStyle name="Вычисление 12 3 6 5" xfId="37069"/>
    <cellStyle name="Вычисление 12 3 7" xfId="13171"/>
    <cellStyle name="Вычисление 12 3 7 2" xfId="18503"/>
    <cellStyle name="Вычисление 12 3 7 2 2" xfId="32313"/>
    <cellStyle name="Вычисление 12 3 7 2 3" xfId="42185"/>
    <cellStyle name="Вычисление 12 3 7 3" xfId="27044"/>
    <cellStyle name="Вычисление 12 3 7 4" xfId="36919"/>
    <cellStyle name="Вычисление 12 3 8" xfId="17276"/>
    <cellStyle name="Вычисление 12 3 8 2" xfId="21678"/>
    <cellStyle name="Вычисление 12 3 8 3" xfId="31087"/>
    <cellStyle name="Вычисление 12 3 8 4" xfId="40961"/>
    <cellStyle name="Вычисление 12 3 9" xfId="22003"/>
    <cellStyle name="Вычисление 12 4" xfId="8124"/>
    <cellStyle name="Вычисление 12 5" xfId="8132"/>
    <cellStyle name="Вычисление 12 6" xfId="8133"/>
    <cellStyle name="Вычисление 12 7" xfId="8134"/>
    <cellStyle name="Вычисление 12 8" xfId="8135"/>
    <cellStyle name="Вычисление 12 9" xfId="8136"/>
    <cellStyle name="Вычисление 13" xfId="1362"/>
    <cellStyle name="Вычисление 13 10" xfId="8138"/>
    <cellStyle name="Вычисление 13 11" xfId="8139"/>
    <cellStyle name="Вычисление 13 12" xfId="8140"/>
    <cellStyle name="Вычисление 13 13" xfId="8141"/>
    <cellStyle name="Вычисление 13 14" xfId="8142"/>
    <cellStyle name="Вычисление 13 15" xfId="11877"/>
    <cellStyle name="Вычисление 13 15 10" xfId="25751"/>
    <cellStyle name="Вычисление 13 15 11" xfId="35626"/>
    <cellStyle name="Вычисление 13 15 2" xfId="14775"/>
    <cellStyle name="Вычисление 13 15 2 2" xfId="16989"/>
    <cellStyle name="Вычисление 13 15 2 2 2" xfId="23041"/>
    <cellStyle name="Вычисление 13 15 2 2 3" xfId="30803"/>
    <cellStyle name="Вычисление 13 15 2 2 4" xfId="40678"/>
    <cellStyle name="Вычисление 13 15 2 3" xfId="20058"/>
    <cellStyle name="Вычисление 13 15 2 3 2" xfId="33868"/>
    <cellStyle name="Вычисление 13 15 2 3 3" xfId="43736"/>
    <cellStyle name="Вычисление 13 15 2 4" xfId="28595"/>
    <cellStyle name="Вычисление 13 15 2 5" xfId="38470"/>
    <cellStyle name="Вычисление 13 15 3" xfId="14287"/>
    <cellStyle name="Вычисление 13 15 3 2" xfId="19570"/>
    <cellStyle name="Вычисление 13 15 3 2 2" xfId="33380"/>
    <cellStyle name="Вычисление 13 15 3 2 3" xfId="43249"/>
    <cellStyle name="Вычисление 13 15 3 3" xfId="28108"/>
    <cellStyle name="Вычисление 13 15 3 4" xfId="37983"/>
    <cellStyle name="Вычисление 13 15 4" xfId="20716"/>
    <cellStyle name="Вычисление 13 15 5" xfId="21272"/>
    <cellStyle name="Вычисление 13 15 6" xfId="21728"/>
    <cellStyle name="Вычисление 13 15 7" xfId="22265"/>
    <cellStyle name="Вычисление 13 15 8" xfId="22449"/>
    <cellStyle name="Вычисление 13 15 9" xfId="23937"/>
    <cellStyle name="Вычисление 13 16" xfId="12101"/>
    <cellStyle name="Вычисление 13 16 10" xfId="24177"/>
    <cellStyle name="Вычисление 13 16 11" xfId="25975"/>
    <cellStyle name="Вычисление 13 16 12" xfId="35850"/>
    <cellStyle name="Вычисление 13 16 2" xfId="14999"/>
    <cellStyle name="Вычисление 13 16 2 2" xfId="20282"/>
    <cellStyle name="Вычисление 13 16 2 2 2" xfId="34092"/>
    <cellStyle name="Вычисление 13 16 2 2 3" xfId="43960"/>
    <cellStyle name="Вычисление 13 16 2 3" xfId="23553"/>
    <cellStyle name="Вычисление 13 16 2 4" xfId="28819"/>
    <cellStyle name="Вычисление 13 16 2 5" xfId="38694"/>
    <cellStyle name="Вычисление 13 16 3" xfId="20588"/>
    <cellStyle name="Вычисление 13 16 4" xfId="20924"/>
    <cellStyle name="Вычисление 13 16 5" xfId="21038"/>
    <cellStyle name="Вычисление 13 16 6" xfId="21480"/>
    <cellStyle name="Вычисление 13 16 7" xfId="21864"/>
    <cellStyle name="Вычисление 13 16 8" xfId="22369"/>
    <cellStyle name="Вычисление 13 16 9" xfId="22673"/>
    <cellStyle name="Вычисление 13 17" xfId="12181"/>
    <cellStyle name="Вычисление 13 17 10" xfId="24257"/>
    <cellStyle name="Вычисление 13 17 11" xfId="26055"/>
    <cellStyle name="Вычисление 13 17 12" xfId="35930"/>
    <cellStyle name="Вычисление 13 17 2" xfId="15079"/>
    <cellStyle name="Вычисление 13 17 2 2" xfId="20362"/>
    <cellStyle name="Вычисление 13 17 2 2 2" xfId="34172"/>
    <cellStyle name="Вычисление 13 17 2 2 3" xfId="44040"/>
    <cellStyle name="Вычисление 13 17 2 3" xfId="23633"/>
    <cellStyle name="Вычисление 13 17 2 4" xfId="28899"/>
    <cellStyle name="Вычисление 13 17 2 5" xfId="38774"/>
    <cellStyle name="Вычисление 13 17 3" xfId="20652"/>
    <cellStyle name="Вычисление 13 17 4" xfId="20988"/>
    <cellStyle name="Вычисление 13 17 5" xfId="21086"/>
    <cellStyle name="Вычисление 13 17 6" xfId="21560"/>
    <cellStyle name="Вычисление 13 17 7" xfId="21912"/>
    <cellStyle name="Вычисление 13 17 8" xfId="22401"/>
    <cellStyle name="Вычисление 13 17 9" xfId="22753"/>
    <cellStyle name="Вычисление 13 18" xfId="11695"/>
    <cellStyle name="Вычисление 13 18 2" xfId="14593"/>
    <cellStyle name="Вычисление 13 18 2 2" xfId="19876"/>
    <cellStyle name="Вычисление 13 18 2 2 2" xfId="33686"/>
    <cellStyle name="Вычисление 13 18 2 2 3" xfId="43554"/>
    <cellStyle name="Вычисление 13 18 2 3" xfId="28413"/>
    <cellStyle name="Вычисление 13 18 2 4" xfId="38288"/>
    <cellStyle name="Вычисление 13 18 3" xfId="15826"/>
    <cellStyle name="Вычисление 13 18 3 2" xfId="22826"/>
    <cellStyle name="Вычисление 13 18 3 3" xfId="24458"/>
    <cellStyle name="Вычисление 13 18 3 4" xfId="29645"/>
    <cellStyle name="Вычисление 13 18 3 5" xfId="39520"/>
    <cellStyle name="Вычисление 13 18 4" xfId="23306"/>
    <cellStyle name="Вычисление 13 18 5" xfId="25569"/>
    <cellStyle name="Вычисление 13 18 6" xfId="35444"/>
    <cellStyle name="Вычисление 13 19" xfId="13322"/>
    <cellStyle name="Вычисление 13 19 2" xfId="16123"/>
    <cellStyle name="Вычисление 13 19 2 2" xfId="29941"/>
    <cellStyle name="Вычисление 13 19 2 3" xfId="39816"/>
    <cellStyle name="Вычисление 13 19 3" xfId="18654"/>
    <cellStyle name="Вычисление 13 19 3 2" xfId="32464"/>
    <cellStyle name="Вычисление 13 19 3 3" xfId="42336"/>
    <cellStyle name="Вычисление 13 19 4" xfId="27195"/>
    <cellStyle name="Вычисление 13 19 5" xfId="37070"/>
    <cellStyle name="Вычисление 13 2" xfId="1363"/>
    <cellStyle name="Вычисление 13 2 10" xfId="23792"/>
    <cellStyle name="Вычисление 13 2 11" xfId="24708"/>
    <cellStyle name="Вычисление 13 2 12" xfId="34329"/>
    <cellStyle name="Вычисление 13 2 13" xfId="34558"/>
    <cellStyle name="Вычисление 13 2 2" xfId="8143"/>
    <cellStyle name="Вычисление 13 2 3" xfId="11984"/>
    <cellStyle name="Вычисление 13 2 3 10" xfId="25858"/>
    <cellStyle name="Вычисление 13 2 3 11" xfId="35733"/>
    <cellStyle name="Вычисление 13 2 3 2" xfId="14882"/>
    <cellStyle name="Вычисление 13 2 3 2 2" xfId="17096"/>
    <cellStyle name="Вычисление 13 2 3 2 2 2" xfId="23148"/>
    <cellStyle name="Вычисление 13 2 3 2 2 3" xfId="30910"/>
    <cellStyle name="Вычисление 13 2 3 2 2 4" xfId="40785"/>
    <cellStyle name="Вычисление 13 2 3 2 3" xfId="20165"/>
    <cellStyle name="Вычисление 13 2 3 2 3 2" xfId="33975"/>
    <cellStyle name="Вычисление 13 2 3 2 3 3" xfId="43843"/>
    <cellStyle name="Вычисление 13 2 3 2 4" xfId="28702"/>
    <cellStyle name="Вычисление 13 2 3 2 5" xfId="38577"/>
    <cellStyle name="Вычисление 13 2 3 3" xfId="14353"/>
    <cellStyle name="Вычисление 13 2 3 3 2" xfId="19636"/>
    <cellStyle name="Вычисление 13 2 3 3 2 2" xfId="33446"/>
    <cellStyle name="Вычисление 13 2 3 3 2 3" xfId="43315"/>
    <cellStyle name="Вычисление 13 2 3 3 3" xfId="28174"/>
    <cellStyle name="Вычисление 13 2 3 3 4" xfId="38049"/>
    <cellStyle name="Вычисление 13 2 3 4" xfId="20823"/>
    <cellStyle name="Вычисление 13 2 3 5" xfId="21379"/>
    <cellStyle name="Вычисление 13 2 3 6" xfId="21799"/>
    <cellStyle name="Вычисление 13 2 3 7" xfId="22320"/>
    <cellStyle name="Вычисление 13 2 3 8" xfId="22572"/>
    <cellStyle name="Вычисление 13 2 3 9" xfId="24060"/>
    <cellStyle name="Вычисление 13 2 4" xfId="11696"/>
    <cellStyle name="Вычисление 13 2 4 2" xfId="14594"/>
    <cellStyle name="Вычисление 13 2 4 2 2" xfId="19877"/>
    <cellStyle name="Вычисление 13 2 4 2 2 2" xfId="33687"/>
    <cellStyle name="Вычисление 13 2 4 2 2 3" xfId="43555"/>
    <cellStyle name="Вычисление 13 2 4 2 3" xfId="28414"/>
    <cellStyle name="Вычисление 13 2 4 2 4" xfId="38289"/>
    <cellStyle name="Вычисление 13 2 4 3" xfId="15827"/>
    <cellStyle name="Вычисление 13 2 4 3 2" xfId="22940"/>
    <cellStyle name="Вычисление 13 2 4 3 3" xfId="24459"/>
    <cellStyle name="Вычисление 13 2 4 3 4" xfId="29646"/>
    <cellStyle name="Вычисление 13 2 4 3 5" xfId="39521"/>
    <cellStyle name="Вычисление 13 2 4 4" xfId="23420"/>
    <cellStyle name="Вычисление 13 2 4 5" xfId="25570"/>
    <cellStyle name="Вычисление 13 2 4 6" xfId="35445"/>
    <cellStyle name="Вычисление 13 2 5" xfId="12308"/>
    <cellStyle name="Вычисление 13 2 5 2" xfId="17640"/>
    <cellStyle name="Вычисление 13 2 5 2 2" xfId="31450"/>
    <cellStyle name="Вычисление 13 2 5 2 3" xfId="41323"/>
    <cellStyle name="Вычисление 13 2 5 3" xfId="20487"/>
    <cellStyle name="Вычисление 13 2 5 4" xfId="26182"/>
    <cellStyle name="Вычисление 13 2 5 5" xfId="36057"/>
    <cellStyle name="Вычисление 13 2 6" xfId="13323"/>
    <cellStyle name="Вычисление 13 2 6 2" xfId="16124"/>
    <cellStyle name="Вычисление 13 2 6 2 2" xfId="29942"/>
    <cellStyle name="Вычисление 13 2 6 2 3" xfId="39817"/>
    <cellStyle name="Вычисление 13 2 6 3" xfId="18655"/>
    <cellStyle name="Вычисление 13 2 6 3 2" xfId="32465"/>
    <cellStyle name="Вычисление 13 2 6 3 3" xfId="42337"/>
    <cellStyle name="Вычисление 13 2 6 4" xfId="27196"/>
    <cellStyle name="Вычисление 13 2 6 5" xfId="37071"/>
    <cellStyle name="Вычисление 13 2 7" xfId="13173"/>
    <cellStyle name="Вычисление 13 2 7 2" xfId="18505"/>
    <cellStyle name="Вычисление 13 2 7 2 2" xfId="32315"/>
    <cellStyle name="Вычисление 13 2 7 2 3" xfId="42187"/>
    <cellStyle name="Вычисление 13 2 7 3" xfId="27046"/>
    <cellStyle name="Вычисление 13 2 7 4" xfId="36921"/>
    <cellStyle name="Вычисление 13 2 8" xfId="17278"/>
    <cellStyle name="Вычисление 13 2 8 2" xfId="21679"/>
    <cellStyle name="Вычисление 13 2 8 3" xfId="31089"/>
    <cellStyle name="Вычисление 13 2 8 4" xfId="40963"/>
    <cellStyle name="Вычисление 13 2 9" xfId="22005"/>
    <cellStyle name="Вычисление 13 20" xfId="13172"/>
    <cellStyle name="Вычисление 13 20 2" xfId="18504"/>
    <cellStyle name="Вычисление 13 20 2 2" xfId="32314"/>
    <cellStyle name="Вычисление 13 20 2 3" xfId="42186"/>
    <cellStyle name="Вычисление 13 20 3" xfId="27045"/>
    <cellStyle name="Вычисление 13 20 4" xfId="36920"/>
    <cellStyle name="Вычисление 13 21" xfId="17277"/>
    <cellStyle name="Вычисление 13 21 2" xfId="21159"/>
    <cellStyle name="Вычисление 13 21 3" xfId="31088"/>
    <cellStyle name="Вычисление 13 21 4" xfId="40962"/>
    <cellStyle name="Вычисление 13 22" xfId="21624"/>
    <cellStyle name="Вычисление 13 23" xfId="22004"/>
    <cellStyle name="Вычисление 13 24" xfId="23791"/>
    <cellStyle name="Вычисление 13 25" xfId="24707"/>
    <cellStyle name="Вычисление 13 26" xfId="34328"/>
    <cellStyle name="Вычисление 13 27" xfId="34559"/>
    <cellStyle name="Вычисление 13 3" xfId="1364"/>
    <cellStyle name="Вычисление 13 3 10" xfId="23793"/>
    <cellStyle name="Вычисление 13 3 11" xfId="24709"/>
    <cellStyle name="Вычисление 13 3 12" xfId="34330"/>
    <cellStyle name="Вычисление 13 3 13" xfId="34557"/>
    <cellStyle name="Вычисление 13 3 2" xfId="8144"/>
    <cellStyle name="Вычисление 13 3 3" xfId="11985"/>
    <cellStyle name="Вычисление 13 3 3 10" xfId="25859"/>
    <cellStyle name="Вычисление 13 3 3 11" xfId="35734"/>
    <cellStyle name="Вычисление 13 3 3 2" xfId="14883"/>
    <cellStyle name="Вычисление 13 3 3 2 2" xfId="17097"/>
    <cellStyle name="Вычисление 13 3 3 2 2 2" xfId="23149"/>
    <cellStyle name="Вычисление 13 3 3 2 2 3" xfId="30911"/>
    <cellStyle name="Вычисление 13 3 3 2 2 4" xfId="40786"/>
    <cellStyle name="Вычисление 13 3 3 2 3" xfId="20166"/>
    <cellStyle name="Вычисление 13 3 3 2 3 2" xfId="33976"/>
    <cellStyle name="Вычисление 13 3 3 2 3 3" xfId="43844"/>
    <cellStyle name="Вычисление 13 3 3 2 4" xfId="28703"/>
    <cellStyle name="Вычисление 13 3 3 2 5" xfId="38578"/>
    <cellStyle name="Вычисление 13 3 3 3" xfId="14354"/>
    <cellStyle name="Вычисление 13 3 3 3 2" xfId="19637"/>
    <cellStyle name="Вычисление 13 3 3 3 2 2" xfId="33447"/>
    <cellStyle name="Вычисление 13 3 3 3 2 3" xfId="43316"/>
    <cellStyle name="Вычисление 13 3 3 3 3" xfId="28175"/>
    <cellStyle name="Вычисление 13 3 3 3 4" xfId="38050"/>
    <cellStyle name="Вычисление 13 3 3 4" xfId="20824"/>
    <cellStyle name="Вычисление 13 3 3 5" xfId="21380"/>
    <cellStyle name="Вычисление 13 3 3 6" xfId="21800"/>
    <cellStyle name="Вычисление 13 3 3 7" xfId="22321"/>
    <cellStyle name="Вычисление 13 3 3 8" xfId="22573"/>
    <cellStyle name="Вычисление 13 3 3 9" xfId="24061"/>
    <cellStyle name="Вычисление 13 3 4" xfId="11697"/>
    <cellStyle name="Вычисление 13 3 4 2" xfId="14595"/>
    <cellStyle name="Вычисление 13 3 4 2 2" xfId="19878"/>
    <cellStyle name="Вычисление 13 3 4 2 2 2" xfId="33688"/>
    <cellStyle name="Вычисление 13 3 4 2 2 3" xfId="43556"/>
    <cellStyle name="Вычисление 13 3 4 2 3" xfId="28415"/>
    <cellStyle name="Вычисление 13 3 4 2 4" xfId="38290"/>
    <cellStyle name="Вычисление 13 3 4 3" xfId="15828"/>
    <cellStyle name="Вычисление 13 3 4 3 2" xfId="22941"/>
    <cellStyle name="Вычисление 13 3 4 3 3" xfId="24460"/>
    <cellStyle name="Вычисление 13 3 4 3 4" xfId="29647"/>
    <cellStyle name="Вычисление 13 3 4 3 5" xfId="39522"/>
    <cellStyle name="Вычисление 13 3 4 4" xfId="23421"/>
    <cellStyle name="Вычисление 13 3 4 5" xfId="25571"/>
    <cellStyle name="Вычисление 13 3 4 6" xfId="35446"/>
    <cellStyle name="Вычисление 13 3 5" xfId="12309"/>
    <cellStyle name="Вычисление 13 3 5 2" xfId="17641"/>
    <cellStyle name="Вычисление 13 3 5 2 2" xfId="31451"/>
    <cellStyle name="Вычисление 13 3 5 2 3" xfId="41324"/>
    <cellStyle name="Вычисление 13 3 5 3" xfId="20488"/>
    <cellStyle name="Вычисление 13 3 5 4" xfId="26183"/>
    <cellStyle name="Вычисление 13 3 5 5" xfId="36058"/>
    <cellStyle name="Вычисление 13 3 6" xfId="13324"/>
    <cellStyle name="Вычисление 13 3 6 2" xfId="16125"/>
    <cellStyle name="Вычисление 13 3 6 2 2" xfId="29943"/>
    <cellStyle name="Вычисление 13 3 6 2 3" xfId="39818"/>
    <cellStyle name="Вычисление 13 3 6 3" xfId="18656"/>
    <cellStyle name="Вычисление 13 3 6 3 2" xfId="32466"/>
    <cellStyle name="Вычисление 13 3 6 3 3" xfId="42338"/>
    <cellStyle name="Вычисление 13 3 6 4" xfId="27197"/>
    <cellStyle name="Вычисление 13 3 6 5" xfId="37072"/>
    <cellStyle name="Вычисление 13 3 7" xfId="13174"/>
    <cellStyle name="Вычисление 13 3 7 2" xfId="18506"/>
    <cellStyle name="Вычисление 13 3 7 2 2" xfId="32316"/>
    <cellStyle name="Вычисление 13 3 7 2 3" xfId="42188"/>
    <cellStyle name="Вычисление 13 3 7 3" xfId="27047"/>
    <cellStyle name="Вычисление 13 3 7 4" xfId="36922"/>
    <cellStyle name="Вычисление 13 3 8" xfId="17279"/>
    <cellStyle name="Вычисление 13 3 8 2" xfId="21680"/>
    <cellStyle name="Вычисление 13 3 8 3" xfId="31090"/>
    <cellStyle name="Вычисление 13 3 8 4" xfId="40964"/>
    <cellStyle name="Вычисление 13 3 9" xfId="22006"/>
    <cellStyle name="Вычисление 13 4" xfId="8137"/>
    <cellStyle name="Вычисление 13 5" xfId="8145"/>
    <cellStyle name="Вычисление 13 6" xfId="8146"/>
    <cellStyle name="Вычисление 13 7" xfId="8147"/>
    <cellStyle name="Вычисление 13 8" xfId="8148"/>
    <cellStyle name="Вычисление 13 9" xfId="8149"/>
    <cellStyle name="Вычисление 14" xfId="1365"/>
    <cellStyle name="Вычисление 14 10" xfId="8151"/>
    <cellStyle name="Вычисление 14 11" xfId="8152"/>
    <cellStyle name="Вычисление 14 12" xfId="8153"/>
    <cellStyle name="Вычисление 14 13" xfId="8154"/>
    <cellStyle name="Вычисление 14 14" xfId="8155"/>
    <cellStyle name="Вычисление 14 15" xfId="11878"/>
    <cellStyle name="Вычисление 14 15 10" xfId="25752"/>
    <cellStyle name="Вычисление 14 15 11" xfId="35627"/>
    <cellStyle name="Вычисление 14 15 2" xfId="14776"/>
    <cellStyle name="Вычисление 14 15 2 2" xfId="16990"/>
    <cellStyle name="Вычисление 14 15 2 2 2" xfId="23042"/>
    <cellStyle name="Вычисление 14 15 2 2 3" xfId="30804"/>
    <cellStyle name="Вычисление 14 15 2 2 4" xfId="40679"/>
    <cellStyle name="Вычисление 14 15 2 3" xfId="20059"/>
    <cellStyle name="Вычисление 14 15 2 3 2" xfId="33869"/>
    <cellStyle name="Вычисление 14 15 2 3 3" xfId="43737"/>
    <cellStyle name="Вычисление 14 15 2 4" xfId="28596"/>
    <cellStyle name="Вычисление 14 15 2 5" xfId="38471"/>
    <cellStyle name="Вычисление 14 15 3" xfId="14288"/>
    <cellStyle name="Вычисление 14 15 3 2" xfId="19571"/>
    <cellStyle name="Вычисление 14 15 3 2 2" xfId="33381"/>
    <cellStyle name="Вычисление 14 15 3 2 3" xfId="43250"/>
    <cellStyle name="Вычисление 14 15 3 3" xfId="28109"/>
    <cellStyle name="Вычисление 14 15 3 4" xfId="37984"/>
    <cellStyle name="Вычисление 14 15 4" xfId="20717"/>
    <cellStyle name="Вычисление 14 15 5" xfId="21273"/>
    <cellStyle name="Вычисление 14 15 6" xfId="21729"/>
    <cellStyle name="Вычисление 14 15 7" xfId="22266"/>
    <cellStyle name="Вычисление 14 15 8" xfId="22450"/>
    <cellStyle name="Вычисление 14 15 9" xfId="23938"/>
    <cellStyle name="Вычисление 14 16" xfId="12102"/>
    <cellStyle name="Вычисление 14 16 10" xfId="24178"/>
    <cellStyle name="Вычисление 14 16 11" xfId="25976"/>
    <cellStyle name="Вычисление 14 16 12" xfId="35851"/>
    <cellStyle name="Вычисление 14 16 2" xfId="15000"/>
    <cellStyle name="Вычисление 14 16 2 2" xfId="20283"/>
    <cellStyle name="Вычисление 14 16 2 2 2" xfId="34093"/>
    <cellStyle name="Вычисление 14 16 2 2 3" xfId="43961"/>
    <cellStyle name="Вычисление 14 16 2 3" xfId="23554"/>
    <cellStyle name="Вычисление 14 16 2 4" xfId="28820"/>
    <cellStyle name="Вычисление 14 16 2 5" xfId="38695"/>
    <cellStyle name="Вычисление 14 16 3" xfId="20589"/>
    <cellStyle name="Вычисление 14 16 4" xfId="20925"/>
    <cellStyle name="Вычисление 14 16 5" xfId="21039"/>
    <cellStyle name="Вычисление 14 16 6" xfId="21481"/>
    <cellStyle name="Вычисление 14 16 7" xfId="21865"/>
    <cellStyle name="Вычисление 14 16 8" xfId="22370"/>
    <cellStyle name="Вычисление 14 16 9" xfId="22674"/>
    <cellStyle name="Вычисление 14 17" xfId="12182"/>
    <cellStyle name="Вычисление 14 17 10" xfId="24258"/>
    <cellStyle name="Вычисление 14 17 11" xfId="26056"/>
    <cellStyle name="Вычисление 14 17 12" xfId="35931"/>
    <cellStyle name="Вычисление 14 17 2" xfId="15080"/>
    <cellStyle name="Вычисление 14 17 2 2" xfId="20363"/>
    <cellStyle name="Вычисление 14 17 2 2 2" xfId="34173"/>
    <cellStyle name="Вычисление 14 17 2 2 3" xfId="44041"/>
    <cellStyle name="Вычисление 14 17 2 3" xfId="23634"/>
    <cellStyle name="Вычисление 14 17 2 4" xfId="28900"/>
    <cellStyle name="Вычисление 14 17 2 5" xfId="38775"/>
    <cellStyle name="Вычисление 14 17 3" xfId="20653"/>
    <cellStyle name="Вычисление 14 17 4" xfId="20989"/>
    <cellStyle name="Вычисление 14 17 5" xfId="21087"/>
    <cellStyle name="Вычисление 14 17 6" xfId="21561"/>
    <cellStyle name="Вычисление 14 17 7" xfId="21913"/>
    <cellStyle name="Вычисление 14 17 8" xfId="22402"/>
    <cellStyle name="Вычисление 14 17 9" xfId="22754"/>
    <cellStyle name="Вычисление 14 18" xfId="11698"/>
    <cellStyle name="Вычисление 14 18 2" xfId="14596"/>
    <cellStyle name="Вычисление 14 18 2 2" xfId="19879"/>
    <cellStyle name="Вычисление 14 18 2 2 2" xfId="33689"/>
    <cellStyle name="Вычисление 14 18 2 2 3" xfId="43557"/>
    <cellStyle name="Вычисление 14 18 2 3" xfId="28416"/>
    <cellStyle name="Вычисление 14 18 2 4" xfId="38291"/>
    <cellStyle name="Вычисление 14 18 3" xfId="15829"/>
    <cellStyle name="Вычисление 14 18 3 2" xfId="22825"/>
    <cellStyle name="Вычисление 14 18 3 3" xfId="24461"/>
    <cellStyle name="Вычисление 14 18 3 4" xfId="29648"/>
    <cellStyle name="Вычисление 14 18 3 5" xfId="39523"/>
    <cellStyle name="Вычисление 14 18 4" xfId="23305"/>
    <cellStyle name="Вычисление 14 18 5" xfId="25572"/>
    <cellStyle name="Вычисление 14 18 6" xfId="35447"/>
    <cellStyle name="Вычисление 14 19" xfId="13325"/>
    <cellStyle name="Вычисление 14 19 2" xfId="16126"/>
    <cellStyle name="Вычисление 14 19 2 2" xfId="29944"/>
    <cellStyle name="Вычисление 14 19 2 3" xfId="39819"/>
    <cellStyle name="Вычисление 14 19 3" xfId="18657"/>
    <cellStyle name="Вычисление 14 19 3 2" xfId="32467"/>
    <cellStyle name="Вычисление 14 19 3 3" xfId="42339"/>
    <cellStyle name="Вычисление 14 19 4" xfId="27198"/>
    <cellStyle name="Вычисление 14 19 5" xfId="37073"/>
    <cellStyle name="Вычисление 14 2" xfId="1366"/>
    <cellStyle name="Вычисление 14 2 10" xfId="23795"/>
    <cellStyle name="Вычисление 14 2 11" xfId="24711"/>
    <cellStyle name="Вычисление 14 2 12" xfId="34332"/>
    <cellStyle name="Вычисление 14 2 13" xfId="34555"/>
    <cellStyle name="Вычисление 14 2 2" xfId="8156"/>
    <cellStyle name="Вычисление 14 2 3" xfId="11986"/>
    <cellStyle name="Вычисление 14 2 3 10" xfId="25860"/>
    <cellStyle name="Вычисление 14 2 3 11" xfId="35735"/>
    <cellStyle name="Вычисление 14 2 3 2" xfId="14884"/>
    <cellStyle name="Вычисление 14 2 3 2 2" xfId="17098"/>
    <cellStyle name="Вычисление 14 2 3 2 2 2" xfId="23150"/>
    <cellStyle name="Вычисление 14 2 3 2 2 3" xfId="30912"/>
    <cellStyle name="Вычисление 14 2 3 2 2 4" xfId="40787"/>
    <cellStyle name="Вычисление 14 2 3 2 3" xfId="20167"/>
    <cellStyle name="Вычисление 14 2 3 2 3 2" xfId="33977"/>
    <cellStyle name="Вычисление 14 2 3 2 3 3" xfId="43845"/>
    <cellStyle name="Вычисление 14 2 3 2 4" xfId="28704"/>
    <cellStyle name="Вычисление 14 2 3 2 5" xfId="38579"/>
    <cellStyle name="Вычисление 14 2 3 3" xfId="14355"/>
    <cellStyle name="Вычисление 14 2 3 3 2" xfId="19638"/>
    <cellStyle name="Вычисление 14 2 3 3 2 2" xfId="33448"/>
    <cellStyle name="Вычисление 14 2 3 3 2 3" xfId="43317"/>
    <cellStyle name="Вычисление 14 2 3 3 3" xfId="28176"/>
    <cellStyle name="Вычисление 14 2 3 3 4" xfId="38051"/>
    <cellStyle name="Вычисление 14 2 3 4" xfId="20825"/>
    <cellStyle name="Вычисление 14 2 3 5" xfId="21381"/>
    <cellStyle name="Вычисление 14 2 3 6" xfId="21801"/>
    <cellStyle name="Вычисление 14 2 3 7" xfId="22322"/>
    <cellStyle name="Вычисление 14 2 3 8" xfId="22574"/>
    <cellStyle name="Вычисление 14 2 3 9" xfId="24062"/>
    <cellStyle name="Вычисление 14 2 4" xfId="11699"/>
    <cellStyle name="Вычисление 14 2 4 2" xfId="14597"/>
    <cellStyle name="Вычисление 14 2 4 2 2" xfId="19880"/>
    <cellStyle name="Вычисление 14 2 4 2 2 2" xfId="33690"/>
    <cellStyle name="Вычисление 14 2 4 2 2 3" xfId="43558"/>
    <cellStyle name="Вычисление 14 2 4 2 3" xfId="28417"/>
    <cellStyle name="Вычисление 14 2 4 2 4" xfId="38292"/>
    <cellStyle name="Вычисление 14 2 4 3" xfId="15830"/>
    <cellStyle name="Вычисление 14 2 4 3 2" xfId="22942"/>
    <cellStyle name="Вычисление 14 2 4 3 3" xfId="24462"/>
    <cellStyle name="Вычисление 14 2 4 3 4" xfId="29649"/>
    <cellStyle name="Вычисление 14 2 4 3 5" xfId="39524"/>
    <cellStyle name="Вычисление 14 2 4 4" xfId="23422"/>
    <cellStyle name="Вычисление 14 2 4 5" xfId="25573"/>
    <cellStyle name="Вычисление 14 2 4 6" xfId="35448"/>
    <cellStyle name="Вычисление 14 2 5" xfId="12310"/>
    <cellStyle name="Вычисление 14 2 5 2" xfId="17642"/>
    <cellStyle name="Вычисление 14 2 5 2 2" xfId="31452"/>
    <cellStyle name="Вычисление 14 2 5 2 3" xfId="41325"/>
    <cellStyle name="Вычисление 14 2 5 3" xfId="20489"/>
    <cellStyle name="Вычисление 14 2 5 4" xfId="26184"/>
    <cellStyle name="Вычисление 14 2 5 5" xfId="36059"/>
    <cellStyle name="Вычисление 14 2 6" xfId="13326"/>
    <cellStyle name="Вычисление 14 2 6 2" xfId="16127"/>
    <cellStyle name="Вычисление 14 2 6 2 2" xfId="29945"/>
    <cellStyle name="Вычисление 14 2 6 2 3" xfId="39820"/>
    <cellStyle name="Вычисление 14 2 6 3" xfId="18658"/>
    <cellStyle name="Вычисление 14 2 6 3 2" xfId="32468"/>
    <cellStyle name="Вычисление 14 2 6 3 3" xfId="42340"/>
    <cellStyle name="Вычисление 14 2 6 4" xfId="27199"/>
    <cellStyle name="Вычисление 14 2 6 5" xfId="37074"/>
    <cellStyle name="Вычисление 14 2 7" xfId="13176"/>
    <cellStyle name="Вычисление 14 2 7 2" xfId="18508"/>
    <cellStyle name="Вычисление 14 2 7 2 2" xfId="32318"/>
    <cellStyle name="Вычисление 14 2 7 2 3" xfId="42190"/>
    <cellStyle name="Вычисление 14 2 7 3" xfId="27049"/>
    <cellStyle name="Вычисление 14 2 7 4" xfId="36924"/>
    <cellStyle name="Вычисление 14 2 8" xfId="17281"/>
    <cellStyle name="Вычисление 14 2 8 2" xfId="21681"/>
    <cellStyle name="Вычисление 14 2 8 3" xfId="31092"/>
    <cellStyle name="Вычисление 14 2 8 4" xfId="40966"/>
    <cellStyle name="Вычисление 14 2 9" xfId="22008"/>
    <cellStyle name="Вычисление 14 20" xfId="13175"/>
    <cellStyle name="Вычисление 14 20 2" xfId="18507"/>
    <cellStyle name="Вычисление 14 20 2 2" xfId="32317"/>
    <cellStyle name="Вычисление 14 20 2 3" xfId="42189"/>
    <cellStyle name="Вычисление 14 20 3" xfId="27048"/>
    <cellStyle name="Вычисление 14 20 4" xfId="36923"/>
    <cellStyle name="Вычисление 14 21" xfId="17280"/>
    <cellStyle name="Вычисление 14 21 2" xfId="21158"/>
    <cellStyle name="Вычисление 14 21 3" xfId="31091"/>
    <cellStyle name="Вычисление 14 21 4" xfId="40965"/>
    <cellStyle name="Вычисление 14 22" xfId="21625"/>
    <cellStyle name="Вычисление 14 23" xfId="22007"/>
    <cellStyle name="Вычисление 14 24" xfId="23794"/>
    <cellStyle name="Вычисление 14 25" xfId="24710"/>
    <cellStyle name="Вычисление 14 26" xfId="34331"/>
    <cellStyle name="Вычисление 14 27" xfId="34556"/>
    <cellStyle name="Вычисление 14 3" xfId="1367"/>
    <cellStyle name="Вычисление 14 3 10" xfId="23796"/>
    <cellStyle name="Вычисление 14 3 11" xfId="24712"/>
    <cellStyle name="Вычисление 14 3 12" xfId="34333"/>
    <cellStyle name="Вычисление 14 3 13" xfId="34554"/>
    <cellStyle name="Вычисление 14 3 2" xfId="8157"/>
    <cellStyle name="Вычисление 14 3 3" xfId="11987"/>
    <cellStyle name="Вычисление 14 3 3 10" xfId="25861"/>
    <cellStyle name="Вычисление 14 3 3 11" xfId="35736"/>
    <cellStyle name="Вычисление 14 3 3 2" xfId="14885"/>
    <cellStyle name="Вычисление 14 3 3 2 2" xfId="17099"/>
    <cellStyle name="Вычисление 14 3 3 2 2 2" xfId="23151"/>
    <cellStyle name="Вычисление 14 3 3 2 2 3" xfId="30913"/>
    <cellStyle name="Вычисление 14 3 3 2 2 4" xfId="40788"/>
    <cellStyle name="Вычисление 14 3 3 2 3" xfId="20168"/>
    <cellStyle name="Вычисление 14 3 3 2 3 2" xfId="33978"/>
    <cellStyle name="Вычисление 14 3 3 2 3 3" xfId="43846"/>
    <cellStyle name="Вычисление 14 3 3 2 4" xfId="28705"/>
    <cellStyle name="Вычисление 14 3 3 2 5" xfId="38580"/>
    <cellStyle name="Вычисление 14 3 3 3" xfId="13026"/>
    <cellStyle name="Вычисление 14 3 3 3 2" xfId="18358"/>
    <cellStyle name="Вычисление 14 3 3 3 2 2" xfId="32168"/>
    <cellStyle name="Вычисление 14 3 3 3 2 3" xfId="42041"/>
    <cellStyle name="Вычисление 14 3 3 3 3" xfId="26900"/>
    <cellStyle name="Вычисление 14 3 3 3 4" xfId="36775"/>
    <cellStyle name="Вычисление 14 3 3 4" xfId="20826"/>
    <cellStyle name="Вычисление 14 3 3 5" xfId="21382"/>
    <cellStyle name="Вычисление 14 3 3 6" xfId="21802"/>
    <cellStyle name="Вычисление 14 3 3 7" xfId="22323"/>
    <cellStyle name="Вычисление 14 3 3 8" xfId="22575"/>
    <cellStyle name="Вычисление 14 3 3 9" xfId="24063"/>
    <cellStyle name="Вычисление 14 3 4" xfId="11700"/>
    <cellStyle name="Вычисление 14 3 4 2" xfId="14598"/>
    <cellStyle name="Вычисление 14 3 4 2 2" xfId="19881"/>
    <cellStyle name="Вычисление 14 3 4 2 2 2" xfId="33691"/>
    <cellStyle name="Вычисление 14 3 4 2 2 3" xfId="43559"/>
    <cellStyle name="Вычисление 14 3 4 2 3" xfId="28418"/>
    <cellStyle name="Вычисление 14 3 4 2 4" xfId="38293"/>
    <cellStyle name="Вычисление 14 3 4 3" xfId="15831"/>
    <cellStyle name="Вычисление 14 3 4 3 2" xfId="22943"/>
    <cellStyle name="Вычисление 14 3 4 3 3" xfId="24463"/>
    <cellStyle name="Вычисление 14 3 4 3 4" xfId="29650"/>
    <cellStyle name="Вычисление 14 3 4 3 5" xfId="39525"/>
    <cellStyle name="Вычисление 14 3 4 4" xfId="23423"/>
    <cellStyle name="Вычисление 14 3 4 5" xfId="25574"/>
    <cellStyle name="Вычисление 14 3 4 6" xfId="35449"/>
    <cellStyle name="Вычисление 14 3 5" xfId="12311"/>
    <cellStyle name="Вычисление 14 3 5 2" xfId="17643"/>
    <cellStyle name="Вычисление 14 3 5 2 2" xfId="31453"/>
    <cellStyle name="Вычисление 14 3 5 2 3" xfId="41326"/>
    <cellStyle name="Вычисление 14 3 5 3" xfId="20490"/>
    <cellStyle name="Вычисление 14 3 5 4" xfId="26185"/>
    <cellStyle name="Вычисление 14 3 5 5" xfId="36060"/>
    <cellStyle name="Вычисление 14 3 6" xfId="13327"/>
    <cellStyle name="Вычисление 14 3 6 2" xfId="16128"/>
    <cellStyle name="Вычисление 14 3 6 2 2" xfId="29946"/>
    <cellStyle name="Вычисление 14 3 6 2 3" xfId="39821"/>
    <cellStyle name="Вычисление 14 3 6 3" xfId="18659"/>
    <cellStyle name="Вычисление 14 3 6 3 2" xfId="32469"/>
    <cellStyle name="Вычисление 14 3 6 3 3" xfId="42341"/>
    <cellStyle name="Вычисление 14 3 6 4" xfId="27200"/>
    <cellStyle name="Вычисление 14 3 6 5" xfId="37075"/>
    <cellStyle name="Вычисление 14 3 7" xfId="13177"/>
    <cellStyle name="Вычисление 14 3 7 2" xfId="18509"/>
    <cellStyle name="Вычисление 14 3 7 2 2" xfId="32319"/>
    <cellStyle name="Вычисление 14 3 7 2 3" xfId="42191"/>
    <cellStyle name="Вычисление 14 3 7 3" xfId="27050"/>
    <cellStyle name="Вычисление 14 3 7 4" xfId="36925"/>
    <cellStyle name="Вычисление 14 3 8" xfId="17282"/>
    <cellStyle name="Вычисление 14 3 8 2" xfId="21682"/>
    <cellStyle name="Вычисление 14 3 8 3" xfId="31093"/>
    <cellStyle name="Вычисление 14 3 8 4" xfId="40967"/>
    <cellStyle name="Вычисление 14 3 9" xfId="22009"/>
    <cellStyle name="Вычисление 14 4" xfId="8150"/>
    <cellStyle name="Вычисление 14 5" xfId="8158"/>
    <cellStyle name="Вычисление 14 6" xfId="8159"/>
    <cellStyle name="Вычисление 14 7" xfId="8160"/>
    <cellStyle name="Вычисление 14 8" xfId="8161"/>
    <cellStyle name="Вычисление 14 9" xfId="8162"/>
    <cellStyle name="Вычисление 15" xfId="1368"/>
    <cellStyle name="Вычисление 15 10" xfId="8164"/>
    <cellStyle name="Вычисление 15 11" xfId="8165"/>
    <cellStyle name="Вычисление 15 12" xfId="8166"/>
    <cellStyle name="Вычисление 15 13" xfId="8167"/>
    <cellStyle name="Вычисление 15 14" xfId="8168"/>
    <cellStyle name="Вычисление 15 15" xfId="11879"/>
    <cellStyle name="Вычисление 15 15 10" xfId="25753"/>
    <cellStyle name="Вычисление 15 15 11" xfId="35628"/>
    <cellStyle name="Вычисление 15 15 2" xfId="14777"/>
    <cellStyle name="Вычисление 15 15 2 2" xfId="16991"/>
    <cellStyle name="Вычисление 15 15 2 2 2" xfId="23043"/>
    <cellStyle name="Вычисление 15 15 2 2 3" xfId="30805"/>
    <cellStyle name="Вычисление 15 15 2 2 4" xfId="40680"/>
    <cellStyle name="Вычисление 15 15 2 3" xfId="20060"/>
    <cellStyle name="Вычисление 15 15 2 3 2" xfId="33870"/>
    <cellStyle name="Вычисление 15 15 2 3 3" xfId="43738"/>
    <cellStyle name="Вычисление 15 15 2 4" xfId="28597"/>
    <cellStyle name="Вычисление 15 15 2 5" xfId="38472"/>
    <cellStyle name="Вычисление 15 15 3" xfId="14439"/>
    <cellStyle name="Вычисление 15 15 3 2" xfId="19722"/>
    <cellStyle name="Вычисление 15 15 3 2 2" xfId="33532"/>
    <cellStyle name="Вычисление 15 15 3 2 3" xfId="43400"/>
    <cellStyle name="Вычисление 15 15 3 3" xfId="28259"/>
    <cellStyle name="Вычисление 15 15 3 4" xfId="38134"/>
    <cellStyle name="Вычисление 15 15 4" xfId="20718"/>
    <cellStyle name="Вычисление 15 15 5" xfId="21274"/>
    <cellStyle name="Вычисление 15 15 6" xfId="21730"/>
    <cellStyle name="Вычисление 15 15 7" xfId="22267"/>
    <cellStyle name="Вычисление 15 15 8" xfId="22451"/>
    <cellStyle name="Вычисление 15 15 9" xfId="23939"/>
    <cellStyle name="Вычисление 15 16" xfId="12103"/>
    <cellStyle name="Вычисление 15 16 10" xfId="24179"/>
    <cellStyle name="Вычисление 15 16 11" xfId="25977"/>
    <cellStyle name="Вычисление 15 16 12" xfId="35852"/>
    <cellStyle name="Вычисление 15 16 2" xfId="15001"/>
    <cellStyle name="Вычисление 15 16 2 2" xfId="20284"/>
    <cellStyle name="Вычисление 15 16 2 2 2" xfId="34094"/>
    <cellStyle name="Вычисление 15 16 2 2 3" xfId="43962"/>
    <cellStyle name="Вычисление 15 16 2 3" xfId="23555"/>
    <cellStyle name="Вычисление 15 16 2 4" xfId="28821"/>
    <cellStyle name="Вычисление 15 16 2 5" xfId="38696"/>
    <cellStyle name="Вычисление 15 16 3" xfId="20590"/>
    <cellStyle name="Вычисление 15 16 4" xfId="20926"/>
    <cellStyle name="Вычисление 15 16 5" xfId="21040"/>
    <cellStyle name="Вычисление 15 16 6" xfId="21482"/>
    <cellStyle name="Вычисление 15 16 7" xfId="21866"/>
    <cellStyle name="Вычисление 15 16 8" xfId="22371"/>
    <cellStyle name="Вычисление 15 16 9" xfId="22675"/>
    <cellStyle name="Вычисление 15 17" xfId="12183"/>
    <cellStyle name="Вычисление 15 17 10" xfId="24259"/>
    <cellStyle name="Вычисление 15 17 11" xfId="26057"/>
    <cellStyle name="Вычисление 15 17 12" xfId="35932"/>
    <cellStyle name="Вычисление 15 17 2" xfId="15081"/>
    <cellStyle name="Вычисление 15 17 2 2" xfId="20364"/>
    <cellStyle name="Вычисление 15 17 2 2 2" xfId="34174"/>
    <cellStyle name="Вычисление 15 17 2 2 3" xfId="44042"/>
    <cellStyle name="Вычисление 15 17 2 3" xfId="23635"/>
    <cellStyle name="Вычисление 15 17 2 4" xfId="28901"/>
    <cellStyle name="Вычисление 15 17 2 5" xfId="38776"/>
    <cellStyle name="Вычисление 15 17 3" xfId="20654"/>
    <cellStyle name="Вычисление 15 17 4" xfId="20990"/>
    <cellStyle name="Вычисление 15 17 5" xfId="21088"/>
    <cellStyle name="Вычисление 15 17 6" xfId="21562"/>
    <cellStyle name="Вычисление 15 17 7" xfId="21914"/>
    <cellStyle name="Вычисление 15 17 8" xfId="22403"/>
    <cellStyle name="Вычисление 15 17 9" xfId="22755"/>
    <cellStyle name="Вычисление 15 18" xfId="11701"/>
    <cellStyle name="Вычисление 15 18 2" xfId="14599"/>
    <cellStyle name="Вычисление 15 18 2 2" xfId="19882"/>
    <cellStyle name="Вычисление 15 18 2 2 2" xfId="33692"/>
    <cellStyle name="Вычисление 15 18 2 2 3" xfId="43560"/>
    <cellStyle name="Вычисление 15 18 2 3" xfId="28419"/>
    <cellStyle name="Вычисление 15 18 2 4" xfId="38294"/>
    <cellStyle name="Вычисление 15 18 3" xfId="15832"/>
    <cellStyle name="Вычисление 15 18 3 2" xfId="22824"/>
    <cellStyle name="Вычисление 15 18 3 3" xfId="24464"/>
    <cellStyle name="Вычисление 15 18 3 4" xfId="29651"/>
    <cellStyle name="Вычисление 15 18 3 5" xfId="39526"/>
    <cellStyle name="Вычисление 15 18 4" xfId="23304"/>
    <cellStyle name="Вычисление 15 18 5" xfId="25575"/>
    <cellStyle name="Вычисление 15 18 6" xfId="35450"/>
    <cellStyle name="Вычисление 15 19" xfId="13328"/>
    <cellStyle name="Вычисление 15 19 2" xfId="16129"/>
    <cellStyle name="Вычисление 15 19 2 2" xfId="29947"/>
    <cellStyle name="Вычисление 15 19 2 3" xfId="39822"/>
    <cellStyle name="Вычисление 15 19 3" xfId="18660"/>
    <cellStyle name="Вычисление 15 19 3 2" xfId="32470"/>
    <cellStyle name="Вычисление 15 19 3 3" xfId="42342"/>
    <cellStyle name="Вычисление 15 19 4" xfId="27201"/>
    <cellStyle name="Вычисление 15 19 5" xfId="37076"/>
    <cellStyle name="Вычисление 15 2" xfId="1369"/>
    <cellStyle name="Вычисление 15 2 10" xfId="23798"/>
    <cellStyle name="Вычисление 15 2 11" xfId="24714"/>
    <cellStyle name="Вычисление 15 2 12" xfId="34335"/>
    <cellStyle name="Вычисление 15 2 13" xfId="34552"/>
    <cellStyle name="Вычисление 15 2 2" xfId="8169"/>
    <cellStyle name="Вычисление 15 2 3" xfId="11988"/>
    <cellStyle name="Вычисление 15 2 3 10" xfId="25862"/>
    <cellStyle name="Вычисление 15 2 3 11" xfId="35737"/>
    <cellStyle name="Вычисление 15 2 3 2" xfId="14886"/>
    <cellStyle name="Вычисление 15 2 3 2 2" xfId="17100"/>
    <cellStyle name="Вычисление 15 2 3 2 2 2" xfId="23152"/>
    <cellStyle name="Вычисление 15 2 3 2 2 3" xfId="30914"/>
    <cellStyle name="Вычисление 15 2 3 2 2 4" xfId="40789"/>
    <cellStyle name="Вычисление 15 2 3 2 3" xfId="20169"/>
    <cellStyle name="Вычисление 15 2 3 2 3 2" xfId="33979"/>
    <cellStyle name="Вычисление 15 2 3 2 3 3" xfId="43847"/>
    <cellStyle name="Вычисление 15 2 3 2 4" xfId="28706"/>
    <cellStyle name="Вычисление 15 2 3 2 5" xfId="38581"/>
    <cellStyle name="Вычисление 15 2 3 3" xfId="14461"/>
    <cellStyle name="Вычисление 15 2 3 3 2" xfId="19744"/>
    <cellStyle name="Вычисление 15 2 3 3 2 2" xfId="33554"/>
    <cellStyle name="Вычисление 15 2 3 3 2 3" xfId="43422"/>
    <cellStyle name="Вычисление 15 2 3 3 3" xfId="28281"/>
    <cellStyle name="Вычисление 15 2 3 3 4" xfId="38156"/>
    <cellStyle name="Вычисление 15 2 3 4" xfId="20827"/>
    <cellStyle name="Вычисление 15 2 3 5" xfId="21383"/>
    <cellStyle name="Вычисление 15 2 3 6" xfId="21803"/>
    <cellStyle name="Вычисление 15 2 3 7" xfId="22324"/>
    <cellStyle name="Вычисление 15 2 3 8" xfId="22576"/>
    <cellStyle name="Вычисление 15 2 3 9" xfId="24064"/>
    <cellStyle name="Вычисление 15 2 4" xfId="11702"/>
    <cellStyle name="Вычисление 15 2 4 2" xfId="14600"/>
    <cellStyle name="Вычисление 15 2 4 2 2" xfId="19883"/>
    <cellStyle name="Вычисление 15 2 4 2 2 2" xfId="33693"/>
    <cellStyle name="Вычисление 15 2 4 2 2 3" xfId="43561"/>
    <cellStyle name="Вычисление 15 2 4 2 3" xfId="28420"/>
    <cellStyle name="Вычисление 15 2 4 2 4" xfId="38295"/>
    <cellStyle name="Вычисление 15 2 4 3" xfId="15833"/>
    <cellStyle name="Вычисление 15 2 4 3 2" xfId="22944"/>
    <cellStyle name="Вычисление 15 2 4 3 3" xfId="24465"/>
    <cellStyle name="Вычисление 15 2 4 3 4" xfId="29652"/>
    <cellStyle name="Вычисление 15 2 4 3 5" xfId="39527"/>
    <cellStyle name="Вычисление 15 2 4 4" xfId="23424"/>
    <cellStyle name="Вычисление 15 2 4 5" xfId="25576"/>
    <cellStyle name="Вычисление 15 2 4 6" xfId="35451"/>
    <cellStyle name="Вычисление 15 2 5" xfId="12312"/>
    <cellStyle name="Вычисление 15 2 5 2" xfId="17644"/>
    <cellStyle name="Вычисление 15 2 5 2 2" xfId="31454"/>
    <cellStyle name="Вычисление 15 2 5 2 3" xfId="41327"/>
    <cellStyle name="Вычисление 15 2 5 3" xfId="20491"/>
    <cellStyle name="Вычисление 15 2 5 4" xfId="26186"/>
    <cellStyle name="Вычисление 15 2 5 5" xfId="36061"/>
    <cellStyle name="Вычисление 15 2 6" xfId="13329"/>
    <cellStyle name="Вычисление 15 2 6 2" xfId="16130"/>
    <cellStyle name="Вычисление 15 2 6 2 2" xfId="29948"/>
    <cellStyle name="Вычисление 15 2 6 2 3" xfId="39823"/>
    <cellStyle name="Вычисление 15 2 6 3" xfId="18661"/>
    <cellStyle name="Вычисление 15 2 6 3 2" xfId="32471"/>
    <cellStyle name="Вычисление 15 2 6 3 3" xfId="42343"/>
    <cellStyle name="Вычисление 15 2 6 4" xfId="27202"/>
    <cellStyle name="Вычисление 15 2 6 5" xfId="37077"/>
    <cellStyle name="Вычисление 15 2 7" xfId="13179"/>
    <cellStyle name="Вычисление 15 2 7 2" xfId="18511"/>
    <cellStyle name="Вычисление 15 2 7 2 2" xfId="32321"/>
    <cellStyle name="Вычисление 15 2 7 2 3" xfId="42193"/>
    <cellStyle name="Вычисление 15 2 7 3" xfId="27052"/>
    <cellStyle name="Вычисление 15 2 7 4" xfId="36927"/>
    <cellStyle name="Вычисление 15 2 8" xfId="17284"/>
    <cellStyle name="Вычисление 15 2 8 2" xfId="21683"/>
    <cellStyle name="Вычисление 15 2 8 3" xfId="31095"/>
    <cellStyle name="Вычисление 15 2 8 4" xfId="40969"/>
    <cellStyle name="Вычисление 15 2 9" xfId="22011"/>
    <cellStyle name="Вычисление 15 20" xfId="13178"/>
    <cellStyle name="Вычисление 15 20 2" xfId="18510"/>
    <cellStyle name="Вычисление 15 20 2 2" xfId="32320"/>
    <cellStyle name="Вычисление 15 20 2 3" xfId="42192"/>
    <cellStyle name="Вычисление 15 20 3" xfId="27051"/>
    <cellStyle name="Вычисление 15 20 4" xfId="36926"/>
    <cellStyle name="Вычисление 15 21" xfId="17283"/>
    <cellStyle name="Вычисление 15 21 2" xfId="21157"/>
    <cellStyle name="Вычисление 15 21 3" xfId="31094"/>
    <cellStyle name="Вычисление 15 21 4" xfId="40968"/>
    <cellStyle name="Вычисление 15 22" xfId="21626"/>
    <cellStyle name="Вычисление 15 23" xfId="22010"/>
    <cellStyle name="Вычисление 15 24" xfId="23797"/>
    <cellStyle name="Вычисление 15 25" xfId="24713"/>
    <cellStyle name="Вычисление 15 26" xfId="34334"/>
    <cellStyle name="Вычисление 15 27" xfId="34553"/>
    <cellStyle name="Вычисление 15 3" xfId="1370"/>
    <cellStyle name="Вычисление 15 3 10" xfId="23799"/>
    <cellStyle name="Вычисление 15 3 11" xfId="24715"/>
    <cellStyle name="Вычисление 15 3 12" xfId="34336"/>
    <cellStyle name="Вычисление 15 3 13" xfId="34551"/>
    <cellStyle name="Вычисление 15 3 2" xfId="8170"/>
    <cellStyle name="Вычисление 15 3 3" xfId="11989"/>
    <cellStyle name="Вычисление 15 3 3 10" xfId="25863"/>
    <cellStyle name="Вычисление 15 3 3 11" xfId="35738"/>
    <cellStyle name="Вычисление 15 3 3 2" xfId="14887"/>
    <cellStyle name="Вычисление 15 3 3 2 2" xfId="17101"/>
    <cellStyle name="Вычисление 15 3 3 2 2 2" xfId="23153"/>
    <cellStyle name="Вычисление 15 3 3 2 2 3" xfId="30915"/>
    <cellStyle name="Вычисление 15 3 3 2 2 4" xfId="40790"/>
    <cellStyle name="Вычисление 15 3 3 2 3" xfId="20170"/>
    <cellStyle name="Вычисление 15 3 3 2 3 2" xfId="33980"/>
    <cellStyle name="Вычисление 15 3 3 2 3 3" xfId="43848"/>
    <cellStyle name="Вычисление 15 3 3 2 4" xfId="28707"/>
    <cellStyle name="Вычисление 15 3 3 2 5" xfId="38582"/>
    <cellStyle name="Вычисление 15 3 3 3" xfId="13624"/>
    <cellStyle name="Вычисление 15 3 3 3 2" xfId="18907"/>
    <cellStyle name="Вычисление 15 3 3 3 2 2" xfId="32717"/>
    <cellStyle name="Вычисление 15 3 3 3 2 3" xfId="42587"/>
    <cellStyle name="Вычисление 15 3 3 3 3" xfId="27446"/>
    <cellStyle name="Вычисление 15 3 3 3 4" xfId="37321"/>
    <cellStyle name="Вычисление 15 3 3 4" xfId="20828"/>
    <cellStyle name="Вычисление 15 3 3 5" xfId="21384"/>
    <cellStyle name="Вычисление 15 3 3 6" xfId="21804"/>
    <cellStyle name="Вычисление 15 3 3 7" xfId="22325"/>
    <cellStyle name="Вычисление 15 3 3 8" xfId="22577"/>
    <cellStyle name="Вычисление 15 3 3 9" xfId="24065"/>
    <cellStyle name="Вычисление 15 3 4" xfId="11703"/>
    <cellStyle name="Вычисление 15 3 4 2" xfId="14601"/>
    <cellStyle name="Вычисление 15 3 4 2 2" xfId="19884"/>
    <cellStyle name="Вычисление 15 3 4 2 2 2" xfId="33694"/>
    <cellStyle name="Вычисление 15 3 4 2 2 3" xfId="43562"/>
    <cellStyle name="Вычисление 15 3 4 2 3" xfId="28421"/>
    <cellStyle name="Вычисление 15 3 4 2 4" xfId="38296"/>
    <cellStyle name="Вычисление 15 3 4 3" xfId="15834"/>
    <cellStyle name="Вычисление 15 3 4 3 2" xfId="22945"/>
    <cellStyle name="Вычисление 15 3 4 3 3" xfId="24466"/>
    <cellStyle name="Вычисление 15 3 4 3 4" xfId="29653"/>
    <cellStyle name="Вычисление 15 3 4 3 5" xfId="39528"/>
    <cellStyle name="Вычисление 15 3 4 4" xfId="23425"/>
    <cellStyle name="Вычисление 15 3 4 5" xfId="25577"/>
    <cellStyle name="Вычисление 15 3 4 6" xfId="35452"/>
    <cellStyle name="Вычисление 15 3 5" xfId="12313"/>
    <cellStyle name="Вычисление 15 3 5 2" xfId="17645"/>
    <cellStyle name="Вычисление 15 3 5 2 2" xfId="31455"/>
    <cellStyle name="Вычисление 15 3 5 2 3" xfId="41328"/>
    <cellStyle name="Вычисление 15 3 5 3" xfId="20492"/>
    <cellStyle name="Вычисление 15 3 5 4" xfId="26187"/>
    <cellStyle name="Вычисление 15 3 5 5" xfId="36062"/>
    <cellStyle name="Вычисление 15 3 6" xfId="13330"/>
    <cellStyle name="Вычисление 15 3 6 2" xfId="16131"/>
    <cellStyle name="Вычисление 15 3 6 2 2" xfId="29949"/>
    <cellStyle name="Вычисление 15 3 6 2 3" xfId="39824"/>
    <cellStyle name="Вычисление 15 3 6 3" xfId="18662"/>
    <cellStyle name="Вычисление 15 3 6 3 2" xfId="32472"/>
    <cellStyle name="Вычисление 15 3 6 3 3" xfId="42344"/>
    <cellStyle name="Вычисление 15 3 6 4" xfId="27203"/>
    <cellStyle name="Вычисление 15 3 6 5" xfId="37078"/>
    <cellStyle name="Вычисление 15 3 7" xfId="13180"/>
    <cellStyle name="Вычисление 15 3 7 2" xfId="18512"/>
    <cellStyle name="Вычисление 15 3 7 2 2" xfId="32322"/>
    <cellStyle name="Вычисление 15 3 7 2 3" xfId="42194"/>
    <cellStyle name="Вычисление 15 3 7 3" xfId="27053"/>
    <cellStyle name="Вычисление 15 3 7 4" xfId="36928"/>
    <cellStyle name="Вычисление 15 3 8" xfId="17285"/>
    <cellStyle name="Вычисление 15 3 8 2" xfId="21684"/>
    <cellStyle name="Вычисление 15 3 8 3" xfId="31096"/>
    <cellStyle name="Вычисление 15 3 8 4" xfId="40970"/>
    <cellStyle name="Вычисление 15 3 9" xfId="22012"/>
    <cellStyle name="Вычисление 15 4" xfId="8163"/>
    <cellStyle name="Вычисление 15 5" xfId="8171"/>
    <cellStyle name="Вычисление 15 6" xfId="8172"/>
    <cellStyle name="Вычисление 15 7" xfId="8173"/>
    <cellStyle name="Вычисление 15 8" xfId="8174"/>
    <cellStyle name="Вычисление 15 9" xfId="8175"/>
    <cellStyle name="Вычисление 16" xfId="1371"/>
    <cellStyle name="Вычисление 16 10" xfId="8177"/>
    <cellStyle name="Вычисление 16 11" xfId="8178"/>
    <cellStyle name="Вычисление 16 12" xfId="8179"/>
    <cellStyle name="Вычисление 16 13" xfId="8180"/>
    <cellStyle name="Вычисление 16 14" xfId="8181"/>
    <cellStyle name="Вычисление 16 15" xfId="11880"/>
    <cellStyle name="Вычисление 16 15 10" xfId="25754"/>
    <cellStyle name="Вычисление 16 15 11" xfId="35629"/>
    <cellStyle name="Вычисление 16 15 2" xfId="14778"/>
    <cellStyle name="Вычисление 16 15 2 2" xfId="16992"/>
    <cellStyle name="Вычисление 16 15 2 2 2" xfId="23044"/>
    <cellStyle name="Вычисление 16 15 2 2 3" xfId="30806"/>
    <cellStyle name="Вычисление 16 15 2 2 4" xfId="40681"/>
    <cellStyle name="Вычисление 16 15 2 3" xfId="20061"/>
    <cellStyle name="Вычисление 16 15 2 3 2" xfId="33871"/>
    <cellStyle name="Вычисление 16 15 2 3 3" xfId="43739"/>
    <cellStyle name="Вычисление 16 15 2 4" xfId="28598"/>
    <cellStyle name="Вычисление 16 15 2 5" xfId="38473"/>
    <cellStyle name="Вычисление 16 15 3" xfId="14440"/>
    <cellStyle name="Вычисление 16 15 3 2" xfId="19723"/>
    <cellStyle name="Вычисление 16 15 3 2 2" xfId="33533"/>
    <cellStyle name="Вычисление 16 15 3 2 3" xfId="43401"/>
    <cellStyle name="Вычисление 16 15 3 3" xfId="28260"/>
    <cellStyle name="Вычисление 16 15 3 4" xfId="38135"/>
    <cellStyle name="Вычисление 16 15 4" xfId="20719"/>
    <cellStyle name="Вычисление 16 15 5" xfId="21275"/>
    <cellStyle name="Вычисление 16 15 6" xfId="21731"/>
    <cellStyle name="Вычисление 16 15 7" xfId="22268"/>
    <cellStyle name="Вычисление 16 15 8" xfId="22452"/>
    <cellStyle name="Вычисление 16 15 9" xfId="23940"/>
    <cellStyle name="Вычисление 16 16" xfId="12104"/>
    <cellStyle name="Вычисление 16 16 10" xfId="24180"/>
    <cellStyle name="Вычисление 16 16 11" xfId="25978"/>
    <cellStyle name="Вычисление 16 16 12" xfId="35853"/>
    <cellStyle name="Вычисление 16 16 2" xfId="15002"/>
    <cellStyle name="Вычисление 16 16 2 2" xfId="20285"/>
    <cellStyle name="Вычисление 16 16 2 2 2" xfId="34095"/>
    <cellStyle name="Вычисление 16 16 2 2 3" xfId="43963"/>
    <cellStyle name="Вычисление 16 16 2 3" xfId="23556"/>
    <cellStyle name="Вычисление 16 16 2 4" xfId="28822"/>
    <cellStyle name="Вычисление 16 16 2 5" xfId="38697"/>
    <cellStyle name="Вычисление 16 16 3" xfId="20591"/>
    <cellStyle name="Вычисление 16 16 4" xfId="20927"/>
    <cellStyle name="Вычисление 16 16 5" xfId="21041"/>
    <cellStyle name="Вычисление 16 16 6" xfId="21483"/>
    <cellStyle name="Вычисление 16 16 7" xfId="21867"/>
    <cellStyle name="Вычисление 16 16 8" xfId="22372"/>
    <cellStyle name="Вычисление 16 16 9" xfId="22676"/>
    <cellStyle name="Вычисление 16 17" xfId="12184"/>
    <cellStyle name="Вычисление 16 17 10" xfId="24260"/>
    <cellStyle name="Вычисление 16 17 11" xfId="26058"/>
    <cellStyle name="Вычисление 16 17 12" xfId="35933"/>
    <cellStyle name="Вычисление 16 17 2" xfId="15082"/>
    <cellStyle name="Вычисление 16 17 2 2" xfId="20365"/>
    <cellStyle name="Вычисление 16 17 2 2 2" xfId="34175"/>
    <cellStyle name="Вычисление 16 17 2 2 3" xfId="44043"/>
    <cellStyle name="Вычисление 16 17 2 3" xfId="23636"/>
    <cellStyle name="Вычисление 16 17 2 4" xfId="28902"/>
    <cellStyle name="Вычисление 16 17 2 5" xfId="38777"/>
    <cellStyle name="Вычисление 16 17 3" xfId="20655"/>
    <cellStyle name="Вычисление 16 17 4" xfId="20991"/>
    <cellStyle name="Вычисление 16 17 5" xfId="21089"/>
    <cellStyle name="Вычисление 16 17 6" xfId="21563"/>
    <cellStyle name="Вычисление 16 17 7" xfId="21915"/>
    <cellStyle name="Вычисление 16 17 8" xfId="22404"/>
    <cellStyle name="Вычисление 16 17 9" xfId="22756"/>
    <cellStyle name="Вычисление 16 18" xfId="11704"/>
    <cellStyle name="Вычисление 16 18 2" xfId="14602"/>
    <cellStyle name="Вычисление 16 18 2 2" xfId="19885"/>
    <cellStyle name="Вычисление 16 18 2 2 2" xfId="33695"/>
    <cellStyle name="Вычисление 16 18 2 2 3" xfId="43563"/>
    <cellStyle name="Вычисление 16 18 2 3" xfId="28422"/>
    <cellStyle name="Вычисление 16 18 2 4" xfId="38297"/>
    <cellStyle name="Вычисление 16 18 3" xfId="15835"/>
    <cellStyle name="Вычисление 16 18 3 2" xfId="22823"/>
    <cellStyle name="Вычисление 16 18 3 3" xfId="24467"/>
    <cellStyle name="Вычисление 16 18 3 4" xfId="29654"/>
    <cellStyle name="Вычисление 16 18 3 5" xfId="39529"/>
    <cellStyle name="Вычисление 16 18 4" xfId="23303"/>
    <cellStyle name="Вычисление 16 18 5" xfId="25578"/>
    <cellStyle name="Вычисление 16 18 6" xfId="35453"/>
    <cellStyle name="Вычисление 16 19" xfId="13331"/>
    <cellStyle name="Вычисление 16 19 2" xfId="16132"/>
    <cellStyle name="Вычисление 16 19 2 2" xfId="29950"/>
    <cellStyle name="Вычисление 16 19 2 3" xfId="39825"/>
    <cellStyle name="Вычисление 16 19 3" xfId="18663"/>
    <cellStyle name="Вычисление 16 19 3 2" xfId="32473"/>
    <cellStyle name="Вычисление 16 19 3 3" xfId="42345"/>
    <cellStyle name="Вычисление 16 19 4" xfId="27204"/>
    <cellStyle name="Вычисление 16 19 5" xfId="37079"/>
    <cellStyle name="Вычисление 16 2" xfId="1372"/>
    <cellStyle name="Вычисление 16 2 10" xfId="23801"/>
    <cellStyle name="Вычисление 16 2 11" xfId="24717"/>
    <cellStyle name="Вычисление 16 2 12" xfId="34338"/>
    <cellStyle name="Вычисление 16 2 13" xfId="34549"/>
    <cellStyle name="Вычисление 16 2 2" xfId="8182"/>
    <cellStyle name="Вычисление 16 2 3" xfId="11990"/>
    <cellStyle name="Вычисление 16 2 3 10" xfId="25864"/>
    <cellStyle name="Вычисление 16 2 3 11" xfId="35739"/>
    <cellStyle name="Вычисление 16 2 3 2" xfId="14888"/>
    <cellStyle name="Вычисление 16 2 3 2 2" xfId="17102"/>
    <cellStyle name="Вычисление 16 2 3 2 2 2" xfId="23154"/>
    <cellStyle name="Вычисление 16 2 3 2 2 3" xfId="30916"/>
    <cellStyle name="Вычисление 16 2 3 2 2 4" xfId="40791"/>
    <cellStyle name="Вычисление 16 2 3 2 3" xfId="20171"/>
    <cellStyle name="Вычисление 16 2 3 2 3 2" xfId="33981"/>
    <cellStyle name="Вычисление 16 2 3 2 3 3" xfId="43849"/>
    <cellStyle name="Вычисление 16 2 3 2 4" xfId="28708"/>
    <cellStyle name="Вычисление 16 2 3 2 5" xfId="38583"/>
    <cellStyle name="Вычисление 16 2 3 3" xfId="14356"/>
    <cellStyle name="Вычисление 16 2 3 3 2" xfId="19639"/>
    <cellStyle name="Вычисление 16 2 3 3 2 2" xfId="33449"/>
    <cellStyle name="Вычисление 16 2 3 3 2 3" xfId="43318"/>
    <cellStyle name="Вычисление 16 2 3 3 3" xfId="28177"/>
    <cellStyle name="Вычисление 16 2 3 3 4" xfId="38052"/>
    <cellStyle name="Вычисление 16 2 3 4" xfId="20829"/>
    <cellStyle name="Вычисление 16 2 3 5" xfId="21385"/>
    <cellStyle name="Вычисление 16 2 3 6" xfId="21805"/>
    <cellStyle name="Вычисление 16 2 3 7" xfId="22326"/>
    <cellStyle name="Вычисление 16 2 3 8" xfId="22578"/>
    <cellStyle name="Вычисление 16 2 3 9" xfId="24066"/>
    <cellStyle name="Вычисление 16 2 4" xfId="11705"/>
    <cellStyle name="Вычисление 16 2 4 2" xfId="14603"/>
    <cellStyle name="Вычисление 16 2 4 2 2" xfId="19886"/>
    <cellStyle name="Вычисление 16 2 4 2 2 2" xfId="33696"/>
    <cellStyle name="Вычисление 16 2 4 2 2 3" xfId="43564"/>
    <cellStyle name="Вычисление 16 2 4 2 3" xfId="28423"/>
    <cellStyle name="Вычисление 16 2 4 2 4" xfId="38298"/>
    <cellStyle name="Вычисление 16 2 4 3" xfId="15836"/>
    <cellStyle name="Вычисление 16 2 4 3 2" xfId="22946"/>
    <cellStyle name="Вычисление 16 2 4 3 3" xfId="24468"/>
    <cellStyle name="Вычисление 16 2 4 3 4" xfId="29655"/>
    <cellStyle name="Вычисление 16 2 4 3 5" xfId="39530"/>
    <cellStyle name="Вычисление 16 2 4 4" xfId="23426"/>
    <cellStyle name="Вычисление 16 2 4 5" xfId="25579"/>
    <cellStyle name="Вычисление 16 2 4 6" xfId="35454"/>
    <cellStyle name="Вычисление 16 2 5" xfId="12314"/>
    <cellStyle name="Вычисление 16 2 5 2" xfId="17646"/>
    <cellStyle name="Вычисление 16 2 5 2 2" xfId="31456"/>
    <cellStyle name="Вычисление 16 2 5 2 3" xfId="41329"/>
    <cellStyle name="Вычисление 16 2 5 3" xfId="20493"/>
    <cellStyle name="Вычисление 16 2 5 4" xfId="26188"/>
    <cellStyle name="Вычисление 16 2 5 5" xfId="36063"/>
    <cellStyle name="Вычисление 16 2 6" xfId="13332"/>
    <cellStyle name="Вычисление 16 2 6 2" xfId="16133"/>
    <cellStyle name="Вычисление 16 2 6 2 2" xfId="29951"/>
    <cellStyle name="Вычисление 16 2 6 2 3" xfId="39826"/>
    <cellStyle name="Вычисление 16 2 6 3" xfId="18664"/>
    <cellStyle name="Вычисление 16 2 6 3 2" xfId="32474"/>
    <cellStyle name="Вычисление 16 2 6 3 3" xfId="42346"/>
    <cellStyle name="Вычисление 16 2 6 4" xfId="27205"/>
    <cellStyle name="Вычисление 16 2 6 5" xfId="37080"/>
    <cellStyle name="Вычисление 16 2 7" xfId="13182"/>
    <cellStyle name="Вычисление 16 2 7 2" xfId="18514"/>
    <cellStyle name="Вычисление 16 2 7 2 2" xfId="32324"/>
    <cellStyle name="Вычисление 16 2 7 2 3" xfId="42196"/>
    <cellStyle name="Вычисление 16 2 7 3" xfId="27055"/>
    <cellStyle name="Вычисление 16 2 7 4" xfId="36930"/>
    <cellStyle name="Вычисление 16 2 8" xfId="17287"/>
    <cellStyle name="Вычисление 16 2 8 2" xfId="21685"/>
    <cellStyle name="Вычисление 16 2 8 3" xfId="31098"/>
    <cellStyle name="Вычисление 16 2 8 4" xfId="40972"/>
    <cellStyle name="Вычисление 16 2 9" xfId="22014"/>
    <cellStyle name="Вычисление 16 20" xfId="13181"/>
    <cellStyle name="Вычисление 16 20 2" xfId="18513"/>
    <cellStyle name="Вычисление 16 20 2 2" xfId="32323"/>
    <cellStyle name="Вычисление 16 20 2 3" xfId="42195"/>
    <cellStyle name="Вычисление 16 20 3" xfId="27054"/>
    <cellStyle name="Вычисление 16 20 4" xfId="36929"/>
    <cellStyle name="Вычисление 16 21" xfId="17286"/>
    <cellStyle name="Вычисление 16 21 2" xfId="21156"/>
    <cellStyle name="Вычисление 16 21 3" xfId="31097"/>
    <cellStyle name="Вычисление 16 21 4" xfId="40971"/>
    <cellStyle name="Вычисление 16 22" xfId="21627"/>
    <cellStyle name="Вычисление 16 23" xfId="22013"/>
    <cellStyle name="Вычисление 16 24" xfId="23800"/>
    <cellStyle name="Вычисление 16 25" xfId="24716"/>
    <cellStyle name="Вычисление 16 26" xfId="34337"/>
    <cellStyle name="Вычисление 16 27" xfId="34550"/>
    <cellStyle name="Вычисление 16 3" xfId="1373"/>
    <cellStyle name="Вычисление 16 3 10" xfId="23802"/>
    <cellStyle name="Вычисление 16 3 11" xfId="24718"/>
    <cellStyle name="Вычисление 16 3 12" xfId="34339"/>
    <cellStyle name="Вычисление 16 3 13" xfId="34548"/>
    <cellStyle name="Вычисление 16 3 2" xfId="8183"/>
    <cellStyle name="Вычисление 16 3 3" xfId="11991"/>
    <cellStyle name="Вычисление 16 3 3 10" xfId="25865"/>
    <cellStyle name="Вычисление 16 3 3 11" xfId="35740"/>
    <cellStyle name="Вычисление 16 3 3 2" xfId="14889"/>
    <cellStyle name="Вычисление 16 3 3 2 2" xfId="17103"/>
    <cellStyle name="Вычисление 16 3 3 2 2 2" xfId="23155"/>
    <cellStyle name="Вычисление 16 3 3 2 2 3" xfId="30917"/>
    <cellStyle name="Вычисление 16 3 3 2 2 4" xfId="40792"/>
    <cellStyle name="Вычисление 16 3 3 2 3" xfId="20172"/>
    <cellStyle name="Вычисление 16 3 3 2 3 2" xfId="33982"/>
    <cellStyle name="Вычисление 16 3 3 2 3 3" xfId="43850"/>
    <cellStyle name="Вычисление 16 3 3 2 4" xfId="28709"/>
    <cellStyle name="Вычисление 16 3 3 2 5" xfId="38584"/>
    <cellStyle name="Вычисление 16 3 3 3" xfId="13025"/>
    <cellStyle name="Вычисление 16 3 3 3 2" xfId="18357"/>
    <cellStyle name="Вычисление 16 3 3 3 2 2" xfId="32167"/>
    <cellStyle name="Вычисление 16 3 3 3 2 3" xfId="42040"/>
    <cellStyle name="Вычисление 16 3 3 3 3" xfId="26899"/>
    <cellStyle name="Вычисление 16 3 3 3 4" xfId="36774"/>
    <cellStyle name="Вычисление 16 3 3 4" xfId="20830"/>
    <cellStyle name="Вычисление 16 3 3 5" xfId="21386"/>
    <cellStyle name="Вычисление 16 3 3 6" xfId="21806"/>
    <cellStyle name="Вычисление 16 3 3 7" xfId="22327"/>
    <cellStyle name="Вычисление 16 3 3 8" xfId="22579"/>
    <cellStyle name="Вычисление 16 3 3 9" xfId="24067"/>
    <cellStyle name="Вычисление 16 3 4" xfId="11706"/>
    <cellStyle name="Вычисление 16 3 4 2" xfId="14604"/>
    <cellStyle name="Вычисление 16 3 4 2 2" xfId="19887"/>
    <cellStyle name="Вычисление 16 3 4 2 2 2" xfId="33697"/>
    <cellStyle name="Вычисление 16 3 4 2 2 3" xfId="43565"/>
    <cellStyle name="Вычисление 16 3 4 2 3" xfId="28424"/>
    <cellStyle name="Вычисление 16 3 4 2 4" xfId="38299"/>
    <cellStyle name="Вычисление 16 3 4 3" xfId="15837"/>
    <cellStyle name="Вычисление 16 3 4 3 2" xfId="22947"/>
    <cellStyle name="Вычисление 16 3 4 3 3" xfId="24469"/>
    <cellStyle name="Вычисление 16 3 4 3 4" xfId="29656"/>
    <cellStyle name="Вычисление 16 3 4 3 5" xfId="39531"/>
    <cellStyle name="Вычисление 16 3 4 4" xfId="23427"/>
    <cellStyle name="Вычисление 16 3 4 5" xfId="25580"/>
    <cellStyle name="Вычисление 16 3 4 6" xfId="35455"/>
    <cellStyle name="Вычисление 16 3 5" xfId="12315"/>
    <cellStyle name="Вычисление 16 3 5 2" xfId="17647"/>
    <cellStyle name="Вычисление 16 3 5 2 2" xfId="31457"/>
    <cellStyle name="Вычисление 16 3 5 2 3" xfId="41330"/>
    <cellStyle name="Вычисление 16 3 5 3" xfId="20494"/>
    <cellStyle name="Вычисление 16 3 5 4" xfId="26189"/>
    <cellStyle name="Вычисление 16 3 5 5" xfId="36064"/>
    <cellStyle name="Вычисление 16 3 6" xfId="13333"/>
    <cellStyle name="Вычисление 16 3 6 2" xfId="16134"/>
    <cellStyle name="Вычисление 16 3 6 2 2" xfId="29952"/>
    <cellStyle name="Вычисление 16 3 6 2 3" xfId="39827"/>
    <cellStyle name="Вычисление 16 3 6 3" xfId="18665"/>
    <cellStyle name="Вычисление 16 3 6 3 2" xfId="32475"/>
    <cellStyle name="Вычисление 16 3 6 3 3" xfId="42347"/>
    <cellStyle name="Вычисление 16 3 6 4" xfId="27206"/>
    <cellStyle name="Вычисление 16 3 6 5" xfId="37081"/>
    <cellStyle name="Вычисление 16 3 7" xfId="13183"/>
    <cellStyle name="Вычисление 16 3 7 2" xfId="18515"/>
    <cellStyle name="Вычисление 16 3 7 2 2" xfId="32325"/>
    <cellStyle name="Вычисление 16 3 7 2 3" xfId="42197"/>
    <cellStyle name="Вычисление 16 3 7 3" xfId="27056"/>
    <cellStyle name="Вычисление 16 3 7 4" xfId="36931"/>
    <cellStyle name="Вычисление 16 3 8" xfId="17288"/>
    <cellStyle name="Вычисление 16 3 8 2" xfId="21686"/>
    <cellStyle name="Вычисление 16 3 8 3" xfId="31099"/>
    <cellStyle name="Вычисление 16 3 8 4" xfId="40973"/>
    <cellStyle name="Вычисление 16 3 9" xfId="22015"/>
    <cellStyle name="Вычисление 16 4" xfId="8176"/>
    <cellStyle name="Вычисление 16 5" xfId="8184"/>
    <cellStyle name="Вычисление 16 6" xfId="8185"/>
    <cellStyle name="Вычисление 16 7" xfId="8186"/>
    <cellStyle name="Вычисление 16 8" xfId="8187"/>
    <cellStyle name="Вычисление 16 9" xfId="8188"/>
    <cellStyle name="Вычисление 17" xfId="1374"/>
    <cellStyle name="Вычисление 17 10" xfId="8190"/>
    <cellStyle name="Вычисление 17 11" xfId="8191"/>
    <cellStyle name="Вычисление 17 12" xfId="8192"/>
    <cellStyle name="Вычисление 17 13" xfId="8193"/>
    <cellStyle name="Вычисление 17 14" xfId="8194"/>
    <cellStyle name="Вычисление 17 15" xfId="11881"/>
    <cellStyle name="Вычисление 17 15 10" xfId="25755"/>
    <cellStyle name="Вычисление 17 15 11" xfId="35630"/>
    <cellStyle name="Вычисление 17 15 2" xfId="14779"/>
    <cellStyle name="Вычисление 17 15 2 2" xfId="16993"/>
    <cellStyle name="Вычисление 17 15 2 2 2" xfId="23045"/>
    <cellStyle name="Вычисление 17 15 2 2 3" xfId="30807"/>
    <cellStyle name="Вычисление 17 15 2 2 4" xfId="40682"/>
    <cellStyle name="Вычисление 17 15 2 3" xfId="20062"/>
    <cellStyle name="Вычисление 17 15 2 3 2" xfId="33872"/>
    <cellStyle name="Вычисление 17 15 2 3 3" xfId="43740"/>
    <cellStyle name="Вычисление 17 15 2 4" xfId="28599"/>
    <cellStyle name="Вычисление 17 15 2 5" xfId="38474"/>
    <cellStyle name="Вычисление 17 15 3" xfId="14441"/>
    <cellStyle name="Вычисление 17 15 3 2" xfId="19724"/>
    <cellStyle name="Вычисление 17 15 3 2 2" xfId="33534"/>
    <cellStyle name="Вычисление 17 15 3 2 3" xfId="43402"/>
    <cellStyle name="Вычисление 17 15 3 3" xfId="28261"/>
    <cellStyle name="Вычисление 17 15 3 4" xfId="38136"/>
    <cellStyle name="Вычисление 17 15 4" xfId="20720"/>
    <cellStyle name="Вычисление 17 15 5" xfId="21276"/>
    <cellStyle name="Вычисление 17 15 6" xfId="21732"/>
    <cellStyle name="Вычисление 17 15 7" xfId="22269"/>
    <cellStyle name="Вычисление 17 15 8" xfId="22453"/>
    <cellStyle name="Вычисление 17 15 9" xfId="23941"/>
    <cellStyle name="Вычисление 17 16" xfId="12105"/>
    <cellStyle name="Вычисление 17 16 10" xfId="24181"/>
    <cellStyle name="Вычисление 17 16 11" xfId="25979"/>
    <cellStyle name="Вычисление 17 16 12" xfId="35854"/>
    <cellStyle name="Вычисление 17 16 2" xfId="15003"/>
    <cellStyle name="Вычисление 17 16 2 2" xfId="20286"/>
    <cellStyle name="Вычисление 17 16 2 2 2" xfId="34096"/>
    <cellStyle name="Вычисление 17 16 2 2 3" xfId="43964"/>
    <cellStyle name="Вычисление 17 16 2 3" xfId="23557"/>
    <cellStyle name="Вычисление 17 16 2 4" xfId="28823"/>
    <cellStyle name="Вычисление 17 16 2 5" xfId="38698"/>
    <cellStyle name="Вычисление 17 16 3" xfId="20592"/>
    <cellStyle name="Вычисление 17 16 4" xfId="20928"/>
    <cellStyle name="Вычисление 17 16 5" xfId="21042"/>
    <cellStyle name="Вычисление 17 16 6" xfId="21484"/>
    <cellStyle name="Вычисление 17 16 7" xfId="21868"/>
    <cellStyle name="Вычисление 17 16 8" xfId="22373"/>
    <cellStyle name="Вычисление 17 16 9" xfId="22677"/>
    <cellStyle name="Вычисление 17 17" xfId="12185"/>
    <cellStyle name="Вычисление 17 17 10" xfId="24261"/>
    <cellStyle name="Вычисление 17 17 11" xfId="26059"/>
    <cellStyle name="Вычисление 17 17 12" xfId="35934"/>
    <cellStyle name="Вычисление 17 17 2" xfId="15083"/>
    <cellStyle name="Вычисление 17 17 2 2" xfId="20366"/>
    <cellStyle name="Вычисление 17 17 2 2 2" xfId="34176"/>
    <cellStyle name="Вычисление 17 17 2 2 3" xfId="44044"/>
    <cellStyle name="Вычисление 17 17 2 3" xfId="23637"/>
    <cellStyle name="Вычисление 17 17 2 4" xfId="28903"/>
    <cellStyle name="Вычисление 17 17 2 5" xfId="38778"/>
    <cellStyle name="Вычисление 17 17 3" xfId="20656"/>
    <cellStyle name="Вычисление 17 17 4" xfId="20992"/>
    <cellStyle name="Вычисление 17 17 5" xfId="21090"/>
    <cellStyle name="Вычисление 17 17 6" xfId="21564"/>
    <cellStyle name="Вычисление 17 17 7" xfId="21916"/>
    <cellStyle name="Вычисление 17 17 8" xfId="22405"/>
    <cellStyle name="Вычисление 17 17 9" xfId="22757"/>
    <cellStyle name="Вычисление 17 18" xfId="11707"/>
    <cellStyle name="Вычисление 17 18 2" xfId="14605"/>
    <cellStyle name="Вычисление 17 18 2 2" xfId="19888"/>
    <cellStyle name="Вычисление 17 18 2 2 2" xfId="33698"/>
    <cellStyle name="Вычисление 17 18 2 2 3" xfId="43566"/>
    <cellStyle name="Вычисление 17 18 2 3" xfId="28425"/>
    <cellStyle name="Вычисление 17 18 2 4" xfId="38300"/>
    <cellStyle name="Вычисление 17 18 3" xfId="15838"/>
    <cellStyle name="Вычисление 17 18 3 2" xfId="22822"/>
    <cellStyle name="Вычисление 17 18 3 3" xfId="24470"/>
    <cellStyle name="Вычисление 17 18 3 4" xfId="29657"/>
    <cellStyle name="Вычисление 17 18 3 5" xfId="39532"/>
    <cellStyle name="Вычисление 17 18 4" xfId="23302"/>
    <cellStyle name="Вычисление 17 18 5" xfId="25581"/>
    <cellStyle name="Вычисление 17 18 6" xfId="35456"/>
    <cellStyle name="Вычисление 17 19" xfId="13334"/>
    <cellStyle name="Вычисление 17 19 2" xfId="16135"/>
    <cellStyle name="Вычисление 17 19 2 2" xfId="29953"/>
    <cellStyle name="Вычисление 17 19 2 3" xfId="39828"/>
    <cellStyle name="Вычисление 17 19 3" xfId="18666"/>
    <cellStyle name="Вычисление 17 19 3 2" xfId="32476"/>
    <cellStyle name="Вычисление 17 19 3 3" xfId="42348"/>
    <cellStyle name="Вычисление 17 19 4" xfId="27207"/>
    <cellStyle name="Вычисление 17 19 5" xfId="37082"/>
    <cellStyle name="Вычисление 17 2" xfId="1375"/>
    <cellStyle name="Вычисление 17 2 10" xfId="23804"/>
    <cellStyle name="Вычисление 17 2 11" xfId="24720"/>
    <cellStyle name="Вычисление 17 2 12" xfId="34341"/>
    <cellStyle name="Вычисление 17 2 13" xfId="34546"/>
    <cellStyle name="Вычисление 17 2 2" xfId="8195"/>
    <cellStyle name="Вычисление 17 2 3" xfId="11992"/>
    <cellStyle name="Вычисление 17 2 3 10" xfId="25866"/>
    <cellStyle name="Вычисление 17 2 3 11" xfId="35741"/>
    <cellStyle name="Вычисление 17 2 3 2" xfId="14890"/>
    <cellStyle name="Вычисление 17 2 3 2 2" xfId="17104"/>
    <cellStyle name="Вычисление 17 2 3 2 2 2" xfId="23156"/>
    <cellStyle name="Вычисление 17 2 3 2 2 3" xfId="30918"/>
    <cellStyle name="Вычисление 17 2 3 2 2 4" xfId="40793"/>
    <cellStyle name="Вычисление 17 2 3 2 3" xfId="20173"/>
    <cellStyle name="Вычисление 17 2 3 2 3 2" xfId="33983"/>
    <cellStyle name="Вычисление 17 2 3 2 3 3" xfId="43851"/>
    <cellStyle name="Вычисление 17 2 3 2 4" xfId="28710"/>
    <cellStyle name="Вычисление 17 2 3 2 5" xfId="38585"/>
    <cellStyle name="Вычисление 17 2 3 3" xfId="14357"/>
    <cellStyle name="Вычисление 17 2 3 3 2" xfId="19640"/>
    <cellStyle name="Вычисление 17 2 3 3 2 2" xfId="33450"/>
    <cellStyle name="Вычисление 17 2 3 3 2 3" xfId="43319"/>
    <cellStyle name="Вычисление 17 2 3 3 3" xfId="28178"/>
    <cellStyle name="Вычисление 17 2 3 3 4" xfId="38053"/>
    <cellStyle name="Вычисление 17 2 3 4" xfId="20831"/>
    <cellStyle name="Вычисление 17 2 3 5" xfId="21387"/>
    <cellStyle name="Вычисление 17 2 3 6" xfId="21807"/>
    <cellStyle name="Вычисление 17 2 3 7" xfId="22328"/>
    <cellStyle name="Вычисление 17 2 3 8" xfId="22580"/>
    <cellStyle name="Вычисление 17 2 3 9" xfId="24068"/>
    <cellStyle name="Вычисление 17 2 4" xfId="11708"/>
    <cellStyle name="Вычисление 17 2 4 2" xfId="14606"/>
    <cellStyle name="Вычисление 17 2 4 2 2" xfId="19889"/>
    <cellStyle name="Вычисление 17 2 4 2 2 2" xfId="33699"/>
    <cellStyle name="Вычисление 17 2 4 2 2 3" xfId="43567"/>
    <cellStyle name="Вычисление 17 2 4 2 3" xfId="28426"/>
    <cellStyle name="Вычисление 17 2 4 2 4" xfId="38301"/>
    <cellStyle name="Вычисление 17 2 4 3" xfId="15839"/>
    <cellStyle name="Вычисление 17 2 4 3 2" xfId="22948"/>
    <cellStyle name="Вычисление 17 2 4 3 3" xfId="24471"/>
    <cellStyle name="Вычисление 17 2 4 3 4" xfId="29658"/>
    <cellStyle name="Вычисление 17 2 4 3 5" xfId="39533"/>
    <cellStyle name="Вычисление 17 2 4 4" xfId="23428"/>
    <cellStyle name="Вычисление 17 2 4 5" xfId="25582"/>
    <cellStyle name="Вычисление 17 2 4 6" xfId="35457"/>
    <cellStyle name="Вычисление 17 2 5" xfId="12316"/>
    <cellStyle name="Вычисление 17 2 5 2" xfId="17648"/>
    <cellStyle name="Вычисление 17 2 5 2 2" xfId="31458"/>
    <cellStyle name="Вычисление 17 2 5 2 3" xfId="41331"/>
    <cellStyle name="Вычисление 17 2 5 3" xfId="20495"/>
    <cellStyle name="Вычисление 17 2 5 4" xfId="26190"/>
    <cellStyle name="Вычисление 17 2 5 5" xfId="36065"/>
    <cellStyle name="Вычисление 17 2 6" xfId="13335"/>
    <cellStyle name="Вычисление 17 2 6 2" xfId="16136"/>
    <cellStyle name="Вычисление 17 2 6 2 2" xfId="29954"/>
    <cellStyle name="Вычисление 17 2 6 2 3" xfId="39829"/>
    <cellStyle name="Вычисление 17 2 6 3" xfId="18667"/>
    <cellStyle name="Вычисление 17 2 6 3 2" xfId="32477"/>
    <cellStyle name="Вычисление 17 2 6 3 3" xfId="42349"/>
    <cellStyle name="Вычисление 17 2 6 4" xfId="27208"/>
    <cellStyle name="Вычисление 17 2 6 5" xfId="37083"/>
    <cellStyle name="Вычисление 17 2 7" xfId="13185"/>
    <cellStyle name="Вычисление 17 2 7 2" xfId="18517"/>
    <cellStyle name="Вычисление 17 2 7 2 2" xfId="32327"/>
    <cellStyle name="Вычисление 17 2 7 2 3" xfId="42199"/>
    <cellStyle name="Вычисление 17 2 7 3" xfId="27058"/>
    <cellStyle name="Вычисление 17 2 7 4" xfId="36933"/>
    <cellStyle name="Вычисление 17 2 8" xfId="17290"/>
    <cellStyle name="Вычисление 17 2 8 2" xfId="21687"/>
    <cellStyle name="Вычисление 17 2 8 3" xfId="31101"/>
    <cellStyle name="Вычисление 17 2 8 4" xfId="40975"/>
    <cellStyle name="Вычисление 17 2 9" xfId="22017"/>
    <cellStyle name="Вычисление 17 20" xfId="13184"/>
    <cellStyle name="Вычисление 17 20 2" xfId="18516"/>
    <cellStyle name="Вычисление 17 20 2 2" xfId="32326"/>
    <cellStyle name="Вычисление 17 20 2 3" xfId="42198"/>
    <cellStyle name="Вычисление 17 20 3" xfId="27057"/>
    <cellStyle name="Вычисление 17 20 4" xfId="36932"/>
    <cellStyle name="Вычисление 17 21" xfId="17289"/>
    <cellStyle name="Вычисление 17 21 2" xfId="21155"/>
    <cellStyle name="Вычисление 17 21 3" xfId="31100"/>
    <cellStyle name="Вычисление 17 21 4" xfId="40974"/>
    <cellStyle name="Вычисление 17 22" xfId="21628"/>
    <cellStyle name="Вычисление 17 23" xfId="22016"/>
    <cellStyle name="Вычисление 17 24" xfId="23803"/>
    <cellStyle name="Вычисление 17 25" xfId="24719"/>
    <cellStyle name="Вычисление 17 26" xfId="34340"/>
    <cellStyle name="Вычисление 17 27" xfId="34547"/>
    <cellStyle name="Вычисление 17 3" xfId="1376"/>
    <cellStyle name="Вычисление 17 3 10" xfId="23805"/>
    <cellStyle name="Вычисление 17 3 11" xfId="24721"/>
    <cellStyle name="Вычисление 17 3 12" xfId="34342"/>
    <cellStyle name="Вычисление 17 3 13" xfId="34545"/>
    <cellStyle name="Вычисление 17 3 2" xfId="8196"/>
    <cellStyle name="Вычисление 17 3 3" xfId="11993"/>
    <cellStyle name="Вычисление 17 3 3 10" xfId="25867"/>
    <cellStyle name="Вычисление 17 3 3 11" xfId="35742"/>
    <cellStyle name="Вычисление 17 3 3 2" xfId="14891"/>
    <cellStyle name="Вычисление 17 3 3 2 2" xfId="17105"/>
    <cellStyle name="Вычисление 17 3 3 2 2 2" xfId="23157"/>
    <cellStyle name="Вычисление 17 3 3 2 2 3" xfId="30919"/>
    <cellStyle name="Вычисление 17 3 3 2 2 4" xfId="40794"/>
    <cellStyle name="Вычисление 17 3 3 2 3" xfId="20174"/>
    <cellStyle name="Вычисление 17 3 3 2 3 2" xfId="33984"/>
    <cellStyle name="Вычисление 17 3 3 2 3 3" xfId="43852"/>
    <cellStyle name="Вычисление 17 3 3 2 4" xfId="28711"/>
    <cellStyle name="Вычисление 17 3 3 2 5" xfId="38586"/>
    <cellStyle name="Вычисление 17 3 3 3" xfId="14350"/>
    <cellStyle name="Вычисление 17 3 3 3 2" xfId="19633"/>
    <cellStyle name="Вычисление 17 3 3 3 2 2" xfId="33443"/>
    <cellStyle name="Вычисление 17 3 3 3 2 3" xfId="43312"/>
    <cellStyle name="Вычисление 17 3 3 3 3" xfId="28171"/>
    <cellStyle name="Вычисление 17 3 3 3 4" xfId="38046"/>
    <cellStyle name="Вычисление 17 3 3 4" xfId="20832"/>
    <cellStyle name="Вычисление 17 3 3 5" xfId="21388"/>
    <cellStyle name="Вычисление 17 3 3 6" xfId="21808"/>
    <cellStyle name="Вычисление 17 3 3 7" xfId="22329"/>
    <cellStyle name="Вычисление 17 3 3 8" xfId="22581"/>
    <cellStyle name="Вычисление 17 3 3 9" xfId="24069"/>
    <cellStyle name="Вычисление 17 3 4" xfId="11709"/>
    <cellStyle name="Вычисление 17 3 4 2" xfId="14607"/>
    <cellStyle name="Вычисление 17 3 4 2 2" xfId="19890"/>
    <cellStyle name="Вычисление 17 3 4 2 2 2" xfId="33700"/>
    <cellStyle name="Вычисление 17 3 4 2 2 3" xfId="43568"/>
    <cellStyle name="Вычисление 17 3 4 2 3" xfId="28427"/>
    <cellStyle name="Вычисление 17 3 4 2 4" xfId="38302"/>
    <cellStyle name="Вычисление 17 3 4 3" xfId="15840"/>
    <cellStyle name="Вычисление 17 3 4 3 2" xfId="22949"/>
    <cellStyle name="Вычисление 17 3 4 3 3" xfId="24472"/>
    <cellStyle name="Вычисление 17 3 4 3 4" xfId="29659"/>
    <cellStyle name="Вычисление 17 3 4 3 5" xfId="39534"/>
    <cellStyle name="Вычисление 17 3 4 4" xfId="23429"/>
    <cellStyle name="Вычисление 17 3 4 5" xfId="25583"/>
    <cellStyle name="Вычисление 17 3 4 6" xfId="35458"/>
    <cellStyle name="Вычисление 17 3 5" xfId="12317"/>
    <cellStyle name="Вычисление 17 3 5 2" xfId="17649"/>
    <cellStyle name="Вычисление 17 3 5 2 2" xfId="31459"/>
    <cellStyle name="Вычисление 17 3 5 2 3" xfId="41332"/>
    <cellStyle name="Вычисление 17 3 5 3" xfId="20496"/>
    <cellStyle name="Вычисление 17 3 5 4" xfId="26191"/>
    <cellStyle name="Вычисление 17 3 5 5" xfId="36066"/>
    <cellStyle name="Вычисление 17 3 6" xfId="13336"/>
    <cellStyle name="Вычисление 17 3 6 2" xfId="16137"/>
    <cellStyle name="Вычисление 17 3 6 2 2" xfId="29955"/>
    <cellStyle name="Вычисление 17 3 6 2 3" xfId="39830"/>
    <cellStyle name="Вычисление 17 3 6 3" xfId="18668"/>
    <cellStyle name="Вычисление 17 3 6 3 2" xfId="32478"/>
    <cellStyle name="Вычисление 17 3 6 3 3" xfId="42350"/>
    <cellStyle name="Вычисление 17 3 6 4" xfId="27209"/>
    <cellStyle name="Вычисление 17 3 6 5" xfId="37084"/>
    <cellStyle name="Вычисление 17 3 7" xfId="13186"/>
    <cellStyle name="Вычисление 17 3 7 2" xfId="18518"/>
    <cellStyle name="Вычисление 17 3 7 2 2" xfId="32328"/>
    <cellStyle name="Вычисление 17 3 7 2 3" xfId="42200"/>
    <cellStyle name="Вычисление 17 3 7 3" xfId="27059"/>
    <cellStyle name="Вычисление 17 3 7 4" xfId="36934"/>
    <cellStyle name="Вычисление 17 3 8" xfId="17291"/>
    <cellStyle name="Вычисление 17 3 8 2" xfId="21688"/>
    <cellStyle name="Вычисление 17 3 8 3" xfId="31102"/>
    <cellStyle name="Вычисление 17 3 8 4" xfId="40976"/>
    <cellStyle name="Вычисление 17 3 9" xfId="22018"/>
    <cellStyle name="Вычисление 17 4" xfId="8189"/>
    <cellStyle name="Вычисление 17 5" xfId="8197"/>
    <cellStyle name="Вычисление 17 6" xfId="8198"/>
    <cellStyle name="Вычисление 17 7" xfId="8199"/>
    <cellStyle name="Вычисление 17 8" xfId="8200"/>
    <cellStyle name="Вычисление 17 9" xfId="8201"/>
    <cellStyle name="Вычисление 18" xfId="1377"/>
    <cellStyle name="Вычисление 18 10" xfId="22019"/>
    <cellStyle name="Вычисление 18 11" xfId="23806"/>
    <cellStyle name="Вычисление 18 12" xfId="24722"/>
    <cellStyle name="Вычисление 18 13" xfId="34343"/>
    <cellStyle name="Вычисление 18 14" xfId="34544"/>
    <cellStyle name="Вычисление 18 2" xfId="1378"/>
    <cellStyle name="Вычисление 18 2 10" xfId="23807"/>
    <cellStyle name="Вычисление 18 2 11" xfId="24723"/>
    <cellStyle name="Вычисление 18 2 12" xfId="34722"/>
    <cellStyle name="Вычисление 18 2 2" xfId="8203"/>
    <cellStyle name="Вычисление 18 2 3" xfId="11995"/>
    <cellStyle name="Вычисление 18 2 3 10" xfId="25869"/>
    <cellStyle name="Вычисление 18 2 3 11" xfId="35744"/>
    <cellStyle name="Вычисление 18 2 3 2" xfId="14893"/>
    <cellStyle name="Вычисление 18 2 3 2 2" xfId="17107"/>
    <cellStyle name="Вычисление 18 2 3 2 2 2" xfId="23159"/>
    <cellStyle name="Вычисление 18 2 3 2 2 3" xfId="30921"/>
    <cellStyle name="Вычисление 18 2 3 2 2 4" xfId="40796"/>
    <cellStyle name="Вычисление 18 2 3 2 3" xfId="20176"/>
    <cellStyle name="Вычисление 18 2 3 2 3 2" xfId="33986"/>
    <cellStyle name="Вычисление 18 2 3 2 3 3" xfId="43854"/>
    <cellStyle name="Вычисление 18 2 3 2 4" xfId="28713"/>
    <cellStyle name="Вычисление 18 2 3 2 5" xfId="38588"/>
    <cellStyle name="Вычисление 18 2 3 3" xfId="14462"/>
    <cellStyle name="Вычисление 18 2 3 3 2" xfId="19745"/>
    <cellStyle name="Вычисление 18 2 3 3 2 2" xfId="33555"/>
    <cellStyle name="Вычисление 18 2 3 3 2 3" xfId="43423"/>
    <cellStyle name="Вычисление 18 2 3 3 3" xfId="28282"/>
    <cellStyle name="Вычисление 18 2 3 3 4" xfId="38157"/>
    <cellStyle name="Вычисление 18 2 3 4" xfId="20834"/>
    <cellStyle name="Вычисление 18 2 3 5" xfId="21390"/>
    <cellStyle name="Вычисление 18 2 3 6" xfId="21810"/>
    <cellStyle name="Вычисление 18 2 3 7" xfId="22331"/>
    <cellStyle name="Вычисление 18 2 3 8" xfId="22583"/>
    <cellStyle name="Вычисление 18 2 3 9" xfId="24071"/>
    <cellStyle name="Вычисление 18 2 4" xfId="11711"/>
    <cellStyle name="Вычисление 18 2 4 2" xfId="14609"/>
    <cellStyle name="Вычисление 18 2 4 2 2" xfId="19892"/>
    <cellStyle name="Вычисление 18 2 4 2 2 2" xfId="33702"/>
    <cellStyle name="Вычисление 18 2 4 2 2 3" xfId="43570"/>
    <cellStyle name="Вычисление 18 2 4 2 3" xfId="28429"/>
    <cellStyle name="Вычисление 18 2 4 2 4" xfId="38304"/>
    <cellStyle name="Вычисление 18 2 4 3" xfId="15842"/>
    <cellStyle name="Вычисление 18 2 4 3 2" xfId="22951"/>
    <cellStyle name="Вычисление 18 2 4 3 3" xfId="24474"/>
    <cellStyle name="Вычисление 18 2 4 3 4" xfId="29661"/>
    <cellStyle name="Вычисление 18 2 4 3 5" xfId="39536"/>
    <cellStyle name="Вычисление 18 2 4 4" xfId="23431"/>
    <cellStyle name="Вычисление 18 2 4 5" xfId="25585"/>
    <cellStyle name="Вычисление 18 2 4 6" xfId="35460"/>
    <cellStyle name="Вычисление 18 2 5" xfId="12229"/>
    <cellStyle name="Вычисление 18 2 5 2" xfId="17561"/>
    <cellStyle name="Вычисление 18 2 5 2 2" xfId="31371"/>
    <cellStyle name="Вычисление 18 2 5 2 3" xfId="41244"/>
    <cellStyle name="Вычисление 18 2 5 3" xfId="20498"/>
    <cellStyle name="Вычисление 18 2 5 4" xfId="26103"/>
    <cellStyle name="Вычисление 18 2 5 5" xfId="35978"/>
    <cellStyle name="Вычисление 18 2 6" xfId="13057"/>
    <cellStyle name="Вычисление 18 2 6 2" xfId="16008"/>
    <cellStyle name="Вычисление 18 2 6 2 2" xfId="29827"/>
    <cellStyle name="Вычисление 18 2 6 2 3" xfId="39702"/>
    <cellStyle name="Вычисление 18 2 6 3" xfId="18389"/>
    <cellStyle name="Вычисление 18 2 6 3 2" xfId="32199"/>
    <cellStyle name="Вычисление 18 2 6 3 3" xfId="42072"/>
    <cellStyle name="Вычисление 18 2 6 4" xfId="26931"/>
    <cellStyle name="Вычисление 18 2 6 5" xfId="36806"/>
    <cellStyle name="Вычисление 18 2 7" xfId="21233"/>
    <cellStyle name="Вычисление 18 2 8" xfId="21690"/>
    <cellStyle name="Вычисление 18 2 9" xfId="21942"/>
    <cellStyle name="Вычисление 18 3" xfId="8202"/>
    <cellStyle name="Вычисление 18 4" xfId="11994"/>
    <cellStyle name="Вычисление 18 4 10" xfId="25868"/>
    <cellStyle name="Вычисление 18 4 11" xfId="35743"/>
    <cellStyle name="Вычисление 18 4 2" xfId="14892"/>
    <cellStyle name="Вычисление 18 4 2 2" xfId="17106"/>
    <cellStyle name="Вычисление 18 4 2 2 2" xfId="23158"/>
    <cellStyle name="Вычисление 18 4 2 2 3" xfId="30920"/>
    <cellStyle name="Вычисление 18 4 2 2 4" xfId="40795"/>
    <cellStyle name="Вычисление 18 4 2 3" xfId="20175"/>
    <cellStyle name="Вычисление 18 4 2 3 2" xfId="33985"/>
    <cellStyle name="Вычисление 18 4 2 3 3" xfId="43853"/>
    <cellStyle name="Вычисление 18 4 2 4" xfId="28712"/>
    <cellStyle name="Вычисление 18 4 2 5" xfId="38587"/>
    <cellStyle name="Вычисление 18 4 3" xfId="14358"/>
    <cellStyle name="Вычисление 18 4 3 2" xfId="19641"/>
    <cellStyle name="Вычисление 18 4 3 2 2" xfId="33451"/>
    <cellStyle name="Вычисление 18 4 3 2 3" xfId="43320"/>
    <cellStyle name="Вычисление 18 4 3 3" xfId="28179"/>
    <cellStyle name="Вычисление 18 4 3 4" xfId="38054"/>
    <cellStyle name="Вычисление 18 4 4" xfId="20833"/>
    <cellStyle name="Вычисление 18 4 5" xfId="21389"/>
    <cellStyle name="Вычисление 18 4 6" xfId="21809"/>
    <cellStyle name="Вычисление 18 4 7" xfId="22330"/>
    <cellStyle name="Вычисление 18 4 8" xfId="22582"/>
    <cellStyle name="Вычисление 18 4 9" xfId="24070"/>
    <cellStyle name="Вычисление 18 5" xfId="11710"/>
    <cellStyle name="Вычисление 18 5 2" xfId="14608"/>
    <cellStyle name="Вычисление 18 5 2 2" xfId="19891"/>
    <cellStyle name="Вычисление 18 5 2 2 2" xfId="33701"/>
    <cellStyle name="Вычисление 18 5 2 2 3" xfId="43569"/>
    <cellStyle name="Вычисление 18 5 2 3" xfId="28428"/>
    <cellStyle name="Вычисление 18 5 2 4" xfId="38303"/>
    <cellStyle name="Вычисление 18 5 3" xfId="15841"/>
    <cellStyle name="Вычисление 18 5 3 2" xfId="22950"/>
    <cellStyle name="Вычисление 18 5 3 3" xfId="24473"/>
    <cellStyle name="Вычисление 18 5 3 4" xfId="29660"/>
    <cellStyle name="Вычисление 18 5 3 5" xfId="39535"/>
    <cellStyle name="Вычисление 18 5 4" xfId="23430"/>
    <cellStyle name="Вычисление 18 5 5" xfId="25584"/>
    <cellStyle name="Вычисление 18 5 6" xfId="35459"/>
    <cellStyle name="Вычисление 18 6" xfId="12318"/>
    <cellStyle name="Вычисление 18 6 2" xfId="17650"/>
    <cellStyle name="Вычисление 18 6 2 2" xfId="31460"/>
    <cellStyle name="Вычисление 18 6 2 3" xfId="41333"/>
    <cellStyle name="Вычисление 18 6 3" xfId="20497"/>
    <cellStyle name="Вычисление 18 6 4" xfId="26192"/>
    <cellStyle name="Вычисление 18 6 5" xfId="36067"/>
    <cellStyle name="Вычисление 18 7" xfId="13337"/>
    <cellStyle name="Вычисление 18 7 2" xfId="16138"/>
    <cellStyle name="Вычисление 18 7 2 2" xfId="29956"/>
    <cellStyle name="Вычисление 18 7 2 3" xfId="39831"/>
    <cellStyle name="Вычисление 18 7 3" xfId="18669"/>
    <cellStyle name="Вычисление 18 7 3 2" xfId="32479"/>
    <cellStyle name="Вычисление 18 7 3 3" xfId="42351"/>
    <cellStyle name="Вычисление 18 7 4" xfId="27210"/>
    <cellStyle name="Вычисление 18 7 5" xfId="37085"/>
    <cellStyle name="Вычисление 18 8" xfId="13187"/>
    <cellStyle name="Вычисление 18 8 2" xfId="18519"/>
    <cellStyle name="Вычисление 18 8 2 2" xfId="32329"/>
    <cellStyle name="Вычисление 18 8 2 3" xfId="42201"/>
    <cellStyle name="Вычисление 18 8 3" xfId="27060"/>
    <cellStyle name="Вычисление 18 8 4" xfId="36935"/>
    <cellStyle name="Вычисление 18 9" xfId="17292"/>
    <cellStyle name="Вычисление 18 9 2" xfId="21689"/>
    <cellStyle name="Вычисление 18 9 3" xfId="31103"/>
    <cellStyle name="Вычисление 18 9 4" xfId="40977"/>
    <cellStyle name="Вычисление 19" xfId="1379"/>
    <cellStyle name="Вычисление 19 10" xfId="22020"/>
    <cellStyle name="Вычисление 19 11" xfId="23808"/>
    <cellStyle name="Вычисление 19 12" xfId="24724"/>
    <cellStyle name="Вычисление 19 13" xfId="34344"/>
    <cellStyle name="Вычисление 19 14" xfId="34543"/>
    <cellStyle name="Вычисление 19 2" xfId="1380"/>
    <cellStyle name="Вычисление 19 2 10" xfId="23809"/>
    <cellStyle name="Вычисление 19 2 11" xfId="24725"/>
    <cellStyle name="Вычисление 19 2 12" xfId="34721"/>
    <cellStyle name="Вычисление 19 2 2" xfId="8205"/>
    <cellStyle name="Вычисление 19 2 3" xfId="11997"/>
    <cellStyle name="Вычисление 19 2 3 10" xfId="25871"/>
    <cellStyle name="Вычисление 19 2 3 11" xfId="35746"/>
    <cellStyle name="Вычисление 19 2 3 2" xfId="14895"/>
    <cellStyle name="Вычисление 19 2 3 2 2" xfId="17109"/>
    <cellStyle name="Вычисление 19 2 3 2 2 2" xfId="23161"/>
    <cellStyle name="Вычисление 19 2 3 2 2 3" xfId="30923"/>
    <cellStyle name="Вычисление 19 2 3 2 2 4" xfId="40798"/>
    <cellStyle name="Вычисление 19 2 3 2 3" xfId="20178"/>
    <cellStyle name="Вычисление 19 2 3 2 3 2" xfId="33988"/>
    <cellStyle name="Вычисление 19 2 3 2 3 3" xfId="43856"/>
    <cellStyle name="Вычисление 19 2 3 2 4" xfId="28715"/>
    <cellStyle name="Вычисление 19 2 3 2 5" xfId="38590"/>
    <cellStyle name="Вычисление 19 2 3 3" xfId="14360"/>
    <cellStyle name="Вычисление 19 2 3 3 2" xfId="19643"/>
    <cellStyle name="Вычисление 19 2 3 3 2 2" xfId="33453"/>
    <cellStyle name="Вычисление 19 2 3 3 2 3" xfId="43322"/>
    <cellStyle name="Вычисление 19 2 3 3 3" xfId="28181"/>
    <cellStyle name="Вычисление 19 2 3 3 4" xfId="38056"/>
    <cellStyle name="Вычисление 19 2 3 4" xfId="20836"/>
    <cellStyle name="Вычисление 19 2 3 5" xfId="21392"/>
    <cellStyle name="Вычисление 19 2 3 6" xfId="21812"/>
    <cellStyle name="Вычисление 19 2 3 7" xfId="22333"/>
    <cellStyle name="Вычисление 19 2 3 8" xfId="22585"/>
    <cellStyle name="Вычисление 19 2 3 9" xfId="24073"/>
    <cellStyle name="Вычисление 19 2 4" xfId="11713"/>
    <cellStyle name="Вычисление 19 2 4 2" xfId="14611"/>
    <cellStyle name="Вычисление 19 2 4 2 2" xfId="19894"/>
    <cellStyle name="Вычисление 19 2 4 2 2 2" xfId="33704"/>
    <cellStyle name="Вычисление 19 2 4 2 2 3" xfId="43572"/>
    <cellStyle name="Вычисление 19 2 4 2 3" xfId="28431"/>
    <cellStyle name="Вычисление 19 2 4 2 4" xfId="38306"/>
    <cellStyle name="Вычисление 19 2 4 3" xfId="15844"/>
    <cellStyle name="Вычисление 19 2 4 3 2" xfId="22953"/>
    <cellStyle name="Вычисление 19 2 4 3 3" xfId="24476"/>
    <cellStyle name="Вычисление 19 2 4 3 4" xfId="29663"/>
    <cellStyle name="Вычисление 19 2 4 3 5" xfId="39538"/>
    <cellStyle name="Вычисление 19 2 4 4" xfId="23433"/>
    <cellStyle name="Вычисление 19 2 4 5" xfId="25587"/>
    <cellStyle name="Вычисление 19 2 4 6" xfId="35462"/>
    <cellStyle name="Вычисление 19 2 5" xfId="12228"/>
    <cellStyle name="Вычисление 19 2 5 2" xfId="17560"/>
    <cellStyle name="Вычисление 19 2 5 2 2" xfId="31370"/>
    <cellStyle name="Вычисление 19 2 5 2 3" xfId="41243"/>
    <cellStyle name="Вычисление 19 2 5 3" xfId="20500"/>
    <cellStyle name="Вычисление 19 2 5 4" xfId="26102"/>
    <cellStyle name="Вычисление 19 2 5 5" xfId="35977"/>
    <cellStyle name="Вычисление 19 2 6" xfId="13056"/>
    <cellStyle name="Вычисление 19 2 6 2" xfId="16007"/>
    <cellStyle name="Вычисление 19 2 6 2 2" xfId="29826"/>
    <cellStyle name="Вычисление 19 2 6 2 3" xfId="39701"/>
    <cellStyle name="Вычисление 19 2 6 3" xfId="18388"/>
    <cellStyle name="Вычисление 19 2 6 3 2" xfId="32198"/>
    <cellStyle name="Вычисление 19 2 6 3 3" xfId="42071"/>
    <cellStyle name="Вычисление 19 2 6 4" xfId="26930"/>
    <cellStyle name="Вычисление 19 2 6 5" xfId="36805"/>
    <cellStyle name="Вычисление 19 2 7" xfId="21234"/>
    <cellStyle name="Вычисление 19 2 8" xfId="21692"/>
    <cellStyle name="Вычисление 19 2 9" xfId="21941"/>
    <cellStyle name="Вычисление 19 3" xfId="8204"/>
    <cellStyle name="Вычисление 19 4" xfId="11996"/>
    <cellStyle name="Вычисление 19 4 10" xfId="25870"/>
    <cellStyle name="Вычисление 19 4 11" xfId="35745"/>
    <cellStyle name="Вычисление 19 4 2" xfId="14894"/>
    <cellStyle name="Вычисление 19 4 2 2" xfId="17108"/>
    <cellStyle name="Вычисление 19 4 2 2 2" xfId="23160"/>
    <cellStyle name="Вычисление 19 4 2 2 3" xfId="30922"/>
    <cellStyle name="Вычисление 19 4 2 2 4" xfId="40797"/>
    <cellStyle name="Вычисление 19 4 2 3" xfId="20177"/>
    <cellStyle name="Вычисление 19 4 2 3 2" xfId="33987"/>
    <cellStyle name="Вычисление 19 4 2 3 3" xfId="43855"/>
    <cellStyle name="Вычисление 19 4 2 4" xfId="28714"/>
    <cellStyle name="Вычисление 19 4 2 5" xfId="38589"/>
    <cellStyle name="Вычисление 19 4 3" xfId="14359"/>
    <cellStyle name="Вычисление 19 4 3 2" xfId="19642"/>
    <cellStyle name="Вычисление 19 4 3 2 2" xfId="33452"/>
    <cellStyle name="Вычисление 19 4 3 2 3" xfId="43321"/>
    <cellStyle name="Вычисление 19 4 3 3" xfId="28180"/>
    <cellStyle name="Вычисление 19 4 3 4" xfId="38055"/>
    <cellStyle name="Вычисление 19 4 4" xfId="20835"/>
    <cellStyle name="Вычисление 19 4 5" xfId="21391"/>
    <cellStyle name="Вычисление 19 4 6" xfId="21811"/>
    <cellStyle name="Вычисление 19 4 7" xfId="22332"/>
    <cellStyle name="Вычисление 19 4 8" xfId="22584"/>
    <cellStyle name="Вычисление 19 4 9" xfId="24072"/>
    <cellStyle name="Вычисление 19 5" xfId="11712"/>
    <cellStyle name="Вычисление 19 5 2" xfId="14610"/>
    <cellStyle name="Вычисление 19 5 2 2" xfId="19893"/>
    <cellStyle name="Вычисление 19 5 2 2 2" xfId="33703"/>
    <cellStyle name="Вычисление 19 5 2 2 3" xfId="43571"/>
    <cellStyle name="Вычисление 19 5 2 3" xfId="28430"/>
    <cellStyle name="Вычисление 19 5 2 4" xfId="38305"/>
    <cellStyle name="Вычисление 19 5 3" xfId="15843"/>
    <cellStyle name="Вычисление 19 5 3 2" xfId="22952"/>
    <cellStyle name="Вычисление 19 5 3 3" xfId="24475"/>
    <cellStyle name="Вычисление 19 5 3 4" xfId="29662"/>
    <cellStyle name="Вычисление 19 5 3 5" xfId="39537"/>
    <cellStyle name="Вычисление 19 5 4" xfId="23432"/>
    <cellStyle name="Вычисление 19 5 5" xfId="25586"/>
    <cellStyle name="Вычисление 19 5 6" xfId="35461"/>
    <cellStyle name="Вычисление 19 6" xfId="12319"/>
    <cellStyle name="Вычисление 19 6 2" xfId="17651"/>
    <cellStyle name="Вычисление 19 6 2 2" xfId="31461"/>
    <cellStyle name="Вычисление 19 6 2 3" xfId="41334"/>
    <cellStyle name="Вычисление 19 6 3" xfId="20499"/>
    <cellStyle name="Вычисление 19 6 4" xfId="26193"/>
    <cellStyle name="Вычисление 19 6 5" xfId="36068"/>
    <cellStyle name="Вычисление 19 7" xfId="13338"/>
    <cellStyle name="Вычисление 19 7 2" xfId="16139"/>
    <cellStyle name="Вычисление 19 7 2 2" xfId="29957"/>
    <cellStyle name="Вычисление 19 7 2 3" xfId="39832"/>
    <cellStyle name="Вычисление 19 7 3" xfId="18670"/>
    <cellStyle name="Вычисление 19 7 3 2" xfId="32480"/>
    <cellStyle name="Вычисление 19 7 3 3" xfId="42352"/>
    <cellStyle name="Вычисление 19 7 4" xfId="27211"/>
    <cellStyle name="Вычисление 19 7 5" xfId="37086"/>
    <cellStyle name="Вычисление 19 8" xfId="13188"/>
    <cellStyle name="Вычисление 19 8 2" xfId="18520"/>
    <cellStyle name="Вычисление 19 8 2 2" xfId="32330"/>
    <cellStyle name="Вычисление 19 8 2 3" xfId="42202"/>
    <cellStyle name="Вычисление 19 8 3" xfId="27061"/>
    <cellStyle name="Вычисление 19 8 4" xfId="36936"/>
    <cellStyle name="Вычисление 19 9" xfId="17293"/>
    <cellStyle name="Вычисление 19 9 2" xfId="21691"/>
    <cellStyle name="Вычисление 19 9 3" xfId="31104"/>
    <cellStyle name="Вычисление 19 9 4" xfId="40978"/>
    <cellStyle name="Вычисление 2" xfId="1381"/>
    <cellStyle name="Вычисление 2 10" xfId="8207"/>
    <cellStyle name="Вычисление 2 11" xfId="8208"/>
    <cellStyle name="Вычисление 2 12" xfId="8209"/>
    <cellStyle name="Вычисление 2 13" xfId="8210"/>
    <cellStyle name="Вычисление 2 14" xfId="8211"/>
    <cellStyle name="Вычисление 2 15" xfId="11882"/>
    <cellStyle name="Вычисление 2 15 10" xfId="25756"/>
    <cellStyle name="Вычисление 2 15 11" xfId="35631"/>
    <cellStyle name="Вычисление 2 15 2" xfId="14780"/>
    <cellStyle name="Вычисление 2 15 2 2" xfId="16994"/>
    <cellStyle name="Вычисление 2 15 2 2 2" xfId="23046"/>
    <cellStyle name="Вычисление 2 15 2 2 3" xfId="30808"/>
    <cellStyle name="Вычисление 2 15 2 2 4" xfId="40683"/>
    <cellStyle name="Вычисление 2 15 2 3" xfId="20063"/>
    <cellStyle name="Вычисление 2 15 2 3 2" xfId="33873"/>
    <cellStyle name="Вычисление 2 15 2 3 3" xfId="43741"/>
    <cellStyle name="Вычисление 2 15 2 4" xfId="28600"/>
    <cellStyle name="Вычисление 2 15 2 5" xfId="38475"/>
    <cellStyle name="Вычисление 2 15 3" xfId="13619"/>
    <cellStyle name="Вычисление 2 15 3 2" xfId="18902"/>
    <cellStyle name="Вычисление 2 15 3 2 2" xfId="32712"/>
    <cellStyle name="Вычисление 2 15 3 2 3" xfId="42582"/>
    <cellStyle name="Вычисление 2 15 3 3" xfId="27441"/>
    <cellStyle name="Вычисление 2 15 3 4" xfId="37316"/>
    <cellStyle name="Вычисление 2 15 4" xfId="20721"/>
    <cellStyle name="Вычисление 2 15 5" xfId="21277"/>
    <cellStyle name="Вычисление 2 15 6" xfId="21733"/>
    <cellStyle name="Вычисление 2 15 7" xfId="22270"/>
    <cellStyle name="Вычисление 2 15 8" xfId="22454"/>
    <cellStyle name="Вычисление 2 15 9" xfId="23942"/>
    <cellStyle name="Вычисление 2 16" xfId="12106"/>
    <cellStyle name="Вычисление 2 16 10" xfId="24182"/>
    <cellStyle name="Вычисление 2 16 11" xfId="25980"/>
    <cellStyle name="Вычисление 2 16 12" xfId="35855"/>
    <cellStyle name="Вычисление 2 16 2" xfId="15004"/>
    <cellStyle name="Вычисление 2 16 2 2" xfId="20287"/>
    <cellStyle name="Вычисление 2 16 2 2 2" xfId="34097"/>
    <cellStyle name="Вычисление 2 16 2 2 3" xfId="43965"/>
    <cellStyle name="Вычисление 2 16 2 3" xfId="23558"/>
    <cellStyle name="Вычисление 2 16 2 4" xfId="28824"/>
    <cellStyle name="Вычисление 2 16 2 5" xfId="38699"/>
    <cellStyle name="Вычисление 2 16 3" xfId="20593"/>
    <cellStyle name="Вычисление 2 16 4" xfId="20929"/>
    <cellStyle name="Вычисление 2 16 5" xfId="21043"/>
    <cellStyle name="Вычисление 2 16 6" xfId="21485"/>
    <cellStyle name="Вычисление 2 16 7" xfId="21869"/>
    <cellStyle name="Вычисление 2 16 8" xfId="22374"/>
    <cellStyle name="Вычисление 2 16 9" xfId="22678"/>
    <cellStyle name="Вычисление 2 17" xfId="12186"/>
    <cellStyle name="Вычисление 2 17 10" xfId="24262"/>
    <cellStyle name="Вычисление 2 17 11" xfId="26060"/>
    <cellStyle name="Вычисление 2 17 12" xfId="35935"/>
    <cellStyle name="Вычисление 2 17 2" xfId="15084"/>
    <cellStyle name="Вычисление 2 17 2 2" xfId="20367"/>
    <cellStyle name="Вычисление 2 17 2 2 2" xfId="34177"/>
    <cellStyle name="Вычисление 2 17 2 2 3" xfId="44045"/>
    <cellStyle name="Вычисление 2 17 2 3" xfId="23638"/>
    <cellStyle name="Вычисление 2 17 2 4" xfId="28904"/>
    <cellStyle name="Вычисление 2 17 2 5" xfId="38779"/>
    <cellStyle name="Вычисление 2 17 3" xfId="20657"/>
    <cellStyle name="Вычисление 2 17 4" xfId="20993"/>
    <cellStyle name="Вычисление 2 17 5" xfId="21091"/>
    <cellStyle name="Вычисление 2 17 6" xfId="21565"/>
    <cellStyle name="Вычисление 2 17 7" xfId="21917"/>
    <cellStyle name="Вычисление 2 17 8" xfId="22406"/>
    <cellStyle name="Вычисление 2 17 9" xfId="22758"/>
    <cellStyle name="Вычисление 2 18" xfId="11714"/>
    <cellStyle name="Вычисление 2 18 2" xfId="14612"/>
    <cellStyle name="Вычисление 2 18 2 2" xfId="19895"/>
    <cellStyle name="Вычисление 2 18 2 2 2" xfId="33705"/>
    <cellStyle name="Вычисление 2 18 2 2 3" xfId="43573"/>
    <cellStyle name="Вычисление 2 18 2 3" xfId="28432"/>
    <cellStyle name="Вычисление 2 18 2 4" xfId="38307"/>
    <cellStyle name="Вычисление 2 18 3" xfId="15845"/>
    <cellStyle name="Вычисление 2 18 3 2" xfId="22821"/>
    <cellStyle name="Вычисление 2 18 3 3" xfId="24477"/>
    <cellStyle name="Вычисление 2 18 3 4" xfId="29664"/>
    <cellStyle name="Вычисление 2 18 3 5" xfId="39539"/>
    <cellStyle name="Вычисление 2 18 4" xfId="23301"/>
    <cellStyle name="Вычисление 2 18 5" xfId="25588"/>
    <cellStyle name="Вычисление 2 18 6" xfId="35463"/>
    <cellStyle name="Вычисление 2 19" xfId="13339"/>
    <cellStyle name="Вычисление 2 19 2" xfId="16140"/>
    <cellStyle name="Вычисление 2 19 2 2" xfId="29958"/>
    <cellStyle name="Вычисление 2 19 2 3" xfId="39833"/>
    <cellStyle name="Вычисление 2 19 3" xfId="18671"/>
    <cellStyle name="Вычисление 2 19 3 2" xfId="32481"/>
    <cellStyle name="Вычисление 2 19 3 3" xfId="42353"/>
    <cellStyle name="Вычисление 2 19 4" xfId="27212"/>
    <cellStyle name="Вычисление 2 19 5" xfId="37087"/>
    <cellStyle name="Вычисление 2 2" xfId="1382"/>
    <cellStyle name="Вычисление 2 2 10" xfId="23811"/>
    <cellStyle name="Вычисление 2 2 11" xfId="24727"/>
    <cellStyle name="Вычисление 2 2 12" xfId="34346"/>
    <cellStyle name="Вычисление 2 2 13" xfId="34541"/>
    <cellStyle name="Вычисление 2 2 2" xfId="8212"/>
    <cellStyle name="Вычисление 2 2 3" xfId="11998"/>
    <cellStyle name="Вычисление 2 2 3 10" xfId="25872"/>
    <cellStyle name="Вычисление 2 2 3 11" xfId="35747"/>
    <cellStyle name="Вычисление 2 2 3 2" xfId="14896"/>
    <cellStyle name="Вычисление 2 2 3 2 2" xfId="17110"/>
    <cellStyle name="Вычисление 2 2 3 2 2 2" xfId="23162"/>
    <cellStyle name="Вычисление 2 2 3 2 2 3" xfId="30924"/>
    <cellStyle name="Вычисление 2 2 3 2 2 4" xfId="40799"/>
    <cellStyle name="Вычисление 2 2 3 2 3" xfId="20179"/>
    <cellStyle name="Вычисление 2 2 3 2 3 2" xfId="33989"/>
    <cellStyle name="Вычисление 2 2 3 2 3 3" xfId="43857"/>
    <cellStyle name="Вычисление 2 2 3 2 4" xfId="28716"/>
    <cellStyle name="Вычисление 2 2 3 2 5" xfId="38591"/>
    <cellStyle name="Вычисление 2 2 3 3" xfId="14361"/>
    <cellStyle name="Вычисление 2 2 3 3 2" xfId="19644"/>
    <cellStyle name="Вычисление 2 2 3 3 2 2" xfId="33454"/>
    <cellStyle name="Вычисление 2 2 3 3 2 3" xfId="43323"/>
    <cellStyle name="Вычисление 2 2 3 3 3" xfId="28182"/>
    <cellStyle name="Вычисление 2 2 3 3 4" xfId="38057"/>
    <cellStyle name="Вычисление 2 2 3 4" xfId="20837"/>
    <cellStyle name="Вычисление 2 2 3 5" xfId="21393"/>
    <cellStyle name="Вычисление 2 2 3 6" xfId="21813"/>
    <cellStyle name="Вычисление 2 2 3 7" xfId="22334"/>
    <cellStyle name="Вычисление 2 2 3 8" xfId="22586"/>
    <cellStyle name="Вычисление 2 2 3 9" xfId="24074"/>
    <cellStyle name="Вычисление 2 2 4" xfId="11715"/>
    <cellStyle name="Вычисление 2 2 4 2" xfId="14613"/>
    <cellStyle name="Вычисление 2 2 4 2 2" xfId="19896"/>
    <cellStyle name="Вычисление 2 2 4 2 2 2" xfId="33706"/>
    <cellStyle name="Вычисление 2 2 4 2 2 3" xfId="43574"/>
    <cellStyle name="Вычисление 2 2 4 2 3" xfId="28433"/>
    <cellStyle name="Вычисление 2 2 4 2 4" xfId="38308"/>
    <cellStyle name="Вычисление 2 2 4 3" xfId="15846"/>
    <cellStyle name="Вычисление 2 2 4 3 2" xfId="22954"/>
    <cellStyle name="Вычисление 2 2 4 3 3" xfId="24478"/>
    <cellStyle name="Вычисление 2 2 4 3 4" xfId="29665"/>
    <cellStyle name="Вычисление 2 2 4 3 5" xfId="39540"/>
    <cellStyle name="Вычисление 2 2 4 4" xfId="23434"/>
    <cellStyle name="Вычисление 2 2 4 5" xfId="25589"/>
    <cellStyle name="Вычисление 2 2 4 6" xfId="35464"/>
    <cellStyle name="Вычисление 2 2 5" xfId="12320"/>
    <cellStyle name="Вычисление 2 2 5 2" xfId="17652"/>
    <cellStyle name="Вычисление 2 2 5 2 2" xfId="31462"/>
    <cellStyle name="Вычисление 2 2 5 2 3" xfId="41335"/>
    <cellStyle name="Вычисление 2 2 5 3" xfId="20501"/>
    <cellStyle name="Вычисление 2 2 5 4" xfId="26194"/>
    <cellStyle name="Вычисление 2 2 5 5" xfId="36069"/>
    <cellStyle name="Вычисление 2 2 6" xfId="13340"/>
    <cellStyle name="Вычисление 2 2 6 2" xfId="16141"/>
    <cellStyle name="Вычисление 2 2 6 2 2" xfId="29959"/>
    <cellStyle name="Вычисление 2 2 6 2 3" xfId="39834"/>
    <cellStyle name="Вычисление 2 2 6 3" xfId="18672"/>
    <cellStyle name="Вычисление 2 2 6 3 2" xfId="32482"/>
    <cellStyle name="Вычисление 2 2 6 3 3" xfId="42354"/>
    <cellStyle name="Вычисление 2 2 6 4" xfId="27213"/>
    <cellStyle name="Вычисление 2 2 6 5" xfId="37088"/>
    <cellStyle name="Вычисление 2 2 7" xfId="13190"/>
    <cellStyle name="Вычисление 2 2 7 2" xfId="18522"/>
    <cellStyle name="Вычисление 2 2 7 2 2" xfId="32332"/>
    <cellStyle name="Вычисление 2 2 7 2 3" xfId="42204"/>
    <cellStyle name="Вычисление 2 2 7 3" xfId="27063"/>
    <cellStyle name="Вычисление 2 2 7 4" xfId="36938"/>
    <cellStyle name="Вычисление 2 2 8" xfId="17295"/>
    <cellStyle name="Вычисление 2 2 8 2" xfId="21693"/>
    <cellStyle name="Вычисление 2 2 8 3" xfId="31106"/>
    <cellStyle name="Вычисление 2 2 8 4" xfId="40980"/>
    <cellStyle name="Вычисление 2 2 9" xfId="22022"/>
    <cellStyle name="Вычисление 2 20" xfId="13189"/>
    <cellStyle name="Вычисление 2 20 2" xfId="18521"/>
    <cellStyle name="Вычисление 2 20 2 2" xfId="32331"/>
    <cellStyle name="Вычисление 2 20 2 3" xfId="42203"/>
    <cellStyle name="Вычисление 2 20 3" xfId="27062"/>
    <cellStyle name="Вычисление 2 20 4" xfId="36937"/>
    <cellStyle name="Вычисление 2 21" xfId="17294"/>
    <cellStyle name="Вычисление 2 21 2" xfId="21154"/>
    <cellStyle name="Вычисление 2 21 3" xfId="31105"/>
    <cellStyle name="Вычисление 2 21 4" xfId="40979"/>
    <cellStyle name="Вычисление 2 22" xfId="21629"/>
    <cellStyle name="Вычисление 2 23" xfId="22021"/>
    <cellStyle name="Вычисление 2 24" xfId="23810"/>
    <cellStyle name="Вычисление 2 25" xfId="24726"/>
    <cellStyle name="Вычисление 2 26" xfId="34345"/>
    <cellStyle name="Вычисление 2 27" xfId="34542"/>
    <cellStyle name="Вычисление 2 3" xfId="1383"/>
    <cellStyle name="Вычисление 2 3 10" xfId="23812"/>
    <cellStyle name="Вычисление 2 3 11" xfId="24728"/>
    <cellStyle name="Вычисление 2 3 12" xfId="34347"/>
    <cellStyle name="Вычисление 2 3 13" xfId="34540"/>
    <cellStyle name="Вычисление 2 3 2" xfId="8213"/>
    <cellStyle name="Вычисление 2 3 3" xfId="11999"/>
    <cellStyle name="Вычисление 2 3 3 10" xfId="25873"/>
    <cellStyle name="Вычисление 2 3 3 11" xfId="35748"/>
    <cellStyle name="Вычисление 2 3 3 2" xfId="14897"/>
    <cellStyle name="Вычисление 2 3 3 2 2" xfId="17111"/>
    <cellStyle name="Вычисление 2 3 3 2 2 2" xfId="23163"/>
    <cellStyle name="Вычисление 2 3 3 2 2 3" xfId="30925"/>
    <cellStyle name="Вычисление 2 3 3 2 2 4" xfId="40800"/>
    <cellStyle name="Вычисление 2 3 3 2 3" xfId="20180"/>
    <cellStyle name="Вычисление 2 3 3 2 3 2" xfId="33990"/>
    <cellStyle name="Вычисление 2 3 3 2 3 3" xfId="43858"/>
    <cellStyle name="Вычисление 2 3 3 2 4" xfId="28717"/>
    <cellStyle name="Вычисление 2 3 3 2 5" xfId="38592"/>
    <cellStyle name="Вычисление 2 3 3 3" xfId="14362"/>
    <cellStyle name="Вычисление 2 3 3 3 2" xfId="19645"/>
    <cellStyle name="Вычисление 2 3 3 3 2 2" xfId="33455"/>
    <cellStyle name="Вычисление 2 3 3 3 2 3" xfId="43324"/>
    <cellStyle name="Вычисление 2 3 3 3 3" xfId="28183"/>
    <cellStyle name="Вычисление 2 3 3 3 4" xfId="38058"/>
    <cellStyle name="Вычисление 2 3 3 4" xfId="20838"/>
    <cellStyle name="Вычисление 2 3 3 5" xfId="21394"/>
    <cellStyle name="Вычисление 2 3 3 6" xfId="21814"/>
    <cellStyle name="Вычисление 2 3 3 7" xfId="22335"/>
    <cellStyle name="Вычисление 2 3 3 8" xfId="22587"/>
    <cellStyle name="Вычисление 2 3 3 9" xfId="24075"/>
    <cellStyle name="Вычисление 2 3 4" xfId="11716"/>
    <cellStyle name="Вычисление 2 3 4 2" xfId="14614"/>
    <cellStyle name="Вычисление 2 3 4 2 2" xfId="19897"/>
    <cellStyle name="Вычисление 2 3 4 2 2 2" xfId="33707"/>
    <cellStyle name="Вычисление 2 3 4 2 2 3" xfId="43575"/>
    <cellStyle name="Вычисление 2 3 4 2 3" xfId="28434"/>
    <cellStyle name="Вычисление 2 3 4 2 4" xfId="38309"/>
    <cellStyle name="Вычисление 2 3 4 3" xfId="15847"/>
    <cellStyle name="Вычисление 2 3 4 3 2" xfId="22955"/>
    <cellStyle name="Вычисление 2 3 4 3 3" xfId="24479"/>
    <cellStyle name="Вычисление 2 3 4 3 4" xfId="29666"/>
    <cellStyle name="Вычисление 2 3 4 3 5" xfId="39541"/>
    <cellStyle name="Вычисление 2 3 4 4" xfId="23435"/>
    <cellStyle name="Вычисление 2 3 4 5" xfId="25590"/>
    <cellStyle name="Вычисление 2 3 4 6" xfId="35465"/>
    <cellStyle name="Вычисление 2 3 5" xfId="12321"/>
    <cellStyle name="Вычисление 2 3 5 2" xfId="17653"/>
    <cellStyle name="Вычисление 2 3 5 2 2" xfId="31463"/>
    <cellStyle name="Вычисление 2 3 5 2 3" xfId="41336"/>
    <cellStyle name="Вычисление 2 3 5 3" xfId="20502"/>
    <cellStyle name="Вычисление 2 3 5 4" xfId="26195"/>
    <cellStyle name="Вычисление 2 3 5 5" xfId="36070"/>
    <cellStyle name="Вычисление 2 3 6" xfId="13341"/>
    <cellStyle name="Вычисление 2 3 6 2" xfId="16142"/>
    <cellStyle name="Вычисление 2 3 6 2 2" xfId="29960"/>
    <cellStyle name="Вычисление 2 3 6 2 3" xfId="39835"/>
    <cellStyle name="Вычисление 2 3 6 3" xfId="18673"/>
    <cellStyle name="Вычисление 2 3 6 3 2" xfId="32483"/>
    <cellStyle name="Вычисление 2 3 6 3 3" xfId="42355"/>
    <cellStyle name="Вычисление 2 3 6 4" xfId="27214"/>
    <cellStyle name="Вычисление 2 3 6 5" xfId="37089"/>
    <cellStyle name="Вычисление 2 3 7" xfId="13191"/>
    <cellStyle name="Вычисление 2 3 7 2" xfId="18523"/>
    <cellStyle name="Вычисление 2 3 7 2 2" xfId="32333"/>
    <cellStyle name="Вычисление 2 3 7 2 3" xfId="42205"/>
    <cellStyle name="Вычисление 2 3 7 3" xfId="27064"/>
    <cellStyle name="Вычисление 2 3 7 4" xfId="36939"/>
    <cellStyle name="Вычисление 2 3 8" xfId="17296"/>
    <cellStyle name="Вычисление 2 3 8 2" xfId="21694"/>
    <cellStyle name="Вычисление 2 3 8 3" xfId="31107"/>
    <cellStyle name="Вычисление 2 3 8 4" xfId="40981"/>
    <cellStyle name="Вычисление 2 3 9" xfId="22023"/>
    <cellStyle name="Вычисление 2 4" xfId="8206"/>
    <cellStyle name="Вычисление 2 5" xfId="8214"/>
    <cellStyle name="Вычисление 2 6" xfId="8215"/>
    <cellStyle name="Вычисление 2 7" xfId="8216"/>
    <cellStyle name="Вычисление 2 8" xfId="8217"/>
    <cellStyle name="Вычисление 2 9" xfId="8218"/>
    <cellStyle name="Вычисление 3" xfId="1384"/>
    <cellStyle name="Вычисление 3 10" xfId="8220"/>
    <cellStyle name="Вычисление 3 11" xfId="8221"/>
    <cellStyle name="Вычисление 3 12" xfId="8222"/>
    <cellStyle name="Вычисление 3 13" xfId="8223"/>
    <cellStyle name="Вычисление 3 14" xfId="8224"/>
    <cellStyle name="Вычисление 3 15" xfId="11883"/>
    <cellStyle name="Вычисление 3 15 10" xfId="25757"/>
    <cellStyle name="Вычисление 3 15 11" xfId="35632"/>
    <cellStyle name="Вычисление 3 15 2" xfId="14781"/>
    <cellStyle name="Вычисление 3 15 2 2" xfId="16995"/>
    <cellStyle name="Вычисление 3 15 2 2 2" xfId="23047"/>
    <cellStyle name="Вычисление 3 15 2 2 3" xfId="30809"/>
    <cellStyle name="Вычисление 3 15 2 2 4" xfId="40684"/>
    <cellStyle name="Вычисление 3 15 2 3" xfId="20064"/>
    <cellStyle name="Вычисление 3 15 2 3 2" xfId="33874"/>
    <cellStyle name="Вычисление 3 15 2 3 3" xfId="43742"/>
    <cellStyle name="Вычисление 3 15 2 4" xfId="28601"/>
    <cellStyle name="Вычисление 3 15 2 5" xfId="38476"/>
    <cellStyle name="Вычисление 3 15 3" xfId="14443"/>
    <cellStyle name="Вычисление 3 15 3 2" xfId="19726"/>
    <cellStyle name="Вычисление 3 15 3 2 2" xfId="33536"/>
    <cellStyle name="Вычисление 3 15 3 2 3" xfId="43404"/>
    <cellStyle name="Вычисление 3 15 3 3" xfId="28263"/>
    <cellStyle name="Вычисление 3 15 3 4" xfId="38138"/>
    <cellStyle name="Вычисление 3 15 4" xfId="20722"/>
    <cellStyle name="Вычисление 3 15 5" xfId="21278"/>
    <cellStyle name="Вычисление 3 15 6" xfId="21734"/>
    <cellStyle name="Вычисление 3 15 7" xfId="22271"/>
    <cellStyle name="Вычисление 3 15 8" xfId="22455"/>
    <cellStyle name="Вычисление 3 15 9" xfId="23943"/>
    <cellStyle name="Вычисление 3 16" xfId="12107"/>
    <cellStyle name="Вычисление 3 16 10" xfId="24183"/>
    <cellStyle name="Вычисление 3 16 11" xfId="25981"/>
    <cellStyle name="Вычисление 3 16 12" xfId="35856"/>
    <cellStyle name="Вычисление 3 16 2" xfId="15005"/>
    <cellStyle name="Вычисление 3 16 2 2" xfId="20288"/>
    <cellStyle name="Вычисление 3 16 2 2 2" xfId="34098"/>
    <cellStyle name="Вычисление 3 16 2 2 3" xfId="43966"/>
    <cellStyle name="Вычисление 3 16 2 3" xfId="23559"/>
    <cellStyle name="Вычисление 3 16 2 4" xfId="28825"/>
    <cellStyle name="Вычисление 3 16 2 5" xfId="38700"/>
    <cellStyle name="Вычисление 3 16 3" xfId="20594"/>
    <cellStyle name="Вычисление 3 16 4" xfId="20930"/>
    <cellStyle name="Вычисление 3 16 5" xfId="21044"/>
    <cellStyle name="Вычисление 3 16 6" xfId="21486"/>
    <cellStyle name="Вычисление 3 16 7" xfId="21870"/>
    <cellStyle name="Вычисление 3 16 8" xfId="22375"/>
    <cellStyle name="Вычисление 3 16 9" xfId="22679"/>
    <cellStyle name="Вычисление 3 17" xfId="12187"/>
    <cellStyle name="Вычисление 3 17 10" xfId="24263"/>
    <cellStyle name="Вычисление 3 17 11" xfId="26061"/>
    <cellStyle name="Вычисление 3 17 12" xfId="35936"/>
    <cellStyle name="Вычисление 3 17 2" xfId="15085"/>
    <cellStyle name="Вычисление 3 17 2 2" xfId="20368"/>
    <cellStyle name="Вычисление 3 17 2 2 2" xfId="34178"/>
    <cellStyle name="Вычисление 3 17 2 2 3" xfId="44046"/>
    <cellStyle name="Вычисление 3 17 2 3" xfId="23639"/>
    <cellStyle name="Вычисление 3 17 2 4" xfId="28905"/>
    <cellStyle name="Вычисление 3 17 2 5" xfId="38780"/>
    <cellStyle name="Вычисление 3 17 3" xfId="20658"/>
    <cellStyle name="Вычисление 3 17 4" xfId="20994"/>
    <cellStyle name="Вычисление 3 17 5" xfId="21092"/>
    <cellStyle name="Вычисление 3 17 6" xfId="21566"/>
    <cellStyle name="Вычисление 3 17 7" xfId="21918"/>
    <cellStyle name="Вычисление 3 17 8" xfId="22407"/>
    <cellStyle name="Вычисление 3 17 9" xfId="22759"/>
    <cellStyle name="Вычисление 3 18" xfId="11717"/>
    <cellStyle name="Вычисление 3 18 2" xfId="14615"/>
    <cellStyle name="Вычисление 3 18 2 2" xfId="19898"/>
    <cellStyle name="Вычисление 3 18 2 2 2" xfId="33708"/>
    <cellStyle name="Вычисление 3 18 2 2 3" xfId="43576"/>
    <cellStyle name="Вычисление 3 18 2 3" xfId="28435"/>
    <cellStyle name="Вычисление 3 18 2 4" xfId="38310"/>
    <cellStyle name="Вычисление 3 18 3" xfId="15848"/>
    <cellStyle name="Вычисление 3 18 3 2" xfId="22820"/>
    <cellStyle name="Вычисление 3 18 3 3" xfId="24480"/>
    <cellStyle name="Вычисление 3 18 3 4" xfId="29667"/>
    <cellStyle name="Вычисление 3 18 3 5" xfId="39542"/>
    <cellStyle name="Вычисление 3 18 4" xfId="23300"/>
    <cellStyle name="Вычисление 3 18 5" xfId="25591"/>
    <cellStyle name="Вычисление 3 18 6" xfId="35466"/>
    <cellStyle name="Вычисление 3 19" xfId="13342"/>
    <cellStyle name="Вычисление 3 19 2" xfId="16143"/>
    <cellStyle name="Вычисление 3 19 2 2" xfId="29961"/>
    <cellStyle name="Вычисление 3 19 2 3" xfId="39836"/>
    <cellStyle name="Вычисление 3 19 3" xfId="18674"/>
    <cellStyle name="Вычисление 3 19 3 2" xfId="32484"/>
    <cellStyle name="Вычисление 3 19 3 3" xfId="42356"/>
    <cellStyle name="Вычисление 3 19 4" xfId="27215"/>
    <cellStyle name="Вычисление 3 19 5" xfId="37090"/>
    <cellStyle name="Вычисление 3 2" xfId="1385"/>
    <cellStyle name="Вычисление 3 2 10" xfId="23814"/>
    <cellStyle name="Вычисление 3 2 11" xfId="24730"/>
    <cellStyle name="Вычисление 3 2 12" xfId="34349"/>
    <cellStyle name="Вычисление 3 2 13" xfId="34538"/>
    <cellStyle name="Вычисление 3 2 2" xfId="8225"/>
    <cellStyle name="Вычисление 3 2 3" xfId="12000"/>
    <cellStyle name="Вычисление 3 2 3 10" xfId="25874"/>
    <cellStyle name="Вычисление 3 2 3 11" xfId="35749"/>
    <cellStyle name="Вычисление 3 2 3 2" xfId="14898"/>
    <cellStyle name="Вычисление 3 2 3 2 2" xfId="17112"/>
    <cellStyle name="Вычисление 3 2 3 2 2 2" xfId="23164"/>
    <cellStyle name="Вычисление 3 2 3 2 2 3" xfId="30926"/>
    <cellStyle name="Вычисление 3 2 3 2 2 4" xfId="40801"/>
    <cellStyle name="Вычисление 3 2 3 2 3" xfId="20181"/>
    <cellStyle name="Вычисление 3 2 3 2 3 2" xfId="33991"/>
    <cellStyle name="Вычисление 3 2 3 2 3 3" xfId="43859"/>
    <cellStyle name="Вычисление 3 2 3 2 4" xfId="28718"/>
    <cellStyle name="Вычисление 3 2 3 2 5" xfId="38593"/>
    <cellStyle name="Вычисление 3 2 3 3" xfId="13024"/>
    <cellStyle name="Вычисление 3 2 3 3 2" xfId="18356"/>
    <cellStyle name="Вычисление 3 2 3 3 2 2" xfId="32166"/>
    <cellStyle name="Вычисление 3 2 3 3 2 3" xfId="42039"/>
    <cellStyle name="Вычисление 3 2 3 3 3" xfId="26898"/>
    <cellStyle name="Вычисление 3 2 3 3 4" xfId="36773"/>
    <cellStyle name="Вычисление 3 2 3 4" xfId="20839"/>
    <cellStyle name="Вычисление 3 2 3 5" xfId="21395"/>
    <cellStyle name="Вычисление 3 2 3 6" xfId="21815"/>
    <cellStyle name="Вычисление 3 2 3 7" xfId="22336"/>
    <cellStyle name="Вычисление 3 2 3 8" xfId="22588"/>
    <cellStyle name="Вычисление 3 2 3 9" xfId="24076"/>
    <cellStyle name="Вычисление 3 2 4" xfId="11718"/>
    <cellStyle name="Вычисление 3 2 4 2" xfId="14616"/>
    <cellStyle name="Вычисление 3 2 4 2 2" xfId="19899"/>
    <cellStyle name="Вычисление 3 2 4 2 2 2" xfId="33709"/>
    <cellStyle name="Вычисление 3 2 4 2 2 3" xfId="43577"/>
    <cellStyle name="Вычисление 3 2 4 2 3" xfId="28436"/>
    <cellStyle name="Вычисление 3 2 4 2 4" xfId="38311"/>
    <cellStyle name="Вычисление 3 2 4 3" xfId="15849"/>
    <cellStyle name="Вычисление 3 2 4 3 2" xfId="22956"/>
    <cellStyle name="Вычисление 3 2 4 3 3" xfId="24481"/>
    <cellStyle name="Вычисление 3 2 4 3 4" xfId="29668"/>
    <cellStyle name="Вычисление 3 2 4 3 5" xfId="39543"/>
    <cellStyle name="Вычисление 3 2 4 4" xfId="23436"/>
    <cellStyle name="Вычисление 3 2 4 5" xfId="25592"/>
    <cellStyle name="Вычисление 3 2 4 6" xfId="35467"/>
    <cellStyle name="Вычисление 3 2 5" xfId="12322"/>
    <cellStyle name="Вычисление 3 2 5 2" xfId="17654"/>
    <cellStyle name="Вычисление 3 2 5 2 2" xfId="31464"/>
    <cellStyle name="Вычисление 3 2 5 2 3" xfId="41337"/>
    <cellStyle name="Вычисление 3 2 5 3" xfId="20503"/>
    <cellStyle name="Вычисление 3 2 5 4" xfId="26196"/>
    <cellStyle name="Вычисление 3 2 5 5" xfId="36071"/>
    <cellStyle name="Вычисление 3 2 6" xfId="13343"/>
    <cellStyle name="Вычисление 3 2 6 2" xfId="16144"/>
    <cellStyle name="Вычисление 3 2 6 2 2" xfId="29962"/>
    <cellStyle name="Вычисление 3 2 6 2 3" xfId="39837"/>
    <cellStyle name="Вычисление 3 2 6 3" xfId="18675"/>
    <cellStyle name="Вычисление 3 2 6 3 2" xfId="32485"/>
    <cellStyle name="Вычисление 3 2 6 3 3" xfId="42357"/>
    <cellStyle name="Вычисление 3 2 6 4" xfId="27216"/>
    <cellStyle name="Вычисление 3 2 6 5" xfId="37091"/>
    <cellStyle name="Вычисление 3 2 7" xfId="13193"/>
    <cellStyle name="Вычисление 3 2 7 2" xfId="18525"/>
    <cellStyle name="Вычисление 3 2 7 2 2" xfId="32335"/>
    <cellStyle name="Вычисление 3 2 7 2 3" xfId="42207"/>
    <cellStyle name="Вычисление 3 2 7 3" xfId="27066"/>
    <cellStyle name="Вычисление 3 2 7 4" xfId="36941"/>
    <cellStyle name="Вычисление 3 2 8" xfId="17298"/>
    <cellStyle name="Вычисление 3 2 8 2" xfId="21695"/>
    <cellStyle name="Вычисление 3 2 8 3" xfId="31109"/>
    <cellStyle name="Вычисление 3 2 8 4" xfId="40983"/>
    <cellStyle name="Вычисление 3 2 9" xfId="22025"/>
    <cellStyle name="Вычисление 3 20" xfId="13192"/>
    <cellStyle name="Вычисление 3 20 2" xfId="18524"/>
    <cellStyle name="Вычисление 3 20 2 2" xfId="32334"/>
    <cellStyle name="Вычисление 3 20 2 3" xfId="42206"/>
    <cellStyle name="Вычисление 3 20 3" xfId="27065"/>
    <cellStyle name="Вычисление 3 20 4" xfId="36940"/>
    <cellStyle name="Вычисление 3 21" xfId="17297"/>
    <cellStyle name="Вычисление 3 21 2" xfId="21153"/>
    <cellStyle name="Вычисление 3 21 3" xfId="31108"/>
    <cellStyle name="Вычисление 3 21 4" xfId="40982"/>
    <cellStyle name="Вычисление 3 22" xfId="21630"/>
    <cellStyle name="Вычисление 3 23" xfId="22024"/>
    <cellStyle name="Вычисление 3 24" xfId="23813"/>
    <cellStyle name="Вычисление 3 25" xfId="24729"/>
    <cellStyle name="Вычисление 3 26" xfId="34348"/>
    <cellStyle name="Вычисление 3 27" xfId="34539"/>
    <cellStyle name="Вычисление 3 3" xfId="1386"/>
    <cellStyle name="Вычисление 3 3 10" xfId="23815"/>
    <cellStyle name="Вычисление 3 3 11" xfId="24731"/>
    <cellStyle name="Вычисление 3 3 12" xfId="34350"/>
    <cellStyle name="Вычисление 3 3 13" xfId="34537"/>
    <cellStyle name="Вычисление 3 3 2" xfId="8226"/>
    <cellStyle name="Вычисление 3 3 3" xfId="12001"/>
    <cellStyle name="Вычисление 3 3 3 10" xfId="25875"/>
    <cellStyle name="Вычисление 3 3 3 11" xfId="35750"/>
    <cellStyle name="Вычисление 3 3 3 2" xfId="14899"/>
    <cellStyle name="Вычисление 3 3 3 2 2" xfId="17113"/>
    <cellStyle name="Вычисление 3 3 3 2 2 2" xfId="23165"/>
    <cellStyle name="Вычисление 3 3 3 2 2 3" xfId="30927"/>
    <cellStyle name="Вычисление 3 3 3 2 2 4" xfId="40802"/>
    <cellStyle name="Вычисление 3 3 3 2 3" xfId="20182"/>
    <cellStyle name="Вычисление 3 3 3 2 3 2" xfId="33992"/>
    <cellStyle name="Вычисление 3 3 3 2 3 3" xfId="43860"/>
    <cellStyle name="Вычисление 3 3 3 2 4" xfId="28719"/>
    <cellStyle name="Вычисление 3 3 3 2 5" xfId="38594"/>
    <cellStyle name="Вычисление 3 3 3 3" xfId="14364"/>
    <cellStyle name="Вычисление 3 3 3 3 2" xfId="19647"/>
    <cellStyle name="Вычисление 3 3 3 3 2 2" xfId="33457"/>
    <cellStyle name="Вычисление 3 3 3 3 2 3" xfId="43326"/>
    <cellStyle name="Вычисление 3 3 3 3 3" xfId="28185"/>
    <cellStyle name="Вычисление 3 3 3 3 4" xfId="38060"/>
    <cellStyle name="Вычисление 3 3 3 4" xfId="20840"/>
    <cellStyle name="Вычисление 3 3 3 5" xfId="21396"/>
    <cellStyle name="Вычисление 3 3 3 6" xfId="21816"/>
    <cellStyle name="Вычисление 3 3 3 7" xfId="22337"/>
    <cellStyle name="Вычисление 3 3 3 8" xfId="22589"/>
    <cellStyle name="Вычисление 3 3 3 9" xfId="24077"/>
    <cellStyle name="Вычисление 3 3 4" xfId="11719"/>
    <cellStyle name="Вычисление 3 3 4 2" xfId="14617"/>
    <cellStyle name="Вычисление 3 3 4 2 2" xfId="19900"/>
    <cellStyle name="Вычисление 3 3 4 2 2 2" xfId="33710"/>
    <cellStyle name="Вычисление 3 3 4 2 2 3" xfId="43578"/>
    <cellStyle name="Вычисление 3 3 4 2 3" xfId="28437"/>
    <cellStyle name="Вычисление 3 3 4 2 4" xfId="38312"/>
    <cellStyle name="Вычисление 3 3 4 3" xfId="15850"/>
    <cellStyle name="Вычисление 3 3 4 3 2" xfId="22957"/>
    <cellStyle name="Вычисление 3 3 4 3 3" xfId="24482"/>
    <cellStyle name="Вычисление 3 3 4 3 4" xfId="29669"/>
    <cellStyle name="Вычисление 3 3 4 3 5" xfId="39544"/>
    <cellStyle name="Вычисление 3 3 4 4" xfId="23437"/>
    <cellStyle name="Вычисление 3 3 4 5" xfId="25593"/>
    <cellStyle name="Вычисление 3 3 4 6" xfId="35468"/>
    <cellStyle name="Вычисление 3 3 5" xfId="12323"/>
    <cellStyle name="Вычисление 3 3 5 2" xfId="17655"/>
    <cellStyle name="Вычисление 3 3 5 2 2" xfId="31465"/>
    <cellStyle name="Вычисление 3 3 5 2 3" xfId="41338"/>
    <cellStyle name="Вычисление 3 3 5 3" xfId="20504"/>
    <cellStyle name="Вычисление 3 3 5 4" xfId="26197"/>
    <cellStyle name="Вычисление 3 3 5 5" xfId="36072"/>
    <cellStyle name="Вычисление 3 3 6" xfId="13344"/>
    <cellStyle name="Вычисление 3 3 6 2" xfId="16145"/>
    <cellStyle name="Вычисление 3 3 6 2 2" xfId="29963"/>
    <cellStyle name="Вычисление 3 3 6 2 3" xfId="39838"/>
    <cellStyle name="Вычисление 3 3 6 3" xfId="18676"/>
    <cellStyle name="Вычисление 3 3 6 3 2" xfId="32486"/>
    <cellStyle name="Вычисление 3 3 6 3 3" xfId="42358"/>
    <cellStyle name="Вычисление 3 3 6 4" xfId="27217"/>
    <cellStyle name="Вычисление 3 3 6 5" xfId="37092"/>
    <cellStyle name="Вычисление 3 3 7" xfId="13194"/>
    <cellStyle name="Вычисление 3 3 7 2" xfId="18526"/>
    <cellStyle name="Вычисление 3 3 7 2 2" xfId="32336"/>
    <cellStyle name="Вычисление 3 3 7 2 3" xfId="42208"/>
    <cellStyle name="Вычисление 3 3 7 3" xfId="27067"/>
    <cellStyle name="Вычисление 3 3 7 4" xfId="36942"/>
    <cellStyle name="Вычисление 3 3 8" xfId="17299"/>
    <cellStyle name="Вычисление 3 3 8 2" xfId="21696"/>
    <cellStyle name="Вычисление 3 3 8 3" xfId="31110"/>
    <cellStyle name="Вычисление 3 3 8 4" xfId="40984"/>
    <cellStyle name="Вычисление 3 3 9" xfId="22026"/>
    <cellStyle name="Вычисление 3 4" xfId="8219"/>
    <cellStyle name="Вычисление 3 5" xfId="8227"/>
    <cellStyle name="Вычисление 3 6" xfId="8228"/>
    <cellStyle name="Вычисление 3 7" xfId="8229"/>
    <cellStyle name="Вычисление 3 8" xfId="8230"/>
    <cellStyle name="Вычисление 3 9" xfId="8231"/>
    <cellStyle name="Вычисление 4" xfId="1387"/>
    <cellStyle name="Вычисление 4 10" xfId="8233"/>
    <cellStyle name="Вычисление 4 11" xfId="8234"/>
    <cellStyle name="Вычисление 4 12" xfId="8235"/>
    <cellStyle name="Вычисление 4 13" xfId="8236"/>
    <cellStyle name="Вычисление 4 14" xfId="8237"/>
    <cellStyle name="Вычисление 4 15" xfId="11884"/>
    <cellStyle name="Вычисление 4 15 10" xfId="25758"/>
    <cellStyle name="Вычисление 4 15 11" xfId="35633"/>
    <cellStyle name="Вычисление 4 15 2" xfId="14782"/>
    <cellStyle name="Вычисление 4 15 2 2" xfId="16996"/>
    <cellStyle name="Вычисление 4 15 2 2 2" xfId="23048"/>
    <cellStyle name="Вычисление 4 15 2 2 3" xfId="30810"/>
    <cellStyle name="Вычисление 4 15 2 2 4" xfId="40685"/>
    <cellStyle name="Вычисление 4 15 2 3" xfId="20065"/>
    <cellStyle name="Вычисление 4 15 2 3 2" xfId="33875"/>
    <cellStyle name="Вычисление 4 15 2 3 3" xfId="43743"/>
    <cellStyle name="Вычисление 4 15 2 4" xfId="28602"/>
    <cellStyle name="Вычисление 4 15 2 5" xfId="38477"/>
    <cellStyle name="Вычисление 4 15 3" xfId="14289"/>
    <cellStyle name="Вычисление 4 15 3 2" xfId="19572"/>
    <cellStyle name="Вычисление 4 15 3 2 2" xfId="33382"/>
    <cellStyle name="Вычисление 4 15 3 2 3" xfId="43251"/>
    <cellStyle name="Вычисление 4 15 3 3" xfId="28110"/>
    <cellStyle name="Вычисление 4 15 3 4" xfId="37985"/>
    <cellStyle name="Вычисление 4 15 4" xfId="20723"/>
    <cellStyle name="Вычисление 4 15 5" xfId="21279"/>
    <cellStyle name="Вычисление 4 15 6" xfId="21735"/>
    <cellStyle name="Вычисление 4 15 7" xfId="22272"/>
    <cellStyle name="Вычисление 4 15 8" xfId="22456"/>
    <cellStyle name="Вычисление 4 15 9" xfId="23944"/>
    <cellStyle name="Вычисление 4 16" xfId="12108"/>
    <cellStyle name="Вычисление 4 16 10" xfId="24184"/>
    <cellStyle name="Вычисление 4 16 11" xfId="25982"/>
    <cellStyle name="Вычисление 4 16 12" xfId="35857"/>
    <cellStyle name="Вычисление 4 16 2" xfId="15006"/>
    <cellStyle name="Вычисление 4 16 2 2" xfId="20289"/>
    <cellStyle name="Вычисление 4 16 2 2 2" xfId="34099"/>
    <cellStyle name="Вычисление 4 16 2 2 3" xfId="43967"/>
    <cellStyle name="Вычисление 4 16 2 3" xfId="23560"/>
    <cellStyle name="Вычисление 4 16 2 4" xfId="28826"/>
    <cellStyle name="Вычисление 4 16 2 5" xfId="38701"/>
    <cellStyle name="Вычисление 4 16 3" xfId="20595"/>
    <cellStyle name="Вычисление 4 16 4" xfId="20931"/>
    <cellStyle name="Вычисление 4 16 5" xfId="21045"/>
    <cellStyle name="Вычисление 4 16 6" xfId="21487"/>
    <cellStyle name="Вычисление 4 16 7" xfId="21871"/>
    <cellStyle name="Вычисление 4 16 8" xfId="22376"/>
    <cellStyle name="Вычисление 4 16 9" xfId="22680"/>
    <cellStyle name="Вычисление 4 17" xfId="12188"/>
    <cellStyle name="Вычисление 4 17 10" xfId="24264"/>
    <cellStyle name="Вычисление 4 17 11" xfId="26062"/>
    <cellStyle name="Вычисление 4 17 12" xfId="35937"/>
    <cellStyle name="Вычисление 4 17 2" xfId="15086"/>
    <cellStyle name="Вычисление 4 17 2 2" xfId="20369"/>
    <cellStyle name="Вычисление 4 17 2 2 2" xfId="34179"/>
    <cellStyle name="Вычисление 4 17 2 2 3" xfId="44047"/>
    <cellStyle name="Вычисление 4 17 2 3" xfId="23640"/>
    <cellStyle name="Вычисление 4 17 2 4" xfId="28906"/>
    <cellStyle name="Вычисление 4 17 2 5" xfId="38781"/>
    <cellStyle name="Вычисление 4 17 3" xfId="20659"/>
    <cellStyle name="Вычисление 4 17 4" xfId="20995"/>
    <cellStyle name="Вычисление 4 17 5" xfId="21093"/>
    <cellStyle name="Вычисление 4 17 6" xfId="21567"/>
    <cellStyle name="Вычисление 4 17 7" xfId="21919"/>
    <cellStyle name="Вычисление 4 17 8" xfId="22408"/>
    <cellStyle name="Вычисление 4 17 9" xfId="22760"/>
    <cellStyle name="Вычисление 4 18" xfId="11720"/>
    <cellStyle name="Вычисление 4 18 2" xfId="14618"/>
    <cellStyle name="Вычисление 4 18 2 2" xfId="19901"/>
    <cellStyle name="Вычисление 4 18 2 2 2" xfId="33711"/>
    <cellStyle name="Вычисление 4 18 2 2 3" xfId="43579"/>
    <cellStyle name="Вычисление 4 18 2 3" xfId="28438"/>
    <cellStyle name="Вычисление 4 18 2 4" xfId="38313"/>
    <cellStyle name="Вычисление 4 18 3" xfId="15851"/>
    <cellStyle name="Вычисление 4 18 3 2" xfId="22819"/>
    <cellStyle name="Вычисление 4 18 3 3" xfId="24483"/>
    <cellStyle name="Вычисление 4 18 3 4" xfId="29670"/>
    <cellStyle name="Вычисление 4 18 3 5" xfId="39545"/>
    <cellStyle name="Вычисление 4 18 4" xfId="23299"/>
    <cellStyle name="Вычисление 4 18 5" xfId="25594"/>
    <cellStyle name="Вычисление 4 18 6" xfId="35469"/>
    <cellStyle name="Вычисление 4 19" xfId="13345"/>
    <cellStyle name="Вычисление 4 19 2" xfId="16146"/>
    <cellStyle name="Вычисление 4 19 2 2" xfId="29964"/>
    <cellStyle name="Вычисление 4 19 2 3" xfId="39839"/>
    <cellStyle name="Вычисление 4 19 3" xfId="18677"/>
    <cellStyle name="Вычисление 4 19 3 2" xfId="32487"/>
    <cellStyle name="Вычисление 4 19 3 3" xfId="42359"/>
    <cellStyle name="Вычисление 4 19 4" xfId="27218"/>
    <cellStyle name="Вычисление 4 19 5" xfId="37093"/>
    <cellStyle name="Вычисление 4 2" xfId="1388"/>
    <cellStyle name="Вычисление 4 2 10" xfId="23817"/>
    <cellStyle name="Вычисление 4 2 11" xfId="24733"/>
    <cellStyle name="Вычисление 4 2 12" xfId="34352"/>
    <cellStyle name="Вычисление 4 2 13" xfId="34535"/>
    <cellStyle name="Вычисление 4 2 2" xfId="8238"/>
    <cellStyle name="Вычисление 4 2 3" xfId="12002"/>
    <cellStyle name="Вычисление 4 2 3 10" xfId="25876"/>
    <cellStyle name="Вычисление 4 2 3 11" xfId="35751"/>
    <cellStyle name="Вычисление 4 2 3 2" xfId="14900"/>
    <cellStyle name="Вычисление 4 2 3 2 2" xfId="17114"/>
    <cellStyle name="Вычисление 4 2 3 2 2 2" xfId="23166"/>
    <cellStyle name="Вычисление 4 2 3 2 2 3" xfId="30928"/>
    <cellStyle name="Вычисление 4 2 3 2 2 4" xfId="40803"/>
    <cellStyle name="Вычисление 4 2 3 2 3" xfId="20183"/>
    <cellStyle name="Вычисление 4 2 3 2 3 2" xfId="33993"/>
    <cellStyle name="Вычисление 4 2 3 2 3 3" xfId="43861"/>
    <cellStyle name="Вычисление 4 2 3 2 4" xfId="28720"/>
    <cellStyle name="Вычисление 4 2 3 2 5" xfId="38595"/>
    <cellStyle name="Вычисление 4 2 3 3" xfId="14455"/>
    <cellStyle name="Вычисление 4 2 3 3 2" xfId="19738"/>
    <cellStyle name="Вычисление 4 2 3 3 2 2" xfId="33548"/>
    <cellStyle name="Вычисление 4 2 3 3 2 3" xfId="43416"/>
    <cellStyle name="Вычисление 4 2 3 3 3" xfId="28275"/>
    <cellStyle name="Вычисление 4 2 3 3 4" xfId="38150"/>
    <cellStyle name="Вычисление 4 2 3 4" xfId="20841"/>
    <cellStyle name="Вычисление 4 2 3 5" xfId="21397"/>
    <cellStyle name="Вычисление 4 2 3 6" xfId="21817"/>
    <cellStyle name="Вычисление 4 2 3 7" xfId="22338"/>
    <cellStyle name="Вычисление 4 2 3 8" xfId="22590"/>
    <cellStyle name="Вычисление 4 2 3 9" xfId="24078"/>
    <cellStyle name="Вычисление 4 2 4" xfId="11721"/>
    <cellStyle name="Вычисление 4 2 4 2" xfId="14619"/>
    <cellStyle name="Вычисление 4 2 4 2 2" xfId="19902"/>
    <cellStyle name="Вычисление 4 2 4 2 2 2" xfId="33712"/>
    <cellStyle name="Вычисление 4 2 4 2 2 3" xfId="43580"/>
    <cellStyle name="Вычисление 4 2 4 2 3" xfId="28439"/>
    <cellStyle name="Вычисление 4 2 4 2 4" xfId="38314"/>
    <cellStyle name="Вычисление 4 2 4 3" xfId="15852"/>
    <cellStyle name="Вычисление 4 2 4 3 2" xfId="22958"/>
    <cellStyle name="Вычисление 4 2 4 3 3" xfId="24484"/>
    <cellStyle name="Вычисление 4 2 4 3 4" xfId="29671"/>
    <cellStyle name="Вычисление 4 2 4 3 5" xfId="39546"/>
    <cellStyle name="Вычисление 4 2 4 4" xfId="23438"/>
    <cellStyle name="Вычисление 4 2 4 5" xfId="25595"/>
    <cellStyle name="Вычисление 4 2 4 6" xfId="35470"/>
    <cellStyle name="Вычисление 4 2 5" xfId="12324"/>
    <cellStyle name="Вычисление 4 2 5 2" xfId="17656"/>
    <cellStyle name="Вычисление 4 2 5 2 2" xfId="31466"/>
    <cellStyle name="Вычисление 4 2 5 2 3" xfId="41339"/>
    <cellStyle name="Вычисление 4 2 5 3" xfId="20505"/>
    <cellStyle name="Вычисление 4 2 5 4" xfId="26198"/>
    <cellStyle name="Вычисление 4 2 5 5" xfId="36073"/>
    <cellStyle name="Вычисление 4 2 6" xfId="13346"/>
    <cellStyle name="Вычисление 4 2 6 2" xfId="16147"/>
    <cellStyle name="Вычисление 4 2 6 2 2" xfId="29965"/>
    <cellStyle name="Вычисление 4 2 6 2 3" xfId="39840"/>
    <cellStyle name="Вычисление 4 2 6 3" xfId="18678"/>
    <cellStyle name="Вычисление 4 2 6 3 2" xfId="32488"/>
    <cellStyle name="Вычисление 4 2 6 3 3" xfId="42360"/>
    <cellStyle name="Вычисление 4 2 6 4" xfId="27219"/>
    <cellStyle name="Вычисление 4 2 6 5" xfId="37094"/>
    <cellStyle name="Вычисление 4 2 7" xfId="13196"/>
    <cellStyle name="Вычисление 4 2 7 2" xfId="18528"/>
    <cellStyle name="Вычисление 4 2 7 2 2" xfId="32338"/>
    <cellStyle name="Вычисление 4 2 7 2 3" xfId="42210"/>
    <cellStyle name="Вычисление 4 2 7 3" xfId="27069"/>
    <cellStyle name="Вычисление 4 2 7 4" xfId="36944"/>
    <cellStyle name="Вычисление 4 2 8" xfId="17301"/>
    <cellStyle name="Вычисление 4 2 8 2" xfId="21697"/>
    <cellStyle name="Вычисление 4 2 8 3" xfId="31112"/>
    <cellStyle name="Вычисление 4 2 8 4" xfId="40986"/>
    <cellStyle name="Вычисление 4 2 9" xfId="22028"/>
    <cellStyle name="Вычисление 4 20" xfId="13195"/>
    <cellStyle name="Вычисление 4 20 2" xfId="18527"/>
    <cellStyle name="Вычисление 4 20 2 2" xfId="32337"/>
    <cellStyle name="Вычисление 4 20 2 3" xfId="42209"/>
    <cellStyle name="Вычисление 4 20 3" xfId="27068"/>
    <cellStyle name="Вычисление 4 20 4" xfId="36943"/>
    <cellStyle name="Вычисление 4 21" xfId="17300"/>
    <cellStyle name="Вычисление 4 21 2" xfId="21152"/>
    <cellStyle name="Вычисление 4 21 3" xfId="31111"/>
    <cellStyle name="Вычисление 4 21 4" xfId="40985"/>
    <cellStyle name="Вычисление 4 22" xfId="21631"/>
    <cellStyle name="Вычисление 4 23" xfId="22027"/>
    <cellStyle name="Вычисление 4 24" xfId="23816"/>
    <cellStyle name="Вычисление 4 25" xfId="24732"/>
    <cellStyle name="Вычисление 4 26" xfId="34351"/>
    <cellStyle name="Вычисление 4 27" xfId="34536"/>
    <cellStyle name="Вычисление 4 3" xfId="1389"/>
    <cellStyle name="Вычисление 4 3 10" xfId="23818"/>
    <cellStyle name="Вычисление 4 3 11" xfId="24734"/>
    <cellStyle name="Вычисление 4 3 12" xfId="34353"/>
    <cellStyle name="Вычисление 4 3 13" xfId="34534"/>
    <cellStyle name="Вычисление 4 3 2" xfId="8239"/>
    <cellStyle name="Вычисление 4 3 3" xfId="12003"/>
    <cellStyle name="Вычисление 4 3 3 10" xfId="25877"/>
    <cellStyle name="Вычисление 4 3 3 11" xfId="35752"/>
    <cellStyle name="Вычисление 4 3 3 2" xfId="14901"/>
    <cellStyle name="Вычисление 4 3 3 2 2" xfId="17115"/>
    <cellStyle name="Вычисление 4 3 3 2 2 2" xfId="23167"/>
    <cellStyle name="Вычисление 4 3 3 2 2 3" xfId="30929"/>
    <cellStyle name="Вычисление 4 3 3 2 2 4" xfId="40804"/>
    <cellStyle name="Вычисление 4 3 3 2 3" xfId="20184"/>
    <cellStyle name="Вычисление 4 3 3 2 3 2" xfId="33994"/>
    <cellStyle name="Вычисление 4 3 3 2 3 3" xfId="43862"/>
    <cellStyle name="Вычисление 4 3 3 2 4" xfId="28721"/>
    <cellStyle name="Вычисление 4 3 3 2 5" xfId="38596"/>
    <cellStyle name="Вычисление 4 3 3 3" xfId="14463"/>
    <cellStyle name="Вычисление 4 3 3 3 2" xfId="19746"/>
    <cellStyle name="Вычисление 4 3 3 3 2 2" xfId="33556"/>
    <cellStyle name="Вычисление 4 3 3 3 2 3" xfId="43424"/>
    <cellStyle name="Вычисление 4 3 3 3 3" xfId="28283"/>
    <cellStyle name="Вычисление 4 3 3 3 4" xfId="38158"/>
    <cellStyle name="Вычисление 4 3 3 4" xfId="20842"/>
    <cellStyle name="Вычисление 4 3 3 5" xfId="21398"/>
    <cellStyle name="Вычисление 4 3 3 6" xfId="21818"/>
    <cellStyle name="Вычисление 4 3 3 7" xfId="22339"/>
    <cellStyle name="Вычисление 4 3 3 8" xfId="22591"/>
    <cellStyle name="Вычисление 4 3 3 9" xfId="24079"/>
    <cellStyle name="Вычисление 4 3 4" xfId="11722"/>
    <cellStyle name="Вычисление 4 3 4 2" xfId="14620"/>
    <cellStyle name="Вычисление 4 3 4 2 2" xfId="19903"/>
    <cellStyle name="Вычисление 4 3 4 2 2 2" xfId="33713"/>
    <cellStyle name="Вычисление 4 3 4 2 2 3" xfId="43581"/>
    <cellStyle name="Вычисление 4 3 4 2 3" xfId="28440"/>
    <cellStyle name="Вычисление 4 3 4 2 4" xfId="38315"/>
    <cellStyle name="Вычисление 4 3 4 3" xfId="15853"/>
    <cellStyle name="Вычисление 4 3 4 3 2" xfId="22959"/>
    <cellStyle name="Вычисление 4 3 4 3 3" xfId="24485"/>
    <cellStyle name="Вычисление 4 3 4 3 4" xfId="29672"/>
    <cellStyle name="Вычисление 4 3 4 3 5" xfId="39547"/>
    <cellStyle name="Вычисление 4 3 4 4" xfId="23439"/>
    <cellStyle name="Вычисление 4 3 4 5" xfId="25596"/>
    <cellStyle name="Вычисление 4 3 4 6" xfId="35471"/>
    <cellStyle name="Вычисление 4 3 5" xfId="12325"/>
    <cellStyle name="Вычисление 4 3 5 2" xfId="17657"/>
    <cellStyle name="Вычисление 4 3 5 2 2" xfId="31467"/>
    <cellStyle name="Вычисление 4 3 5 2 3" xfId="41340"/>
    <cellStyle name="Вычисление 4 3 5 3" xfId="20506"/>
    <cellStyle name="Вычисление 4 3 5 4" xfId="26199"/>
    <cellStyle name="Вычисление 4 3 5 5" xfId="36074"/>
    <cellStyle name="Вычисление 4 3 6" xfId="13347"/>
    <cellStyle name="Вычисление 4 3 6 2" xfId="16148"/>
    <cellStyle name="Вычисление 4 3 6 2 2" xfId="29966"/>
    <cellStyle name="Вычисление 4 3 6 2 3" xfId="39841"/>
    <cellStyle name="Вычисление 4 3 6 3" xfId="18679"/>
    <cellStyle name="Вычисление 4 3 6 3 2" xfId="32489"/>
    <cellStyle name="Вычисление 4 3 6 3 3" xfId="42361"/>
    <cellStyle name="Вычисление 4 3 6 4" xfId="27220"/>
    <cellStyle name="Вычисление 4 3 6 5" xfId="37095"/>
    <cellStyle name="Вычисление 4 3 7" xfId="13197"/>
    <cellStyle name="Вычисление 4 3 7 2" xfId="18529"/>
    <cellStyle name="Вычисление 4 3 7 2 2" xfId="32339"/>
    <cellStyle name="Вычисление 4 3 7 2 3" xfId="42211"/>
    <cellStyle name="Вычисление 4 3 7 3" xfId="27070"/>
    <cellStyle name="Вычисление 4 3 7 4" xfId="36945"/>
    <cellStyle name="Вычисление 4 3 8" xfId="17302"/>
    <cellStyle name="Вычисление 4 3 8 2" xfId="21698"/>
    <cellStyle name="Вычисление 4 3 8 3" xfId="31113"/>
    <cellStyle name="Вычисление 4 3 8 4" xfId="40987"/>
    <cellStyle name="Вычисление 4 3 9" xfId="22029"/>
    <cellStyle name="Вычисление 4 4" xfId="8232"/>
    <cellStyle name="Вычисление 4 5" xfId="8240"/>
    <cellStyle name="Вычисление 4 6" xfId="8241"/>
    <cellStyle name="Вычисление 4 7" xfId="8242"/>
    <cellStyle name="Вычисление 4 8" xfId="8243"/>
    <cellStyle name="Вычисление 4 9" xfId="8244"/>
    <cellStyle name="Вычисление 5" xfId="1390"/>
    <cellStyle name="Вычисление 5 10" xfId="8246"/>
    <cellStyle name="Вычисление 5 11" xfId="8247"/>
    <cellStyle name="Вычисление 5 12" xfId="8248"/>
    <cellStyle name="Вычисление 5 13" xfId="8249"/>
    <cellStyle name="Вычисление 5 14" xfId="8250"/>
    <cellStyle name="Вычисление 5 15" xfId="11885"/>
    <cellStyle name="Вычисление 5 15 10" xfId="25759"/>
    <cellStyle name="Вычисление 5 15 11" xfId="35634"/>
    <cellStyle name="Вычисление 5 15 2" xfId="14783"/>
    <cellStyle name="Вычисление 5 15 2 2" xfId="16997"/>
    <cellStyle name="Вычисление 5 15 2 2 2" xfId="23049"/>
    <cellStyle name="Вычисление 5 15 2 2 3" xfId="30811"/>
    <cellStyle name="Вычисление 5 15 2 2 4" xfId="40686"/>
    <cellStyle name="Вычисление 5 15 2 3" xfId="20066"/>
    <cellStyle name="Вычисление 5 15 2 3 2" xfId="33876"/>
    <cellStyle name="Вычисление 5 15 2 3 3" xfId="43744"/>
    <cellStyle name="Вычисление 5 15 2 4" xfId="28603"/>
    <cellStyle name="Вычисление 5 15 2 5" xfId="38478"/>
    <cellStyle name="Вычисление 5 15 3" xfId="14290"/>
    <cellStyle name="Вычисление 5 15 3 2" xfId="19573"/>
    <cellStyle name="Вычисление 5 15 3 2 2" xfId="33383"/>
    <cellStyle name="Вычисление 5 15 3 2 3" xfId="43252"/>
    <cellStyle name="Вычисление 5 15 3 3" xfId="28111"/>
    <cellStyle name="Вычисление 5 15 3 4" xfId="37986"/>
    <cellStyle name="Вычисление 5 15 4" xfId="20724"/>
    <cellStyle name="Вычисление 5 15 5" xfId="21280"/>
    <cellStyle name="Вычисление 5 15 6" xfId="21736"/>
    <cellStyle name="Вычисление 5 15 7" xfId="22273"/>
    <cellStyle name="Вычисление 5 15 8" xfId="22457"/>
    <cellStyle name="Вычисление 5 15 9" xfId="23945"/>
    <cellStyle name="Вычисление 5 16" xfId="12109"/>
    <cellStyle name="Вычисление 5 16 10" xfId="24185"/>
    <cellStyle name="Вычисление 5 16 11" xfId="25983"/>
    <cellStyle name="Вычисление 5 16 12" xfId="35858"/>
    <cellStyle name="Вычисление 5 16 2" xfId="15007"/>
    <cellStyle name="Вычисление 5 16 2 2" xfId="20290"/>
    <cellStyle name="Вычисление 5 16 2 2 2" xfId="34100"/>
    <cellStyle name="Вычисление 5 16 2 2 3" xfId="43968"/>
    <cellStyle name="Вычисление 5 16 2 3" xfId="23561"/>
    <cellStyle name="Вычисление 5 16 2 4" xfId="28827"/>
    <cellStyle name="Вычисление 5 16 2 5" xfId="38702"/>
    <cellStyle name="Вычисление 5 16 3" xfId="20596"/>
    <cellStyle name="Вычисление 5 16 4" xfId="20932"/>
    <cellStyle name="Вычисление 5 16 5" xfId="21046"/>
    <cellStyle name="Вычисление 5 16 6" xfId="21488"/>
    <cellStyle name="Вычисление 5 16 7" xfId="21872"/>
    <cellStyle name="Вычисление 5 16 8" xfId="22377"/>
    <cellStyle name="Вычисление 5 16 9" xfId="22681"/>
    <cellStyle name="Вычисление 5 17" xfId="12189"/>
    <cellStyle name="Вычисление 5 17 10" xfId="24265"/>
    <cellStyle name="Вычисление 5 17 11" xfId="26063"/>
    <cellStyle name="Вычисление 5 17 12" xfId="35938"/>
    <cellStyle name="Вычисление 5 17 2" xfId="15087"/>
    <cellStyle name="Вычисление 5 17 2 2" xfId="20370"/>
    <cellStyle name="Вычисление 5 17 2 2 2" xfId="34180"/>
    <cellStyle name="Вычисление 5 17 2 2 3" xfId="44048"/>
    <cellStyle name="Вычисление 5 17 2 3" xfId="23641"/>
    <cellStyle name="Вычисление 5 17 2 4" xfId="28907"/>
    <cellStyle name="Вычисление 5 17 2 5" xfId="38782"/>
    <cellStyle name="Вычисление 5 17 3" xfId="20660"/>
    <cellStyle name="Вычисление 5 17 4" xfId="20996"/>
    <cellStyle name="Вычисление 5 17 5" xfId="21094"/>
    <cellStyle name="Вычисление 5 17 6" xfId="21568"/>
    <cellStyle name="Вычисление 5 17 7" xfId="21920"/>
    <cellStyle name="Вычисление 5 17 8" xfId="22409"/>
    <cellStyle name="Вычисление 5 17 9" xfId="22761"/>
    <cellStyle name="Вычисление 5 18" xfId="11723"/>
    <cellStyle name="Вычисление 5 18 2" xfId="14621"/>
    <cellStyle name="Вычисление 5 18 2 2" xfId="19904"/>
    <cellStyle name="Вычисление 5 18 2 2 2" xfId="33714"/>
    <cellStyle name="Вычисление 5 18 2 2 3" xfId="43582"/>
    <cellStyle name="Вычисление 5 18 2 3" xfId="28441"/>
    <cellStyle name="Вычисление 5 18 2 4" xfId="38316"/>
    <cellStyle name="Вычисление 5 18 3" xfId="15854"/>
    <cellStyle name="Вычисление 5 18 3 2" xfId="22818"/>
    <cellStyle name="Вычисление 5 18 3 3" xfId="24486"/>
    <cellStyle name="Вычисление 5 18 3 4" xfId="29673"/>
    <cellStyle name="Вычисление 5 18 3 5" xfId="39548"/>
    <cellStyle name="Вычисление 5 18 4" xfId="23298"/>
    <cellStyle name="Вычисление 5 18 5" xfId="25597"/>
    <cellStyle name="Вычисление 5 18 6" xfId="35472"/>
    <cellStyle name="Вычисление 5 19" xfId="13348"/>
    <cellStyle name="Вычисление 5 19 2" xfId="16149"/>
    <cellStyle name="Вычисление 5 19 2 2" xfId="29967"/>
    <cellStyle name="Вычисление 5 19 2 3" xfId="39842"/>
    <cellStyle name="Вычисление 5 19 3" xfId="18680"/>
    <cellStyle name="Вычисление 5 19 3 2" xfId="32490"/>
    <cellStyle name="Вычисление 5 19 3 3" xfId="42362"/>
    <cellStyle name="Вычисление 5 19 4" xfId="27221"/>
    <cellStyle name="Вычисление 5 19 5" xfId="37096"/>
    <cellStyle name="Вычисление 5 2" xfId="1391"/>
    <cellStyle name="Вычисление 5 2 10" xfId="23820"/>
    <cellStyle name="Вычисление 5 2 11" xfId="24736"/>
    <cellStyle name="Вычисление 5 2 12" xfId="34355"/>
    <cellStyle name="Вычисление 5 2 13" xfId="34532"/>
    <cellStyle name="Вычисление 5 2 2" xfId="8251"/>
    <cellStyle name="Вычисление 5 2 3" xfId="12004"/>
    <cellStyle name="Вычисление 5 2 3 10" xfId="25878"/>
    <cellStyle name="Вычисление 5 2 3 11" xfId="35753"/>
    <cellStyle name="Вычисление 5 2 3 2" xfId="14902"/>
    <cellStyle name="Вычисление 5 2 3 2 2" xfId="17116"/>
    <cellStyle name="Вычисление 5 2 3 2 2 2" xfId="23168"/>
    <cellStyle name="Вычисление 5 2 3 2 2 3" xfId="30930"/>
    <cellStyle name="Вычисление 5 2 3 2 2 4" xfId="40805"/>
    <cellStyle name="Вычисление 5 2 3 2 3" xfId="20185"/>
    <cellStyle name="Вычисление 5 2 3 2 3 2" xfId="33995"/>
    <cellStyle name="Вычисление 5 2 3 2 3 3" xfId="43863"/>
    <cellStyle name="Вычисление 5 2 3 2 4" xfId="28722"/>
    <cellStyle name="Вычисление 5 2 3 2 5" xfId="38597"/>
    <cellStyle name="Вычисление 5 2 3 3" xfId="14365"/>
    <cellStyle name="Вычисление 5 2 3 3 2" xfId="19648"/>
    <cellStyle name="Вычисление 5 2 3 3 2 2" xfId="33458"/>
    <cellStyle name="Вычисление 5 2 3 3 2 3" xfId="43327"/>
    <cellStyle name="Вычисление 5 2 3 3 3" xfId="28186"/>
    <cellStyle name="Вычисление 5 2 3 3 4" xfId="38061"/>
    <cellStyle name="Вычисление 5 2 3 4" xfId="20843"/>
    <cellStyle name="Вычисление 5 2 3 5" xfId="21399"/>
    <cellStyle name="Вычисление 5 2 3 6" xfId="21819"/>
    <cellStyle name="Вычисление 5 2 3 7" xfId="22340"/>
    <cellStyle name="Вычисление 5 2 3 8" xfId="22592"/>
    <cellStyle name="Вычисление 5 2 3 9" xfId="24080"/>
    <cellStyle name="Вычисление 5 2 4" xfId="11724"/>
    <cellStyle name="Вычисление 5 2 4 2" xfId="14622"/>
    <cellStyle name="Вычисление 5 2 4 2 2" xfId="19905"/>
    <cellStyle name="Вычисление 5 2 4 2 2 2" xfId="33715"/>
    <cellStyle name="Вычисление 5 2 4 2 2 3" xfId="43583"/>
    <cellStyle name="Вычисление 5 2 4 2 3" xfId="28442"/>
    <cellStyle name="Вычисление 5 2 4 2 4" xfId="38317"/>
    <cellStyle name="Вычисление 5 2 4 3" xfId="15855"/>
    <cellStyle name="Вычисление 5 2 4 3 2" xfId="22960"/>
    <cellStyle name="Вычисление 5 2 4 3 3" xfId="24487"/>
    <cellStyle name="Вычисление 5 2 4 3 4" xfId="29674"/>
    <cellStyle name="Вычисление 5 2 4 3 5" xfId="39549"/>
    <cellStyle name="Вычисление 5 2 4 4" xfId="23440"/>
    <cellStyle name="Вычисление 5 2 4 5" xfId="25598"/>
    <cellStyle name="Вычисление 5 2 4 6" xfId="35473"/>
    <cellStyle name="Вычисление 5 2 5" xfId="12326"/>
    <cellStyle name="Вычисление 5 2 5 2" xfId="17658"/>
    <cellStyle name="Вычисление 5 2 5 2 2" xfId="31468"/>
    <cellStyle name="Вычисление 5 2 5 2 3" xfId="41341"/>
    <cellStyle name="Вычисление 5 2 5 3" xfId="20507"/>
    <cellStyle name="Вычисление 5 2 5 4" xfId="26200"/>
    <cellStyle name="Вычисление 5 2 5 5" xfId="36075"/>
    <cellStyle name="Вычисление 5 2 6" xfId="13349"/>
    <cellStyle name="Вычисление 5 2 6 2" xfId="16150"/>
    <cellStyle name="Вычисление 5 2 6 2 2" xfId="29968"/>
    <cellStyle name="Вычисление 5 2 6 2 3" xfId="39843"/>
    <cellStyle name="Вычисление 5 2 6 3" xfId="18681"/>
    <cellStyle name="Вычисление 5 2 6 3 2" xfId="32491"/>
    <cellStyle name="Вычисление 5 2 6 3 3" xfId="42363"/>
    <cellStyle name="Вычисление 5 2 6 4" xfId="27222"/>
    <cellStyle name="Вычисление 5 2 6 5" xfId="37097"/>
    <cellStyle name="Вычисление 5 2 7" xfId="13199"/>
    <cellStyle name="Вычисление 5 2 7 2" xfId="18531"/>
    <cellStyle name="Вычисление 5 2 7 2 2" xfId="32341"/>
    <cellStyle name="Вычисление 5 2 7 2 3" xfId="42213"/>
    <cellStyle name="Вычисление 5 2 7 3" xfId="27072"/>
    <cellStyle name="Вычисление 5 2 7 4" xfId="36947"/>
    <cellStyle name="Вычисление 5 2 8" xfId="17304"/>
    <cellStyle name="Вычисление 5 2 8 2" xfId="21699"/>
    <cellStyle name="Вычисление 5 2 8 3" xfId="31115"/>
    <cellStyle name="Вычисление 5 2 8 4" xfId="40989"/>
    <cellStyle name="Вычисление 5 2 9" xfId="22031"/>
    <cellStyle name="Вычисление 5 20" xfId="13198"/>
    <cellStyle name="Вычисление 5 20 2" xfId="18530"/>
    <cellStyle name="Вычисление 5 20 2 2" xfId="32340"/>
    <cellStyle name="Вычисление 5 20 2 3" xfId="42212"/>
    <cellStyle name="Вычисление 5 20 3" xfId="27071"/>
    <cellStyle name="Вычисление 5 20 4" xfId="36946"/>
    <cellStyle name="Вычисление 5 21" xfId="17303"/>
    <cellStyle name="Вычисление 5 21 2" xfId="21151"/>
    <cellStyle name="Вычисление 5 21 3" xfId="31114"/>
    <cellStyle name="Вычисление 5 21 4" xfId="40988"/>
    <cellStyle name="Вычисление 5 22" xfId="21632"/>
    <cellStyle name="Вычисление 5 23" xfId="22030"/>
    <cellStyle name="Вычисление 5 24" xfId="23819"/>
    <cellStyle name="Вычисление 5 25" xfId="24735"/>
    <cellStyle name="Вычисление 5 26" xfId="34354"/>
    <cellStyle name="Вычисление 5 27" xfId="34533"/>
    <cellStyle name="Вычисление 5 3" xfId="1392"/>
    <cellStyle name="Вычисление 5 3 10" xfId="23821"/>
    <cellStyle name="Вычисление 5 3 11" xfId="24737"/>
    <cellStyle name="Вычисление 5 3 12" xfId="34356"/>
    <cellStyle name="Вычисление 5 3 13" xfId="34531"/>
    <cellStyle name="Вычисление 5 3 2" xfId="8252"/>
    <cellStyle name="Вычисление 5 3 3" xfId="12005"/>
    <cellStyle name="Вычисление 5 3 3 10" xfId="25879"/>
    <cellStyle name="Вычисление 5 3 3 11" xfId="35754"/>
    <cellStyle name="Вычисление 5 3 3 2" xfId="14903"/>
    <cellStyle name="Вычисление 5 3 3 2 2" xfId="17117"/>
    <cellStyle name="Вычисление 5 3 3 2 2 2" xfId="23169"/>
    <cellStyle name="Вычисление 5 3 3 2 2 3" xfId="30931"/>
    <cellStyle name="Вычисление 5 3 3 2 2 4" xfId="40806"/>
    <cellStyle name="Вычисление 5 3 3 2 3" xfId="20186"/>
    <cellStyle name="Вычисление 5 3 3 2 3 2" xfId="33996"/>
    <cellStyle name="Вычисление 5 3 3 2 3 3" xfId="43864"/>
    <cellStyle name="Вычисление 5 3 3 2 4" xfId="28723"/>
    <cellStyle name="Вычисление 5 3 3 2 5" xfId="38598"/>
    <cellStyle name="Вычисление 5 3 3 3" xfId="14366"/>
    <cellStyle name="Вычисление 5 3 3 3 2" xfId="19649"/>
    <cellStyle name="Вычисление 5 3 3 3 2 2" xfId="33459"/>
    <cellStyle name="Вычисление 5 3 3 3 2 3" xfId="43328"/>
    <cellStyle name="Вычисление 5 3 3 3 3" xfId="28187"/>
    <cellStyle name="Вычисление 5 3 3 3 4" xfId="38062"/>
    <cellStyle name="Вычисление 5 3 3 4" xfId="20844"/>
    <cellStyle name="Вычисление 5 3 3 5" xfId="21400"/>
    <cellStyle name="Вычисление 5 3 3 6" xfId="21820"/>
    <cellStyle name="Вычисление 5 3 3 7" xfId="22341"/>
    <cellStyle name="Вычисление 5 3 3 8" xfId="22593"/>
    <cellStyle name="Вычисление 5 3 3 9" xfId="24081"/>
    <cellStyle name="Вычисление 5 3 4" xfId="11725"/>
    <cellStyle name="Вычисление 5 3 4 2" xfId="14623"/>
    <cellStyle name="Вычисление 5 3 4 2 2" xfId="19906"/>
    <cellStyle name="Вычисление 5 3 4 2 2 2" xfId="33716"/>
    <cellStyle name="Вычисление 5 3 4 2 2 3" xfId="43584"/>
    <cellStyle name="Вычисление 5 3 4 2 3" xfId="28443"/>
    <cellStyle name="Вычисление 5 3 4 2 4" xfId="38318"/>
    <cellStyle name="Вычисление 5 3 4 3" xfId="15856"/>
    <cellStyle name="Вычисление 5 3 4 3 2" xfId="22961"/>
    <cellStyle name="Вычисление 5 3 4 3 3" xfId="24488"/>
    <cellStyle name="Вычисление 5 3 4 3 4" xfId="29675"/>
    <cellStyle name="Вычисление 5 3 4 3 5" xfId="39550"/>
    <cellStyle name="Вычисление 5 3 4 4" xfId="23441"/>
    <cellStyle name="Вычисление 5 3 4 5" xfId="25599"/>
    <cellStyle name="Вычисление 5 3 4 6" xfId="35474"/>
    <cellStyle name="Вычисление 5 3 5" xfId="12327"/>
    <cellStyle name="Вычисление 5 3 5 2" xfId="17659"/>
    <cellStyle name="Вычисление 5 3 5 2 2" xfId="31469"/>
    <cellStyle name="Вычисление 5 3 5 2 3" xfId="41342"/>
    <cellStyle name="Вычисление 5 3 5 3" xfId="20508"/>
    <cellStyle name="Вычисление 5 3 5 4" xfId="26201"/>
    <cellStyle name="Вычисление 5 3 5 5" xfId="36076"/>
    <cellStyle name="Вычисление 5 3 6" xfId="13350"/>
    <cellStyle name="Вычисление 5 3 6 2" xfId="16151"/>
    <cellStyle name="Вычисление 5 3 6 2 2" xfId="29969"/>
    <cellStyle name="Вычисление 5 3 6 2 3" xfId="39844"/>
    <cellStyle name="Вычисление 5 3 6 3" xfId="18682"/>
    <cellStyle name="Вычисление 5 3 6 3 2" xfId="32492"/>
    <cellStyle name="Вычисление 5 3 6 3 3" xfId="42364"/>
    <cellStyle name="Вычисление 5 3 6 4" xfId="27223"/>
    <cellStyle name="Вычисление 5 3 6 5" xfId="37098"/>
    <cellStyle name="Вычисление 5 3 7" xfId="13200"/>
    <cellStyle name="Вычисление 5 3 7 2" xfId="18532"/>
    <cellStyle name="Вычисление 5 3 7 2 2" xfId="32342"/>
    <cellStyle name="Вычисление 5 3 7 2 3" xfId="42214"/>
    <cellStyle name="Вычисление 5 3 7 3" xfId="27073"/>
    <cellStyle name="Вычисление 5 3 7 4" xfId="36948"/>
    <cellStyle name="Вычисление 5 3 8" xfId="17305"/>
    <cellStyle name="Вычисление 5 3 8 2" xfId="21700"/>
    <cellStyle name="Вычисление 5 3 8 3" xfId="31116"/>
    <cellStyle name="Вычисление 5 3 8 4" xfId="40990"/>
    <cellStyle name="Вычисление 5 3 9" xfId="22032"/>
    <cellStyle name="Вычисление 5 4" xfId="8245"/>
    <cellStyle name="Вычисление 5 5" xfId="8253"/>
    <cellStyle name="Вычисление 5 6" xfId="8254"/>
    <cellStyle name="Вычисление 5 7" xfId="8255"/>
    <cellStyle name="Вычисление 5 8" xfId="8256"/>
    <cellStyle name="Вычисление 5 9" xfId="8257"/>
    <cellStyle name="Вычисление 6" xfId="1393"/>
    <cellStyle name="Вычисление 6 10" xfId="8259"/>
    <cellStyle name="Вычисление 6 11" xfId="8260"/>
    <cellStyle name="Вычисление 6 12" xfId="8261"/>
    <cellStyle name="Вычисление 6 13" xfId="8262"/>
    <cellStyle name="Вычисление 6 14" xfId="8263"/>
    <cellStyle name="Вычисление 6 15" xfId="11886"/>
    <cellStyle name="Вычисление 6 15 10" xfId="25760"/>
    <cellStyle name="Вычисление 6 15 11" xfId="35635"/>
    <cellStyle name="Вычисление 6 15 2" xfId="14784"/>
    <cellStyle name="Вычисление 6 15 2 2" xfId="16998"/>
    <cellStyle name="Вычисление 6 15 2 2 2" xfId="23050"/>
    <cellStyle name="Вычисление 6 15 2 2 3" xfId="30812"/>
    <cellStyle name="Вычисление 6 15 2 2 4" xfId="40687"/>
    <cellStyle name="Вычисление 6 15 2 3" xfId="20067"/>
    <cellStyle name="Вычисление 6 15 2 3 2" xfId="33877"/>
    <cellStyle name="Вычисление 6 15 2 3 3" xfId="43745"/>
    <cellStyle name="Вычисление 6 15 2 4" xfId="28604"/>
    <cellStyle name="Вычисление 6 15 2 5" xfId="38479"/>
    <cellStyle name="Вычисление 6 15 3" xfId="13041"/>
    <cellStyle name="Вычисление 6 15 3 2" xfId="18373"/>
    <cellStyle name="Вычисление 6 15 3 2 2" xfId="32183"/>
    <cellStyle name="Вычисление 6 15 3 2 3" xfId="42056"/>
    <cellStyle name="Вычисление 6 15 3 3" xfId="26915"/>
    <cellStyle name="Вычисление 6 15 3 4" xfId="36790"/>
    <cellStyle name="Вычисление 6 15 4" xfId="20725"/>
    <cellStyle name="Вычисление 6 15 5" xfId="21281"/>
    <cellStyle name="Вычисление 6 15 6" xfId="21737"/>
    <cellStyle name="Вычисление 6 15 7" xfId="22274"/>
    <cellStyle name="Вычисление 6 15 8" xfId="22458"/>
    <cellStyle name="Вычисление 6 15 9" xfId="23946"/>
    <cellStyle name="Вычисление 6 16" xfId="12110"/>
    <cellStyle name="Вычисление 6 16 10" xfId="24186"/>
    <cellStyle name="Вычисление 6 16 11" xfId="25984"/>
    <cellStyle name="Вычисление 6 16 12" xfId="35859"/>
    <cellStyle name="Вычисление 6 16 2" xfId="15008"/>
    <cellStyle name="Вычисление 6 16 2 2" xfId="20291"/>
    <cellStyle name="Вычисление 6 16 2 2 2" xfId="34101"/>
    <cellStyle name="Вычисление 6 16 2 2 3" xfId="43969"/>
    <cellStyle name="Вычисление 6 16 2 3" xfId="23562"/>
    <cellStyle name="Вычисление 6 16 2 4" xfId="28828"/>
    <cellStyle name="Вычисление 6 16 2 5" xfId="38703"/>
    <cellStyle name="Вычисление 6 16 3" xfId="20597"/>
    <cellStyle name="Вычисление 6 16 4" xfId="20933"/>
    <cellStyle name="Вычисление 6 16 5" xfId="21047"/>
    <cellStyle name="Вычисление 6 16 6" xfId="21489"/>
    <cellStyle name="Вычисление 6 16 7" xfId="21873"/>
    <cellStyle name="Вычисление 6 16 8" xfId="22378"/>
    <cellStyle name="Вычисление 6 16 9" xfId="22682"/>
    <cellStyle name="Вычисление 6 17" xfId="12190"/>
    <cellStyle name="Вычисление 6 17 10" xfId="24266"/>
    <cellStyle name="Вычисление 6 17 11" xfId="26064"/>
    <cellStyle name="Вычисление 6 17 12" xfId="35939"/>
    <cellStyle name="Вычисление 6 17 2" xfId="15088"/>
    <cellStyle name="Вычисление 6 17 2 2" xfId="20371"/>
    <cellStyle name="Вычисление 6 17 2 2 2" xfId="34181"/>
    <cellStyle name="Вычисление 6 17 2 2 3" xfId="44049"/>
    <cellStyle name="Вычисление 6 17 2 3" xfId="23642"/>
    <cellStyle name="Вычисление 6 17 2 4" xfId="28908"/>
    <cellStyle name="Вычисление 6 17 2 5" xfId="38783"/>
    <cellStyle name="Вычисление 6 17 3" xfId="20661"/>
    <cellStyle name="Вычисление 6 17 4" xfId="20997"/>
    <cellStyle name="Вычисление 6 17 5" xfId="21095"/>
    <cellStyle name="Вычисление 6 17 6" xfId="21569"/>
    <cellStyle name="Вычисление 6 17 7" xfId="21921"/>
    <cellStyle name="Вычисление 6 17 8" xfId="22410"/>
    <cellStyle name="Вычисление 6 17 9" xfId="22762"/>
    <cellStyle name="Вычисление 6 18" xfId="11726"/>
    <cellStyle name="Вычисление 6 18 2" xfId="14624"/>
    <cellStyle name="Вычисление 6 18 2 2" xfId="19907"/>
    <cellStyle name="Вычисление 6 18 2 2 2" xfId="33717"/>
    <cellStyle name="Вычисление 6 18 2 2 3" xfId="43585"/>
    <cellStyle name="Вычисление 6 18 2 3" xfId="28444"/>
    <cellStyle name="Вычисление 6 18 2 4" xfId="38319"/>
    <cellStyle name="Вычисление 6 18 3" xfId="15857"/>
    <cellStyle name="Вычисление 6 18 3 2" xfId="22817"/>
    <cellStyle name="Вычисление 6 18 3 3" xfId="24489"/>
    <cellStyle name="Вычисление 6 18 3 4" xfId="29676"/>
    <cellStyle name="Вычисление 6 18 3 5" xfId="39551"/>
    <cellStyle name="Вычисление 6 18 4" xfId="23297"/>
    <cellStyle name="Вычисление 6 18 5" xfId="25600"/>
    <cellStyle name="Вычисление 6 18 6" xfId="35475"/>
    <cellStyle name="Вычисление 6 19" xfId="13351"/>
    <cellStyle name="Вычисление 6 19 2" xfId="16152"/>
    <cellStyle name="Вычисление 6 19 2 2" xfId="29970"/>
    <cellStyle name="Вычисление 6 19 2 3" xfId="39845"/>
    <cellStyle name="Вычисление 6 19 3" xfId="18683"/>
    <cellStyle name="Вычисление 6 19 3 2" xfId="32493"/>
    <cellStyle name="Вычисление 6 19 3 3" xfId="42365"/>
    <cellStyle name="Вычисление 6 19 4" xfId="27224"/>
    <cellStyle name="Вычисление 6 19 5" xfId="37099"/>
    <cellStyle name="Вычисление 6 2" xfId="1394"/>
    <cellStyle name="Вычисление 6 2 10" xfId="23823"/>
    <cellStyle name="Вычисление 6 2 11" xfId="24739"/>
    <cellStyle name="Вычисление 6 2 12" xfId="34358"/>
    <cellStyle name="Вычисление 6 2 13" xfId="34529"/>
    <cellStyle name="Вычисление 6 2 2" xfId="8264"/>
    <cellStyle name="Вычисление 6 2 3" xfId="12006"/>
    <cellStyle name="Вычисление 6 2 3 10" xfId="25880"/>
    <cellStyle name="Вычисление 6 2 3 11" xfId="35755"/>
    <cellStyle name="Вычисление 6 2 3 2" xfId="14904"/>
    <cellStyle name="Вычисление 6 2 3 2 2" xfId="17118"/>
    <cellStyle name="Вычисление 6 2 3 2 2 2" xfId="23170"/>
    <cellStyle name="Вычисление 6 2 3 2 2 3" xfId="30932"/>
    <cellStyle name="Вычисление 6 2 3 2 2 4" xfId="40807"/>
    <cellStyle name="Вычисление 6 2 3 2 3" xfId="20187"/>
    <cellStyle name="Вычисление 6 2 3 2 3 2" xfId="33997"/>
    <cellStyle name="Вычисление 6 2 3 2 3 3" xfId="43865"/>
    <cellStyle name="Вычисление 6 2 3 2 4" xfId="28724"/>
    <cellStyle name="Вычисление 6 2 3 2 5" xfId="38599"/>
    <cellStyle name="Вычисление 6 2 3 3" xfId="14367"/>
    <cellStyle name="Вычисление 6 2 3 3 2" xfId="19650"/>
    <cellStyle name="Вычисление 6 2 3 3 2 2" xfId="33460"/>
    <cellStyle name="Вычисление 6 2 3 3 2 3" xfId="43329"/>
    <cellStyle name="Вычисление 6 2 3 3 3" xfId="28188"/>
    <cellStyle name="Вычисление 6 2 3 3 4" xfId="38063"/>
    <cellStyle name="Вычисление 6 2 3 4" xfId="20845"/>
    <cellStyle name="Вычисление 6 2 3 5" xfId="21401"/>
    <cellStyle name="Вычисление 6 2 3 6" xfId="21821"/>
    <cellStyle name="Вычисление 6 2 3 7" xfId="22342"/>
    <cellStyle name="Вычисление 6 2 3 8" xfId="22594"/>
    <cellStyle name="Вычисление 6 2 3 9" xfId="24082"/>
    <cellStyle name="Вычисление 6 2 4" xfId="11727"/>
    <cellStyle name="Вычисление 6 2 4 2" xfId="14625"/>
    <cellStyle name="Вычисление 6 2 4 2 2" xfId="19908"/>
    <cellStyle name="Вычисление 6 2 4 2 2 2" xfId="33718"/>
    <cellStyle name="Вычисление 6 2 4 2 2 3" xfId="43586"/>
    <cellStyle name="Вычисление 6 2 4 2 3" xfId="28445"/>
    <cellStyle name="Вычисление 6 2 4 2 4" xfId="38320"/>
    <cellStyle name="Вычисление 6 2 4 3" xfId="15858"/>
    <cellStyle name="Вычисление 6 2 4 3 2" xfId="22962"/>
    <cellStyle name="Вычисление 6 2 4 3 3" xfId="24490"/>
    <cellStyle name="Вычисление 6 2 4 3 4" xfId="29677"/>
    <cellStyle name="Вычисление 6 2 4 3 5" xfId="39552"/>
    <cellStyle name="Вычисление 6 2 4 4" xfId="23442"/>
    <cellStyle name="Вычисление 6 2 4 5" xfId="25601"/>
    <cellStyle name="Вычисление 6 2 4 6" xfId="35476"/>
    <cellStyle name="Вычисление 6 2 5" xfId="12328"/>
    <cellStyle name="Вычисление 6 2 5 2" xfId="17660"/>
    <cellStyle name="Вычисление 6 2 5 2 2" xfId="31470"/>
    <cellStyle name="Вычисление 6 2 5 2 3" xfId="41343"/>
    <cellStyle name="Вычисление 6 2 5 3" xfId="20509"/>
    <cellStyle name="Вычисление 6 2 5 4" xfId="26202"/>
    <cellStyle name="Вычисление 6 2 5 5" xfId="36077"/>
    <cellStyle name="Вычисление 6 2 6" xfId="13352"/>
    <cellStyle name="Вычисление 6 2 6 2" xfId="16153"/>
    <cellStyle name="Вычисление 6 2 6 2 2" xfId="29971"/>
    <cellStyle name="Вычисление 6 2 6 2 3" xfId="39846"/>
    <cellStyle name="Вычисление 6 2 6 3" xfId="18684"/>
    <cellStyle name="Вычисление 6 2 6 3 2" xfId="32494"/>
    <cellStyle name="Вычисление 6 2 6 3 3" xfId="42366"/>
    <cellStyle name="Вычисление 6 2 6 4" xfId="27225"/>
    <cellStyle name="Вычисление 6 2 6 5" xfId="37100"/>
    <cellStyle name="Вычисление 6 2 7" xfId="13202"/>
    <cellStyle name="Вычисление 6 2 7 2" xfId="18534"/>
    <cellStyle name="Вычисление 6 2 7 2 2" xfId="32344"/>
    <cellStyle name="Вычисление 6 2 7 2 3" xfId="42216"/>
    <cellStyle name="Вычисление 6 2 7 3" xfId="27075"/>
    <cellStyle name="Вычисление 6 2 7 4" xfId="36950"/>
    <cellStyle name="Вычисление 6 2 8" xfId="17307"/>
    <cellStyle name="Вычисление 6 2 8 2" xfId="21701"/>
    <cellStyle name="Вычисление 6 2 8 3" xfId="31118"/>
    <cellStyle name="Вычисление 6 2 8 4" xfId="40992"/>
    <cellStyle name="Вычисление 6 2 9" xfId="22034"/>
    <cellStyle name="Вычисление 6 20" xfId="13201"/>
    <cellStyle name="Вычисление 6 20 2" xfId="18533"/>
    <cellStyle name="Вычисление 6 20 2 2" xfId="32343"/>
    <cellStyle name="Вычисление 6 20 2 3" xfId="42215"/>
    <cellStyle name="Вычисление 6 20 3" xfId="27074"/>
    <cellStyle name="Вычисление 6 20 4" xfId="36949"/>
    <cellStyle name="Вычисление 6 21" xfId="17306"/>
    <cellStyle name="Вычисление 6 21 2" xfId="21150"/>
    <cellStyle name="Вычисление 6 21 3" xfId="31117"/>
    <cellStyle name="Вычисление 6 21 4" xfId="40991"/>
    <cellStyle name="Вычисление 6 22" xfId="21633"/>
    <cellStyle name="Вычисление 6 23" xfId="22033"/>
    <cellStyle name="Вычисление 6 24" xfId="23822"/>
    <cellStyle name="Вычисление 6 25" xfId="24738"/>
    <cellStyle name="Вычисление 6 26" xfId="34357"/>
    <cellStyle name="Вычисление 6 27" xfId="34530"/>
    <cellStyle name="Вычисление 6 3" xfId="1395"/>
    <cellStyle name="Вычисление 6 3 10" xfId="23824"/>
    <cellStyle name="Вычисление 6 3 11" xfId="24740"/>
    <cellStyle name="Вычисление 6 3 12" xfId="34359"/>
    <cellStyle name="Вычисление 6 3 13" xfId="34528"/>
    <cellStyle name="Вычисление 6 3 2" xfId="8265"/>
    <cellStyle name="Вычисление 6 3 3" xfId="12007"/>
    <cellStyle name="Вычисление 6 3 3 10" xfId="25881"/>
    <cellStyle name="Вычисление 6 3 3 11" xfId="35756"/>
    <cellStyle name="Вычисление 6 3 3 2" xfId="14905"/>
    <cellStyle name="Вычисление 6 3 3 2 2" xfId="17119"/>
    <cellStyle name="Вычисление 6 3 3 2 2 2" xfId="23171"/>
    <cellStyle name="Вычисление 6 3 3 2 2 3" xfId="30933"/>
    <cellStyle name="Вычисление 6 3 3 2 2 4" xfId="40808"/>
    <cellStyle name="Вычисление 6 3 3 2 3" xfId="20188"/>
    <cellStyle name="Вычисление 6 3 3 2 3 2" xfId="33998"/>
    <cellStyle name="Вычисление 6 3 3 2 3 3" xfId="43866"/>
    <cellStyle name="Вычисление 6 3 3 2 4" xfId="28725"/>
    <cellStyle name="Вычисление 6 3 3 2 5" xfId="38600"/>
    <cellStyle name="Вычисление 6 3 3 3" xfId="14368"/>
    <cellStyle name="Вычисление 6 3 3 3 2" xfId="19651"/>
    <cellStyle name="Вычисление 6 3 3 3 2 2" xfId="33461"/>
    <cellStyle name="Вычисление 6 3 3 3 2 3" xfId="43330"/>
    <cellStyle name="Вычисление 6 3 3 3 3" xfId="28189"/>
    <cellStyle name="Вычисление 6 3 3 3 4" xfId="38064"/>
    <cellStyle name="Вычисление 6 3 3 4" xfId="20846"/>
    <cellStyle name="Вычисление 6 3 3 5" xfId="21402"/>
    <cellStyle name="Вычисление 6 3 3 6" xfId="21822"/>
    <cellStyle name="Вычисление 6 3 3 7" xfId="22343"/>
    <cellStyle name="Вычисление 6 3 3 8" xfId="22595"/>
    <cellStyle name="Вычисление 6 3 3 9" xfId="24083"/>
    <cellStyle name="Вычисление 6 3 4" xfId="11728"/>
    <cellStyle name="Вычисление 6 3 4 2" xfId="14626"/>
    <cellStyle name="Вычисление 6 3 4 2 2" xfId="19909"/>
    <cellStyle name="Вычисление 6 3 4 2 2 2" xfId="33719"/>
    <cellStyle name="Вычисление 6 3 4 2 2 3" xfId="43587"/>
    <cellStyle name="Вычисление 6 3 4 2 3" xfId="28446"/>
    <cellStyle name="Вычисление 6 3 4 2 4" xfId="38321"/>
    <cellStyle name="Вычисление 6 3 4 3" xfId="15859"/>
    <cellStyle name="Вычисление 6 3 4 3 2" xfId="22963"/>
    <cellStyle name="Вычисление 6 3 4 3 3" xfId="24491"/>
    <cellStyle name="Вычисление 6 3 4 3 4" xfId="29678"/>
    <cellStyle name="Вычисление 6 3 4 3 5" xfId="39553"/>
    <cellStyle name="Вычисление 6 3 4 4" xfId="23443"/>
    <cellStyle name="Вычисление 6 3 4 5" xfId="25602"/>
    <cellStyle name="Вычисление 6 3 4 6" xfId="35477"/>
    <cellStyle name="Вычисление 6 3 5" xfId="12329"/>
    <cellStyle name="Вычисление 6 3 5 2" xfId="17661"/>
    <cellStyle name="Вычисление 6 3 5 2 2" xfId="31471"/>
    <cellStyle name="Вычисление 6 3 5 2 3" xfId="41344"/>
    <cellStyle name="Вычисление 6 3 5 3" xfId="20510"/>
    <cellStyle name="Вычисление 6 3 5 4" xfId="26203"/>
    <cellStyle name="Вычисление 6 3 5 5" xfId="36078"/>
    <cellStyle name="Вычисление 6 3 6" xfId="13353"/>
    <cellStyle name="Вычисление 6 3 6 2" xfId="16154"/>
    <cellStyle name="Вычисление 6 3 6 2 2" xfId="29972"/>
    <cellStyle name="Вычисление 6 3 6 2 3" xfId="39847"/>
    <cellStyle name="Вычисление 6 3 6 3" xfId="18685"/>
    <cellStyle name="Вычисление 6 3 6 3 2" xfId="32495"/>
    <cellStyle name="Вычисление 6 3 6 3 3" xfId="42367"/>
    <cellStyle name="Вычисление 6 3 6 4" xfId="27226"/>
    <cellStyle name="Вычисление 6 3 6 5" xfId="37101"/>
    <cellStyle name="Вычисление 6 3 7" xfId="13203"/>
    <cellStyle name="Вычисление 6 3 7 2" xfId="18535"/>
    <cellStyle name="Вычисление 6 3 7 2 2" xfId="32345"/>
    <cellStyle name="Вычисление 6 3 7 2 3" xfId="42217"/>
    <cellStyle name="Вычисление 6 3 7 3" xfId="27076"/>
    <cellStyle name="Вычисление 6 3 7 4" xfId="36951"/>
    <cellStyle name="Вычисление 6 3 8" xfId="17308"/>
    <cellStyle name="Вычисление 6 3 8 2" xfId="21702"/>
    <cellStyle name="Вычисление 6 3 8 3" xfId="31119"/>
    <cellStyle name="Вычисление 6 3 8 4" xfId="40993"/>
    <cellStyle name="Вычисление 6 3 9" xfId="22035"/>
    <cellStyle name="Вычисление 6 4" xfId="8258"/>
    <cellStyle name="Вычисление 6 5" xfId="8266"/>
    <cellStyle name="Вычисление 6 6" xfId="8267"/>
    <cellStyle name="Вычисление 6 7" xfId="8268"/>
    <cellStyle name="Вычисление 6 8" xfId="8269"/>
    <cellStyle name="Вычисление 6 9" xfId="8270"/>
    <cellStyle name="Вычисление 7" xfId="1396"/>
    <cellStyle name="Вычисление 7 10" xfId="8272"/>
    <cellStyle name="Вычисление 7 11" xfId="8273"/>
    <cellStyle name="Вычисление 7 12" xfId="8274"/>
    <cellStyle name="Вычисление 7 13" xfId="8275"/>
    <cellStyle name="Вычисление 7 14" xfId="8276"/>
    <cellStyle name="Вычисление 7 15" xfId="11887"/>
    <cellStyle name="Вычисление 7 15 10" xfId="25761"/>
    <cellStyle name="Вычисление 7 15 11" xfId="35636"/>
    <cellStyle name="Вычисление 7 15 2" xfId="14785"/>
    <cellStyle name="Вычисление 7 15 2 2" xfId="16999"/>
    <cellStyle name="Вычисление 7 15 2 2 2" xfId="23051"/>
    <cellStyle name="Вычисление 7 15 2 2 3" xfId="30813"/>
    <cellStyle name="Вычисление 7 15 2 2 4" xfId="40688"/>
    <cellStyle name="Вычисление 7 15 2 3" xfId="20068"/>
    <cellStyle name="Вычисление 7 15 2 3 2" xfId="33878"/>
    <cellStyle name="Вычисление 7 15 2 3 3" xfId="43746"/>
    <cellStyle name="Вычисление 7 15 2 4" xfId="28605"/>
    <cellStyle name="Вычисление 7 15 2 5" xfId="38480"/>
    <cellStyle name="Вычисление 7 15 3" xfId="14291"/>
    <cellStyle name="Вычисление 7 15 3 2" xfId="19574"/>
    <cellStyle name="Вычисление 7 15 3 2 2" xfId="33384"/>
    <cellStyle name="Вычисление 7 15 3 2 3" xfId="43253"/>
    <cellStyle name="Вычисление 7 15 3 3" xfId="28112"/>
    <cellStyle name="Вычисление 7 15 3 4" xfId="37987"/>
    <cellStyle name="Вычисление 7 15 4" xfId="20726"/>
    <cellStyle name="Вычисление 7 15 5" xfId="21282"/>
    <cellStyle name="Вычисление 7 15 6" xfId="21738"/>
    <cellStyle name="Вычисление 7 15 7" xfId="22275"/>
    <cellStyle name="Вычисление 7 15 8" xfId="22459"/>
    <cellStyle name="Вычисление 7 15 9" xfId="23947"/>
    <cellStyle name="Вычисление 7 16" xfId="12111"/>
    <cellStyle name="Вычисление 7 16 10" xfId="24187"/>
    <cellStyle name="Вычисление 7 16 11" xfId="25985"/>
    <cellStyle name="Вычисление 7 16 12" xfId="35860"/>
    <cellStyle name="Вычисление 7 16 2" xfId="15009"/>
    <cellStyle name="Вычисление 7 16 2 2" xfId="20292"/>
    <cellStyle name="Вычисление 7 16 2 2 2" xfId="34102"/>
    <cellStyle name="Вычисление 7 16 2 2 3" xfId="43970"/>
    <cellStyle name="Вычисление 7 16 2 3" xfId="23563"/>
    <cellStyle name="Вычисление 7 16 2 4" xfId="28829"/>
    <cellStyle name="Вычисление 7 16 2 5" xfId="38704"/>
    <cellStyle name="Вычисление 7 16 3" xfId="20598"/>
    <cellStyle name="Вычисление 7 16 4" xfId="20934"/>
    <cellStyle name="Вычисление 7 16 5" xfId="21048"/>
    <cellStyle name="Вычисление 7 16 6" xfId="21490"/>
    <cellStyle name="Вычисление 7 16 7" xfId="21874"/>
    <cellStyle name="Вычисление 7 16 8" xfId="22379"/>
    <cellStyle name="Вычисление 7 16 9" xfId="22683"/>
    <cellStyle name="Вычисление 7 17" xfId="12191"/>
    <cellStyle name="Вычисление 7 17 10" xfId="24267"/>
    <cellStyle name="Вычисление 7 17 11" xfId="26065"/>
    <cellStyle name="Вычисление 7 17 12" xfId="35940"/>
    <cellStyle name="Вычисление 7 17 2" xfId="15089"/>
    <cellStyle name="Вычисление 7 17 2 2" xfId="20372"/>
    <cellStyle name="Вычисление 7 17 2 2 2" xfId="34182"/>
    <cellStyle name="Вычисление 7 17 2 2 3" xfId="44050"/>
    <cellStyle name="Вычисление 7 17 2 3" xfId="23643"/>
    <cellStyle name="Вычисление 7 17 2 4" xfId="28909"/>
    <cellStyle name="Вычисление 7 17 2 5" xfId="38784"/>
    <cellStyle name="Вычисление 7 17 3" xfId="20662"/>
    <cellStyle name="Вычисление 7 17 4" xfId="20998"/>
    <cellStyle name="Вычисление 7 17 5" xfId="21096"/>
    <cellStyle name="Вычисление 7 17 6" xfId="21570"/>
    <cellStyle name="Вычисление 7 17 7" xfId="21922"/>
    <cellStyle name="Вычисление 7 17 8" xfId="22411"/>
    <cellStyle name="Вычисление 7 17 9" xfId="22763"/>
    <cellStyle name="Вычисление 7 18" xfId="11729"/>
    <cellStyle name="Вычисление 7 18 2" xfId="14627"/>
    <cellStyle name="Вычисление 7 18 2 2" xfId="19910"/>
    <cellStyle name="Вычисление 7 18 2 2 2" xfId="33720"/>
    <cellStyle name="Вычисление 7 18 2 2 3" xfId="43588"/>
    <cellStyle name="Вычисление 7 18 2 3" xfId="28447"/>
    <cellStyle name="Вычисление 7 18 2 4" xfId="38322"/>
    <cellStyle name="Вычисление 7 18 3" xfId="15860"/>
    <cellStyle name="Вычисление 7 18 3 2" xfId="22816"/>
    <cellStyle name="Вычисление 7 18 3 3" xfId="24492"/>
    <cellStyle name="Вычисление 7 18 3 4" xfId="29679"/>
    <cellStyle name="Вычисление 7 18 3 5" xfId="39554"/>
    <cellStyle name="Вычисление 7 18 4" xfId="23296"/>
    <cellStyle name="Вычисление 7 18 5" xfId="25603"/>
    <cellStyle name="Вычисление 7 18 6" xfId="35478"/>
    <cellStyle name="Вычисление 7 19" xfId="13354"/>
    <cellStyle name="Вычисление 7 19 2" xfId="16155"/>
    <cellStyle name="Вычисление 7 19 2 2" xfId="29973"/>
    <cellStyle name="Вычисление 7 19 2 3" xfId="39848"/>
    <cellStyle name="Вычисление 7 19 3" xfId="18686"/>
    <cellStyle name="Вычисление 7 19 3 2" xfId="32496"/>
    <cellStyle name="Вычисление 7 19 3 3" xfId="42368"/>
    <cellStyle name="Вычисление 7 19 4" xfId="27227"/>
    <cellStyle name="Вычисление 7 19 5" xfId="37102"/>
    <cellStyle name="Вычисление 7 2" xfId="1397"/>
    <cellStyle name="Вычисление 7 2 10" xfId="23826"/>
    <cellStyle name="Вычисление 7 2 11" xfId="24742"/>
    <cellStyle name="Вычисление 7 2 12" xfId="34361"/>
    <cellStyle name="Вычисление 7 2 13" xfId="34526"/>
    <cellStyle name="Вычисление 7 2 2" xfId="8277"/>
    <cellStyle name="Вычисление 7 2 3" xfId="12008"/>
    <cellStyle name="Вычисление 7 2 3 10" xfId="25882"/>
    <cellStyle name="Вычисление 7 2 3 11" xfId="35757"/>
    <cellStyle name="Вычисление 7 2 3 2" xfId="14906"/>
    <cellStyle name="Вычисление 7 2 3 2 2" xfId="17120"/>
    <cellStyle name="Вычисление 7 2 3 2 2 2" xfId="23172"/>
    <cellStyle name="Вычисление 7 2 3 2 2 3" xfId="30934"/>
    <cellStyle name="Вычисление 7 2 3 2 2 4" xfId="40809"/>
    <cellStyle name="Вычисление 7 2 3 2 3" xfId="20189"/>
    <cellStyle name="Вычисление 7 2 3 2 3 2" xfId="33999"/>
    <cellStyle name="Вычисление 7 2 3 2 3 3" xfId="43867"/>
    <cellStyle name="Вычисление 7 2 3 2 4" xfId="28726"/>
    <cellStyle name="Вычисление 7 2 3 2 5" xfId="38601"/>
    <cellStyle name="Вычисление 7 2 3 3" xfId="13023"/>
    <cellStyle name="Вычисление 7 2 3 3 2" xfId="18355"/>
    <cellStyle name="Вычисление 7 2 3 3 2 2" xfId="32165"/>
    <cellStyle name="Вычисление 7 2 3 3 2 3" xfId="42038"/>
    <cellStyle name="Вычисление 7 2 3 3 3" xfId="26897"/>
    <cellStyle name="Вычисление 7 2 3 3 4" xfId="36772"/>
    <cellStyle name="Вычисление 7 2 3 4" xfId="20847"/>
    <cellStyle name="Вычисление 7 2 3 5" xfId="21403"/>
    <cellStyle name="Вычисление 7 2 3 6" xfId="21823"/>
    <cellStyle name="Вычисление 7 2 3 7" xfId="22344"/>
    <cellStyle name="Вычисление 7 2 3 8" xfId="22596"/>
    <cellStyle name="Вычисление 7 2 3 9" xfId="24084"/>
    <cellStyle name="Вычисление 7 2 4" xfId="11730"/>
    <cellStyle name="Вычисление 7 2 4 2" xfId="14628"/>
    <cellStyle name="Вычисление 7 2 4 2 2" xfId="19911"/>
    <cellStyle name="Вычисление 7 2 4 2 2 2" xfId="33721"/>
    <cellStyle name="Вычисление 7 2 4 2 2 3" xfId="43589"/>
    <cellStyle name="Вычисление 7 2 4 2 3" xfId="28448"/>
    <cellStyle name="Вычисление 7 2 4 2 4" xfId="38323"/>
    <cellStyle name="Вычисление 7 2 4 3" xfId="15861"/>
    <cellStyle name="Вычисление 7 2 4 3 2" xfId="22964"/>
    <cellStyle name="Вычисление 7 2 4 3 3" xfId="24493"/>
    <cellStyle name="Вычисление 7 2 4 3 4" xfId="29680"/>
    <cellStyle name="Вычисление 7 2 4 3 5" xfId="39555"/>
    <cellStyle name="Вычисление 7 2 4 4" xfId="23444"/>
    <cellStyle name="Вычисление 7 2 4 5" xfId="25604"/>
    <cellStyle name="Вычисление 7 2 4 6" xfId="35479"/>
    <cellStyle name="Вычисление 7 2 5" xfId="12330"/>
    <cellStyle name="Вычисление 7 2 5 2" xfId="17662"/>
    <cellStyle name="Вычисление 7 2 5 2 2" xfId="31472"/>
    <cellStyle name="Вычисление 7 2 5 2 3" xfId="41345"/>
    <cellStyle name="Вычисление 7 2 5 3" xfId="20511"/>
    <cellStyle name="Вычисление 7 2 5 4" xfId="26204"/>
    <cellStyle name="Вычисление 7 2 5 5" xfId="36079"/>
    <cellStyle name="Вычисление 7 2 6" xfId="13355"/>
    <cellStyle name="Вычисление 7 2 6 2" xfId="16156"/>
    <cellStyle name="Вычисление 7 2 6 2 2" xfId="29974"/>
    <cellStyle name="Вычисление 7 2 6 2 3" xfId="39849"/>
    <cellStyle name="Вычисление 7 2 6 3" xfId="18687"/>
    <cellStyle name="Вычисление 7 2 6 3 2" xfId="32497"/>
    <cellStyle name="Вычисление 7 2 6 3 3" xfId="42369"/>
    <cellStyle name="Вычисление 7 2 6 4" xfId="27228"/>
    <cellStyle name="Вычисление 7 2 6 5" xfId="37103"/>
    <cellStyle name="Вычисление 7 2 7" xfId="13205"/>
    <cellStyle name="Вычисление 7 2 7 2" xfId="18537"/>
    <cellStyle name="Вычисление 7 2 7 2 2" xfId="32347"/>
    <cellStyle name="Вычисление 7 2 7 2 3" xfId="42219"/>
    <cellStyle name="Вычисление 7 2 7 3" xfId="27078"/>
    <cellStyle name="Вычисление 7 2 7 4" xfId="36953"/>
    <cellStyle name="Вычисление 7 2 8" xfId="17310"/>
    <cellStyle name="Вычисление 7 2 8 2" xfId="21703"/>
    <cellStyle name="Вычисление 7 2 8 3" xfId="31121"/>
    <cellStyle name="Вычисление 7 2 8 4" xfId="40995"/>
    <cellStyle name="Вычисление 7 2 9" xfId="22037"/>
    <cellStyle name="Вычисление 7 20" xfId="13204"/>
    <cellStyle name="Вычисление 7 20 2" xfId="18536"/>
    <cellStyle name="Вычисление 7 20 2 2" xfId="32346"/>
    <cellStyle name="Вычисление 7 20 2 3" xfId="42218"/>
    <cellStyle name="Вычисление 7 20 3" xfId="27077"/>
    <cellStyle name="Вычисление 7 20 4" xfId="36952"/>
    <cellStyle name="Вычисление 7 21" xfId="17309"/>
    <cellStyle name="Вычисление 7 21 2" xfId="21149"/>
    <cellStyle name="Вычисление 7 21 3" xfId="31120"/>
    <cellStyle name="Вычисление 7 21 4" xfId="40994"/>
    <cellStyle name="Вычисление 7 22" xfId="21634"/>
    <cellStyle name="Вычисление 7 23" xfId="22036"/>
    <cellStyle name="Вычисление 7 24" xfId="23825"/>
    <cellStyle name="Вычисление 7 25" xfId="24741"/>
    <cellStyle name="Вычисление 7 26" xfId="34360"/>
    <cellStyle name="Вычисление 7 27" xfId="34527"/>
    <cellStyle name="Вычисление 7 3" xfId="1398"/>
    <cellStyle name="Вычисление 7 3 10" xfId="23827"/>
    <cellStyle name="Вычисление 7 3 11" xfId="24743"/>
    <cellStyle name="Вычисление 7 3 12" xfId="34362"/>
    <cellStyle name="Вычисление 7 3 13" xfId="34525"/>
    <cellStyle name="Вычисление 7 3 2" xfId="8278"/>
    <cellStyle name="Вычисление 7 3 3" xfId="12009"/>
    <cellStyle name="Вычисление 7 3 3 10" xfId="25883"/>
    <cellStyle name="Вычисление 7 3 3 11" xfId="35758"/>
    <cellStyle name="Вычисление 7 3 3 2" xfId="14907"/>
    <cellStyle name="Вычисление 7 3 3 2 2" xfId="17121"/>
    <cellStyle name="Вычисление 7 3 3 2 2 2" xfId="23173"/>
    <cellStyle name="Вычисление 7 3 3 2 2 3" xfId="30935"/>
    <cellStyle name="Вычисление 7 3 3 2 2 4" xfId="40810"/>
    <cellStyle name="Вычисление 7 3 3 2 3" xfId="20190"/>
    <cellStyle name="Вычисление 7 3 3 2 3 2" xfId="34000"/>
    <cellStyle name="Вычисление 7 3 3 2 3 3" xfId="43868"/>
    <cellStyle name="Вычисление 7 3 3 2 4" xfId="28727"/>
    <cellStyle name="Вычисление 7 3 3 2 5" xfId="38602"/>
    <cellStyle name="Вычисление 7 3 3 3" xfId="14464"/>
    <cellStyle name="Вычисление 7 3 3 3 2" xfId="19747"/>
    <cellStyle name="Вычисление 7 3 3 3 2 2" xfId="33557"/>
    <cellStyle name="Вычисление 7 3 3 3 2 3" xfId="43425"/>
    <cellStyle name="Вычисление 7 3 3 3 3" xfId="28284"/>
    <cellStyle name="Вычисление 7 3 3 3 4" xfId="38159"/>
    <cellStyle name="Вычисление 7 3 3 4" xfId="20848"/>
    <cellStyle name="Вычисление 7 3 3 5" xfId="21404"/>
    <cellStyle name="Вычисление 7 3 3 6" xfId="21824"/>
    <cellStyle name="Вычисление 7 3 3 7" xfId="22345"/>
    <cellStyle name="Вычисление 7 3 3 8" xfId="22597"/>
    <cellStyle name="Вычисление 7 3 3 9" xfId="24085"/>
    <cellStyle name="Вычисление 7 3 4" xfId="11731"/>
    <cellStyle name="Вычисление 7 3 4 2" xfId="14629"/>
    <cellStyle name="Вычисление 7 3 4 2 2" xfId="19912"/>
    <cellStyle name="Вычисление 7 3 4 2 2 2" xfId="33722"/>
    <cellStyle name="Вычисление 7 3 4 2 2 3" xfId="43590"/>
    <cellStyle name="Вычисление 7 3 4 2 3" xfId="28449"/>
    <cellStyle name="Вычисление 7 3 4 2 4" xfId="38324"/>
    <cellStyle name="Вычисление 7 3 4 3" xfId="15862"/>
    <cellStyle name="Вычисление 7 3 4 3 2" xfId="22965"/>
    <cellStyle name="Вычисление 7 3 4 3 3" xfId="24494"/>
    <cellStyle name="Вычисление 7 3 4 3 4" xfId="29681"/>
    <cellStyle name="Вычисление 7 3 4 3 5" xfId="39556"/>
    <cellStyle name="Вычисление 7 3 4 4" xfId="23445"/>
    <cellStyle name="Вычисление 7 3 4 5" xfId="25605"/>
    <cellStyle name="Вычисление 7 3 4 6" xfId="35480"/>
    <cellStyle name="Вычисление 7 3 5" xfId="12331"/>
    <cellStyle name="Вычисление 7 3 5 2" xfId="17663"/>
    <cellStyle name="Вычисление 7 3 5 2 2" xfId="31473"/>
    <cellStyle name="Вычисление 7 3 5 2 3" xfId="41346"/>
    <cellStyle name="Вычисление 7 3 5 3" xfId="20512"/>
    <cellStyle name="Вычисление 7 3 5 4" xfId="26205"/>
    <cellStyle name="Вычисление 7 3 5 5" xfId="36080"/>
    <cellStyle name="Вычисление 7 3 6" xfId="13356"/>
    <cellStyle name="Вычисление 7 3 6 2" xfId="16157"/>
    <cellStyle name="Вычисление 7 3 6 2 2" xfId="29975"/>
    <cellStyle name="Вычисление 7 3 6 2 3" xfId="39850"/>
    <cellStyle name="Вычисление 7 3 6 3" xfId="18688"/>
    <cellStyle name="Вычисление 7 3 6 3 2" xfId="32498"/>
    <cellStyle name="Вычисление 7 3 6 3 3" xfId="42370"/>
    <cellStyle name="Вычисление 7 3 6 4" xfId="27229"/>
    <cellStyle name="Вычисление 7 3 6 5" xfId="37104"/>
    <cellStyle name="Вычисление 7 3 7" xfId="13206"/>
    <cellStyle name="Вычисление 7 3 7 2" xfId="18538"/>
    <cellStyle name="Вычисление 7 3 7 2 2" xfId="32348"/>
    <cellStyle name="Вычисление 7 3 7 2 3" xfId="42220"/>
    <cellStyle name="Вычисление 7 3 7 3" xfId="27079"/>
    <cellStyle name="Вычисление 7 3 7 4" xfId="36954"/>
    <cellStyle name="Вычисление 7 3 8" xfId="17311"/>
    <cellStyle name="Вычисление 7 3 8 2" xfId="21704"/>
    <cellStyle name="Вычисление 7 3 8 3" xfId="31122"/>
    <cellStyle name="Вычисление 7 3 8 4" xfId="40996"/>
    <cellStyle name="Вычисление 7 3 9" xfId="22038"/>
    <cellStyle name="Вычисление 7 4" xfId="8271"/>
    <cellStyle name="Вычисление 7 5" xfId="8279"/>
    <cellStyle name="Вычисление 7 6" xfId="8280"/>
    <cellStyle name="Вычисление 7 7" xfId="8281"/>
    <cellStyle name="Вычисление 7 8" xfId="8282"/>
    <cellStyle name="Вычисление 7 9" xfId="8283"/>
    <cellStyle name="Вычисление 8" xfId="1399"/>
    <cellStyle name="Вычисление 8 10" xfId="8285"/>
    <cellStyle name="Вычисление 8 11" xfId="8286"/>
    <cellStyle name="Вычисление 8 12" xfId="8287"/>
    <cellStyle name="Вычисление 8 13" xfId="8288"/>
    <cellStyle name="Вычисление 8 14" xfId="8289"/>
    <cellStyle name="Вычисление 8 15" xfId="11888"/>
    <cellStyle name="Вычисление 8 15 10" xfId="25762"/>
    <cellStyle name="Вычисление 8 15 11" xfId="35637"/>
    <cellStyle name="Вычисление 8 15 2" xfId="14786"/>
    <cellStyle name="Вычисление 8 15 2 2" xfId="17000"/>
    <cellStyle name="Вычисление 8 15 2 2 2" xfId="23052"/>
    <cellStyle name="Вычисление 8 15 2 2 3" xfId="30814"/>
    <cellStyle name="Вычисление 8 15 2 2 4" xfId="40689"/>
    <cellStyle name="Вычисление 8 15 2 3" xfId="20069"/>
    <cellStyle name="Вычисление 8 15 2 3 2" xfId="33879"/>
    <cellStyle name="Вычисление 8 15 2 3 3" xfId="43747"/>
    <cellStyle name="Вычисление 8 15 2 4" xfId="28606"/>
    <cellStyle name="Вычисление 8 15 2 5" xfId="38481"/>
    <cellStyle name="Вычисление 8 15 3" xfId="13040"/>
    <cellStyle name="Вычисление 8 15 3 2" xfId="18372"/>
    <cellStyle name="Вычисление 8 15 3 2 2" xfId="32182"/>
    <cellStyle name="Вычисление 8 15 3 2 3" xfId="42055"/>
    <cellStyle name="Вычисление 8 15 3 3" xfId="26914"/>
    <cellStyle name="Вычисление 8 15 3 4" xfId="36789"/>
    <cellStyle name="Вычисление 8 15 4" xfId="20727"/>
    <cellStyle name="Вычисление 8 15 5" xfId="21283"/>
    <cellStyle name="Вычисление 8 15 6" xfId="21739"/>
    <cellStyle name="Вычисление 8 15 7" xfId="22276"/>
    <cellStyle name="Вычисление 8 15 8" xfId="22460"/>
    <cellStyle name="Вычисление 8 15 9" xfId="23948"/>
    <cellStyle name="Вычисление 8 16" xfId="12112"/>
    <cellStyle name="Вычисление 8 16 10" xfId="24188"/>
    <cellStyle name="Вычисление 8 16 11" xfId="25986"/>
    <cellStyle name="Вычисление 8 16 12" xfId="35861"/>
    <cellStyle name="Вычисление 8 16 2" xfId="15010"/>
    <cellStyle name="Вычисление 8 16 2 2" xfId="20293"/>
    <cellStyle name="Вычисление 8 16 2 2 2" xfId="34103"/>
    <cellStyle name="Вычисление 8 16 2 2 3" xfId="43971"/>
    <cellStyle name="Вычисление 8 16 2 3" xfId="23564"/>
    <cellStyle name="Вычисление 8 16 2 4" xfId="28830"/>
    <cellStyle name="Вычисление 8 16 2 5" xfId="38705"/>
    <cellStyle name="Вычисление 8 16 3" xfId="20599"/>
    <cellStyle name="Вычисление 8 16 4" xfId="20935"/>
    <cellStyle name="Вычисление 8 16 5" xfId="21049"/>
    <cellStyle name="Вычисление 8 16 6" xfId="21491"/>
    <cellStyle name="Вычисление 8 16 7" xfId="21875"/>
    <cellStyle name="Вычисление 8 16 8" xfId="22380"/>
    <cellStyle name="Вычисление 8 16 9" xfId="22684"/>
    <cellStyle name="Вычисление 8 17" xfId="12192"/>
    <cellStyle name="Вычисление 8 17 10" xfId="24268"/>
    <cellStyle name="Вычисление 8 17 11" xfId="26066"/>
    <cellStyle name="Вычисление 8 17 12" xfId="35941"/>
    <cellStyle name="Вычисление 8 17 2" xfId="15090"/>
    <cellStyle name="Вычисление 8 17 2 2" xfId="20373"/>
    <cellStyle name="Вычисление 8 17 2 2 2" xfId="34183"/>
    <cellStyle name="Вычисление 8 17 2 2 3" xfId="44051"/>
    <cellStyle name="Вычисление 8 17 2 3" xfId="23644"/>
    <cellStyle name="Вычисление 8 17 2 4" xfId="28910"/>
    <cellStyle name="Вычисление 8 17 2 5" xfId="38785"/>
    <cellStyle name="Вычисление 8 17 3" xfId="20663"/>
    <cellStyle name="Вычисление 8 17 4" xfId="20999"/>
    <cellStyle name="Вычисление 8 17 5" xfId="21097"/>
    <cellStyle name="Вычисление 8 17 6" xfId="21571"/>
    <cellStyle name="Вычисление 8 17 7" xfId="21923"/>
    <cellStyle name="Вычисление 8 17 8" xfId="22412"/>
    <cellStyle name="Вычисление 8 17 9" xfId="22764"/>
    <cellStyle name="Вычисление 8 18" xfId="11732"/>
    <cellStyle name="Вычисление 8 18 2" xfId="14630"/>
    <cellStyle name="Вычисление 8 18 2 2" xfId="19913"/>
    <cellStyle name="Вычисление 8 18 2 2 2" xfId="33723"/>
    <cellStyle name="Вычисление 8 18 2 2 3" xfId="43591"/>
    <cellStyle name="Вычисление 8 18 2 3" xfId="28450"/>
    <cellStyle name="Вычисление 8 18 2 4" xfId="38325"/>
    <cellStyle name="Вычисление 8 18 3" xfId="15863"/>
    <cellStyle name="Вычисление 8 18 3 2" xfId="22815"/>
    <cellStyle name="Вычисление 8 18 3 3" xfId="24495"/>
    <cellStyle name="Вычисление 8 18 3 4" xfId="29682"/>
    <cellStyle name="Вычисление 8 18 3 5" xfId="39557"/>
    <cellStyle name="Вычисление 8 18 4" xfId="23295"/>
    <cellStyle name="Вычисление 8 18 5" xfId="25606"/>
    <cellStyle name="Вычисление 8 18 6" xfId="35481"/>
    <cellStyle name="Вычисление 8 19" xfId="13357"/>
    <cellStyle name="Вычисление 8 19 2" xfId="16158"/>
    <cellStyle name="Вычисление 8 19 2 2" xfId="29976"/>
    <cellStyle name="Вычисление 8 19 2 3" xfId="39851"/>
    <cellStyle name="Вычисление 8 19 3" xfId="18689"/>
    <cellStyle name="Вычисление 8 19 3 2" xfId="32499"/>
    <cellStyle name="Вычисление 8 19 3 3" xfId="42371"/>
    <cellStyle name="Вычисление 8 19 4" xfId="27230"/>
    <cellStyle name="Вычисление 8 19 5" xfId="37105"/>
    <cellStyle name="Вычисление 8 2" xfId="1400"/>
    <cellStyle name="Вычисление 8 2 10" xfId="23829"/>
    <cellStyle name="Вычисление 8 2 11" xfId="24745"/>
    <cellStyle name="Вычисление 8 2 12" xfId="34364"/>
    <cellStyle name="Вычисление 8 2 13" xfId="34523"/>
    <cellStyle name="Вычисление 8 2 2" xfId="8290"/>
    <cellStyle name="Вычисление 8 2 3" xfId="12010"/>
    <cellStyle name="Вычисление 8 2 3 10" xfId="25884"/>
    <cellStyle name="Вычисление 8 2 3 11" xfId="35759"/>
    <cellStyle name="Вычисление 8 2 3 2" xfId="14908"/>
    <cellStyle name="Вычисление 8 2 3 2 2" xfId="17122"/>
    <cellStyle name="Вычисление 8 2 3 2 2 2" xfId="23174"/>
    <cellStyle name="Вычисление 8 2 3 2 2 3" xfId="30936"/>
    <cellStyle name="Вычисление 8 2 3 2 2 4" xfId="40811"/>
    <cellStyle name="Вычисление 8 2 3 2 3" xfId="20191"/>
    <cellStyle name="Вычисление 8 2 3 2 3 2" xfId="34001"/>
    <cellStyle name="Вычисление 8 2 3 2 3 3" xfId="43869"/>
    <cellStyle name="Вычисление 8 2 3 2 4" xfId="28728"/>
    <cellStyle name="Вычисление 8 2 3 2 5" xfId="38603"/>
    <cellStyle name="Вычисление 8 2 3 3" xfId="14369"/>
    <cellStyle name="Вычисление 8 2 3 3 2" xfId="19652"/>
    <cellStyle name="Вычисление 8 2 3 3 2 2" xfId="33462"/>
    <cellStyle name="Вычисление 8 2 3 3 2 3" xfId="43331"/>
    <cellStyle name="Вычисление 8 2 3 3 3" xfId="28190"/>
    <cellStyle name="Вычисление 8 2 3 3 4" xfId="38065"/>
    <cellStyle name="Вычисление 8 2 3 4" xfId="20849"/>
    <cellStyle name="Вычисление 8 2 3 5" xfId="21405"/>
    <cellStyle name="Вычисление 8 2 3 6" xfId="21825"/>
    <cellStyle name="Вычисление 8 2 3 7" xfId="22346"/>
    <cellStyle name="Вычисление 8 2 3 8" xfId="22598"/>
    <cellStyle name="Вычисление 8 2 3 9" xfId="24086"/>
    <cellStyle name="Вычисление 8 2 4" xfId="11733"/>
    <cellStyle name="Вычисление 8 2 4 2" xfId="14631"/>
    <cellStyle name="Вычисление 8 2 4 2 2" xfId="19914"/>
    <cellStyle name="Вычисление 8 2 4 2 2 2" xfId="33724"/>
    <cellStyle name="Вычисление 8 2 4 2 2 3" xfId="43592"/>
    <cellStyle name="Вычисление 8 2 4 2 3" xfId="28451"/>
    <cellStyle name="Вычисление 8 2 4 2 4" xfId="38326"/>
    <cellStyle name="Вычисление 8 2 4 3" xfId="15864"/>
    <cellStyle name="Вычисление 8 2 4 3 2" xfId="22966"/>
    <cellStyle name="Вычисление 8 2 4 3 3" xfId="24496"/>
    <cellStyle name="Вычисление 8 2 4 3 4" xfId="29683"/>
    <cellStyle name="Вычисление 8 2 4 3 5" xfId="39558"/>
    <cellStyle name="Вычисление 8 2 4 4" xfId="23446"/>
    <cellStyle name="Вычисление 8 2 4 5" xfId="25607"/>
    <cellStyle name="Вычисление 8 2 4 6" xfId="35482"/>
    <cellStyle name="Вычисление 8 2 5" xfId="12332"/>
    <cellStyle name="Вычисление 8 2 5 2" xfId="17664"/>
    <cellStyle name="Вычисление 8 2 5 2 2" xfId="31474"/>
    <cellStyle name="Вычисление 8 2 5 2 3" xfId="41347"/>
    <cellStyle name="Вычисление 8 2 5 3" xfId="20513"/>
    <cellStyle name="Вычисление 8 2 5 4" xfId="26206"/>
    <cellStyle name="Вычисление 8 2 5 5" xfId="36081"/>
    <cellStyle name="Вычисление 8 2 6" xfId="13358"/>
    <cellStyle name="Вычисление 8 2 6 2" xfId="16159"/>
    <cellStyle name="Вычисление 8 2 6 2 2" xfId="29977"/>
    <cellStyle name="Вычисление 8 2 6 2 3" xfId="39852"/>
    <cellStyle name="Вычисление 8 2 6 3" xfId="18690"/>
    <cellStyle name="Вычисление 8 2 6 3 2" xfId="32500"/>
    <cellStyle name="Вычисление 8 2 6 3 3" xfId="42372"/>
    <cellStyle name="Вычисление 8 2 6 4" xfId="27231"/>
    <cellStyle name="Вычисление 8 2 6 5" xfId="37106"/>
    <cellStyle name="Вычисление 8 2 7" xfId="13208"/>
    <cellStyle name="Вычисление 8 2 7 2" xfId="18540"/>
    <cellStyle name="Вычисление 8 2 7 2 2" xfId="32350"/>
    <cellStyle name="Вычисление 8 2 7 2 3" xfId="42222"/>
    <cellStyle name="Вычисление 8 2 7 3" xfId="27081"/>
    <cellStyle name="Вычисление 8 2 7 4" xfId="36956"/>
    <cellStyle name="Вычисление 8 2 8" xfId="17313"/>
    <cellStyle name="Вычисление 8 2 8 2" xfId="21705"/>
    <cellStyle name="Вычисление 8 2 8 3" xfId="31124"/>
    <cellStyle name="Вычисление 8 2 8 4" xfId="40998"/>
    <cellStyle name="Вычисление 8 2 9" xfId="22040"/>
    <cellStyle name="Вычисление 8 20" xfId="13207"/>
    <cellStyle name="Вычисление 8 20 2" xfId="18539"/>
    <cellStyle name="Вычисление 8 20 2 2" xfId="32349"/>
    <cellStyle name="Вычисление 8 20 2 3" xfId="42221"/>
    <cellStyle name="Вычисление 8 20 3" xfId="27080"/>
    <cellStyle name="Вычисление 8 20 4" xfId="36955"/>
    <cellStyle name="Вычисление 8 21" xfId="17312"/>
    <cellStyle name="Вычисление 8 21 2" xfId="21148"/>
    <cellStyle name="Вычисление 8 21 3" xfId="31123"/>
    <cellStyle name="Вычисление 8 21 4" xfId="40997"/>
    <cellStyle name="Вычисление 8 22" xfId="21635"/>
    <cellStyle name="Вычисление 8 23" xfId="22039"/>
    <cellStyle name="Вычисление 8 24" xfId="23828"/>
    <cellStyle name="Вычисление 8 25" xfId="24744"/>
    <cellStyle name="Вычисление 8 26" xfId="34363"/>
    <cellStyle name="Вычисление 8 27" xfId="34524"/>
    <cellStyle name="Вычисление 8 3" xfId="1401"/>
    <cellStyle name="Вычисление 8 3 10" xfId="23830"/>
    <cellStyle name="Вычисление 8 3 11" xfId="24746"/>
    <cellStyle name="Вычисление 8 3 12" xfId="34365"/>
    <cellStyle name="Вычисление 8 3 13" xfId="34522"/>
    <cellStyle name="Вычисление 8 3 2" xfId="8291"/>
    <cellStyle name="Вычисление 8 3 3" xfId="12011"/>
    <cellStyle name="Вычисление 8 3 3 10" xfId="25885"/>
    <cellStyle name="Вычисление 8 3 3 11" xfId="35760"/>
    <cellStyle name="Вычисление 8 3 3 2" xfId="14909"/>
    <cellStyle name="Вычисление 8 3 3 2 2" xfId="17123"/>
    <cellStyle name="Вычисление 8 3 3 2 2 2" xfId="23175"/>
    <cellStyle name="Вычисление 8 3 3 2 2 3" xfId="30937"/>
    <cellStyle name="Вычисление 8 3 3 2 2 4" xfId="40812"/>
    <cellStyle name="Вычисление 8 3 3 2 3" xfId="20192"/>
    <cellStyle name="Вычисление 8 3 3 2 3 2" xfId="34002"/>
    <cellStyle name="Вычисление 8 3 3 2 3 3" xfId="43870"/>
    <cellStyle name="Вычисление 8 3 3 2 4" xfId="28729"/>
    <cellStyle name="Вычисление 8 3 3 2 5" xfId="38604"/>
    <cellStyle name="Вычисление 8 3 3 3" xfId="13022"/>
    <cellStyle name="Вычисление 8 3 3 3 2" xfId="18354"/>
    <cellStyle name="Вычисление 8 3 3 3 2 2" xfId="32164"/>
    <cellStyle name="Вычисление 8 3 3 3 2 3" xfId="42037"/>
    <cellStyle name="Вычисление 8 3 3 3 3" xfId="26896"/>
    <cellStyle name="Вычисление 8 3 3 3 4" xfId="36771"/>
    <cellStyle name="Вычисление 8 3 3 4" xfId="20850"/>
    <cellStyle name="Вычисление 8 3 3 5" xfId="21406"/>
    <cellStyle name="Вычисление 8 3 3 6" xfId="21826"/>
    <cellStyle name="Вычисление 8 3 3 7" xfId="22347"/>
    <cellStyle name="Вычисление 8 3 3 8" xfId="22599"/>
    <cellStyle name="Вычисление 8 3 3 9" xfId="24087"/>
    <cellStyle name="Вычисление 8 3 4" xfId="11734"/>
    <cellStyle name="Вычисление 8 3 4 2" xfId="14632"/>
    <cellStyle name="Вычисление 8 3 4 2 2" xfId="19915"/>
    <cellStyle name="Вычисление 8 3 4 2 2 2" xfId="33725"/>
    <cellStyle name="Вычисление 8 3 4 2 2 3" xfId="43593"/>
    <cellStyle name="Вычисление 8 3 4 2 3" xfId="28452"/>
    <cellStyle name="Вычисление 8 3 4 2 4" xfId="38327"/>
    <cellStyle name="Вычисление 8 3 4 3" xfId="15865"/>
    <cellStyle name="Вычисление 8 3 4 3 2" xfId="22967"/>
    <cellStyle name="Вычисление 8 3 4 3 3" xfId="24497"/>
    <cellStyle name="Вычисление 8 3 4 3 4" xfId="29684"/>
    <cellStyle name="Вычисление 8 3 4 3 5" xfId="39559"/>
    <cellStyle name="Вычисление 8 3 4 4" xfId="23447"/>
    <cellStyle name="Вычисление 8 3 4 5" xfId="25608"/>
    <cellStyle name="Вычисление 8 3 4 6" xfId="35483"/>
    <cellStyle name="Вычисление 8 3 5" xfId="12333"/>
    <cellStyle name="Вычисление 8 3 5 2" xfId="17665"/>
    <cellStyle name="Вычисление 8 3 5 2 2" xfId="31475"/>
    <cellStyle name="Вычисление 8 3 5 2 3" xfId="41348"/>
    <cellStyle name="Вычисление 8 3 5 3" xfId="20514"/>
    <cellStyle name="Вычисление 8 3 5 4" xfId="26207"/>
    <cellStyle name="Вычисление 8 3 5 5" xfId="36082"/>
    <cellStyle name="Вычисление 8 3 6" xfId="13359"/>
    <cellStyle name="Вычисление 8 3 6 2" xfId="16160"/>
    <cellStyle name="Вычисление 8 3 6 2 2" xfId="29978"/>
    <cellStyle name="Вычисление 8 3 6 2 3" xfId="39853"/>
    <cellStyle name="Вычисление 8 3 6 3" xfId="18691"/>
    <cellStyle name="Вычисление 8 3 6 3 2" xfId="32501"/>
    <cellStyle name="Вычисление 8 3 6 3 3" xfId="42373"/>
    <cellStyle name="Вычисление 8 3 6 4" xfId="27232"/>
    <cellStyle name="Вычисление 8 3 6 5" xfId="37107"/>
    <cellStyle name="Вычисление 8 3 7" xfId="13209"/>
    <cellStyle name="Вычисление 8 3 7 2" xfId="18541"/>
    <cellStyle name="Вычисление 8 3 7 2 2" xfId="32351"/>
    <cellStyle name="Вычисление 8 3 7 2 3" xfId="42223"/>
    <cellStyle name="Вычисление 8 3 7 3" xfId="27082"/>
    <cellStyle name="Вычисление 8 3 7 4" xfId="36957"/>
    <cellStyle name="Вычисление 8 3 8" xfId="17314"/>
    <cellStyle name="Вычисление 8 3 8 2" xfId="21706"/>
    <cellStyle name="Вычисление 8 3 8 3" xfId="31125"/>
    <cellStyle name="Вычисление 8 3 8 4" xfId="40999"/>
    <cellStyle name="Вычисление 8 3 9" xfId="22041"/>
    <cellStyle name="Вычисление 8 4" xfId="8284"/>
    <cellStyle name="Вычисление 8 5" xfId="8292"/>
    <cellStyle name="Вычисление 8 6" xfId="8293"/>
    <cellStyle name="Вычисление 8 7" xfId="8294"/>
    <cellStyle name="Вычисление 8 8" xfId="8295"/>
    <cellStyle name="Вычисление 8 9" xfId="8296"/>
    <cellStyle name="Вычисление 9" xfId="1402"/>
    <cellStyle name="Вычисление 9 10" xfId="8298"/>
    <cellStyle name="Вычисление 9 11" xfId="8299"/>
    <cellStyle name="Вычисление 9 12" xfId="8300"/>
    <cellStyle name="Вычисление 9 13" xfId="8301"/>
    <cellStyle name="Вычисление 9 14" xfId="8302"/>
    <cellStyle name="Вычисление 9 15" xfId="11889"/>
    <cellStyle name="Вычисление 9 15 10" xfId="25763"/>
    <cellStyle name="Вычисление 9 15 11" xfId="35638"/>
    <cellStyle name="Вычисление 9 15 2" xfId="14787"/>
    <cellStyle name="Вычисление 9 15 2 2" xfId="17001"/>
    <cellStyle name="Вычисление 9 15 2 2 2" xfId="23053"/>
    <cellStyle name="Вычисление 9 15 2 2 3" xfId="30815"/>
    <cellStyle name="Вычисление 9 15 2 2 4" xfId="40690"/>
    <cellStyle name="Вычисление 9 15 2 3" xfId="20070"/>
    <cellStyle name="Вычисление 9 15 2 3 2" xfId="33880"/>
    <cellStyle name="Вычисление 9 15 2 3 3" xfId="43748"/>
    <cellStyle name="Вычисление 9 15 2 4" xfId="28607"/>
    <cellStyle name="Вычисление 9 15 2 5" xfId="38482"/>
    <cellStyle name="Вычисление 9 15 3" xfId="14292"/>
    <cellStyle name="Вычисление 9 15 3 2" xfId="19575"/>
    <cellStyle name="Вычисление 9 15 3 2 2" xfId="33385"/>
    <cellStyle name="Вычисление 9 15 3 2 3" xfId="43254"/>
    <cellStyle name="Вычисление 9 15 3 3" xfId="28113"/>
    <cellStyle name="Вычисление 9 15 3 4" xfId="37988"/>
    <cellStyle name="Вычисление 9 15 4" xfId="20728"/>
    <cellStyle name="Вычисление 9 15 5" xfId="21284"/>
    <cellStyle name="Вычисление 9 15 6" xfId="21740"/>
    <cellStyle name="Вычисление 9 15 7" xfId="22277"/>
    <cellStyle name="Вычисление 9 15 8" xfId="22461"/>
    <cellStyle name="Вычисление 9 15 9" xfId="23949"/>
    <cellStyle name="Вычисление 9 16" xfId="12113"/>
    <cellStyle name="Вычисление 9 16 10" xfId="24189"/>
    <cellStyle name="Вычисление 9 16 11" xfId="25987"/>
    <cellStyle name="Вычисление 9 16 12" xfId="35862"/>
    <cellStyle name="Вычисление 9 16 2" xfId="15011"/>
    <cellStyle name="Вычисление 9 16 2 2" xfId="20294"/>
    <cellStyle name="Вычисление 9 16 2 2 2" xfId="34104"/>
    <cellStyle name="Вычисление 9 16 2 2 3" xfId="43972"/>
    <cellStyle name="Вычисление 9 16 2 3" xfId="23565"/>
    <cellStyle name="Вычисление 9 16 2 4" xfId="28831"/>
    <cellStyle name="Вычисление 9 16 2 5" xfId="38706"/>
    <cellStyle name="Вычисление 9 16 3" xfId="20600"/>
    <cellStyle name="Вычисление 9 16 4" xfId="20936"/>
    <cellStyle name="Вычисление 9 16 5" xfId="21050"/>
    <cellStyle name="Вычисление 9 16 6" xfId="21492"/>
    <cellStyle name="Вычисление 9 16 7" xfId="21876"/>
    <cellStyle name="Вычисление 9 16 8" xfId="22381"/>
    <cellStyle name="Вычисление 9 16 9" xfId="22685"/>
    <cellStyle name="Вычисление 9 17" xfId="12193"/>
    <cellStyle name="Вычисление 9 17 10" xfId="24269"/>
    <cellStyle name="Вычисление 9 17 11" xfId="26067"/>
    <cellStyle name="Вычисление 9 17 12" xfId="35942"/>
    <cellStyle name="Вычисление 9 17 2" xfId="15091"/>
    <cellStyle name="Вычисление 9 17 2 2" xfId="20374"/>
    <cellStyle name="Вычисление 9 17 2 2 2" xfId="34184"/>
    <cellStyle name="Вычисление 9 17 2 2 3" xfId="44052"/>
    <cellStyle name="Вычисление 9 17 2 3" xfId="23645"/>
    <cellStyle name="Вычисление 9 17 2 4" xfId="28911"/>
    <cellStyle name="Вычисление 9 17 2 5" xfId="38786"/>
    <cellStyle name="Вычисление 9 17 3" xfId="20664"/>
    <cellStyle name="Вычисление 9 17 4" xfId="21000"/>
    <cellStyle name="Вычисление 9 17 5" xfId="21098"/>
    <cellStyle name="Вычисление 9 17 6" xfId="21572"/>
    <cellStyle name="Вычисление 9 17 7" xfId="21924"/>
    <cellStyle name="Вычисление 9 17 8" xfId="22413"/>
    <cellStyle name="Вычисление 9 17 9" xfId="22765"/>
    <cellStyle name="Вычисление 9 18" xfId="11735"/>
    <cellStyle name="Вычисление 9 18 2" xfId="14633"/>
    <cellStyle name="Вычисление 9 18 2 2" xfId="19916"/>
    <cellStyle name="Вычисление 9 18 2 2 2" xfId="33726"/>
    <cellStyle name="Вычисление 9 18 2 2 3" xfId="43594"/>
    <cellStyle name="Вычисление 9 18 2 3" xfId="28453"/>
    <cellStyle name="Вычисление 9 18 2 4" xfId="38328"/>
    <cellStyle name="Вычисление 9 18 3" xfId="15866"/>
    <cellStyle name="Вычисление 9 18 3 2" xfId="22814"/>
    <cellStyle name="Вычисление 9 18 3 3" xfId="24498"/>
    <cellStyle name="Вычисление 9 18 3 4" xfId="29685"/>
    <cellStyle name="Вычисление 9 18 3 5" xfId="39560"/>
    <cellStyle name="Вычисление 9 18 4" xfId="23294"/>
    <cellStyle name="Вычисление 9 18 5" xfId="25609"/>
    <cellStyle name="Вычисление 9 18 6" xfId="35484"/>
    <cellStyle name="Вычисление 9 19" xfId="13360"/>
    <cellStyle name="Вычисление 9 19 2" xfId="16161"/>
    <cellStyle name="Вычисление 9 19 2 2" xfId="29979"/>
    <cellStyle name="Вычисление 9 19 2 3" xfId="39854"/>
    <cellStyle name="Вычисление 9 19 3" xfId="18692"/>
    <cellStyle name="Вычисление 9 19 3 2" xfId="32502"/>
    <cellStyle name="Вычисление 9 19 3 3" xfId="42374"/>
    <cellStyle name="Вычисление 9 19 4" xfId="27233"/>
    <cellStyle name="Вычисление 9 19 5" xfId="37108"/>
    <cellStyle name="Вычисление 9 2" xfId="1403"/>
    <cellStyle name="Вычисление 9 2 10" xfId="23832"/>
    <cellStyle name="Вычисление 9 2 11" xfId="24748"/>
    <cellStyle name="Вычисление 9 2 12" xfId="34367"/>
    <cellStyle name="Вычисление 9 2 13" xfId="34520"/>
    <cellStyle name="Вычисление 9 2 2" xfId="8303"/>
    <cellStyle name="Вычисление 9 2 3" xfId="12012"/>
    <cellStyle name="Вычисление 9 2 3 10" xfId="25886"/>
    <cellStyle name="Вычисление 9 2 3 11" xfId="35761"/>
    <cellStyle name="Вычисление 9 2 3 2" xfId="14910"/>
    <cellStyle name="Вычисление 9 2 3 2 2" xfId="17124"/>
    <cellStyle name="Вычисление 9 2 3 2 2 2" xfId="23176"/>
    <cellStyle name="Вычисление 9 2 3 2 2 3" xfId="30938"/>
    <cellStyle name="Вычисление 9 2 3 2 2 4" xfId="40813"/>
    <cellStyle name="Вычисление 9 2 3 2 3" xfId="20193"/>
    <cellStyle name="Вычисление 9 2 3 2 3 2" xfId="34003"/>
    <cellStyle name="Вычисление 9 2 3 2 3 3" xfId="43871"/>
    <cellStyle name="Вычисление 9 2 3 2 4" xfId="28730"/>
    <cellStyle name="Вычисление 9 2 3 2 5" xfId="38605"/>
    <cellStyle name="Вычисление 9 2 3 3" xfId="14370"/>
    <cellStyle name="Вычисление 9 2 3 3 2" xfId="19653"/>
    <cellStyle name="Вычисление 9 2 3 3 2 2" xfId="33463"/>
    <cellStyle name="Вычисление 9 2 3 3 2 3" xfId="43332"/>
    <cellStyle name="Вычисление 9 2 3 3 3" xfId="28191"/>
    <cellStyle name="Вычисление 9 2 3 3 4" xfId="38066"/>
    <cellStyle name="Вычисление 9 2 3 4" xfId="20851"/>
    <cellStyle name="Вычисление 9 2 3 5" xfId="21407"/>
    <cellStyle name="Вычисление 9 2 3 6" xfId="21827"/>
    <cellStyle name="Вычисление 9 2 3 7" xfId="22348"/>
    <cellStyle name="Вычисление 9 2 3 8" xfId="22600"/>
    <cellStyle name="Вычисление 9 2 3 9" xfId="24088"/>
    <cellStyle name="Вычисление 9 2 4" xfId="11736"/>
    <cellStyle name="Вычисление 9 2 4 2" xfId="14634"/>
    <cellStyle name="Вычисление 9 2 4 2 2" xfId="19917"/>
    <cellStyle name="Вычисление 9 2 4 2 2 2" xfId="33727"/>
    <cellStyle name="Вычисление 9 2 4 2 2 3" xfId="43595"/>
    <cellStyle name="Вычисление 9 2 4 2 3" xfId="28454"/>
    <cellStyle name="Вычисление 9 2 4 2 4" xfId="38329"/>
    <cellStyle name="Вычисление 9 2 4 3" xfId="15867"/>
    <cellStyle name="Вычисление 9 2 4 3 2" xfId="22968"/>
    <cellStyle name="Вычисление 9 2 4 3 3" xfId="24499"/>
    <cellStyle name="Вычисление 9 2 4 3 4" xfId="29686"/>
    <cellStyle name="Вычисление 9 2 4 3 5" xfId="39561"/>
    <cellStyle name="Вычисление 9 2 4 4" xfId="23448"/>
    <cellStyle name="Вычисление 9 2 4 5" xfId="25610"/>
    <cellStyle name="Вычисление 9 2 4 6" xfId="35485"/>
    <cellStyle name="Вычисление 9 2 5" xfId="12334"/>
    <cellStyle name="Вычисление 9 2 5 2" xfId="17666"/>
    <cellStyle name="Вычисление 9 2 5 2 2" xfId="31476"/>
    <cellStyle name="Вычисление 9 2 5 2 3" xfId="41349"/>
    <cellStyle name="Вычисление 9 2 5 3" xfId="20515"/>
    <cellStyle name="Вычисление 9 2 5 4" xfId="26208"/>
    <cellStyle name="Вычисление 9 2 5 5" xfId="36083"/>
    <cellStyle name="Вычисление 9 2 6" xfId="13361"/>
    <cellStyle name="Вычисление 9 2 6 2" xfId="16162"/>
    <cellStyle name="Вычисление 9 2 6 2 2" xfId="29980"/>
    <cellStyle name="Вычисление 9 2 6 2 3" xfId="39855"/>
    <cellStyle name="Вычисление 9 2 6 3" xfId="18693"/>
    <cellStyle name="Вычисление 9 2 6 3 2" xfId="32503"/>
    <cellStyle name="Вычисление 9 2 6 3 3" xfId="42375"/>
    <cellStyle name="Вычисление 9 2 6 4" xfId="27234"/>
    <cellStyle name="Вычисление 9 2 6 5" xfId="37109"/>
    <cellStyle name="Вычисление 9 2 7" xfId="13211"/>
    <cellStyle name="Вычисление 9 2 7 2" xfId="18543"/>
    <cellStyle name="Вычисление 9 2 7 2 2" xfId="32353"/>
    <cellStyle name="Вычисление 9 2 7 2 3" xfId="42225"/>
    <cellStyle name="Вычисление 9 2 7 3" xfId="27084"/>
    <cellStyle name="Вычисление 9 2 7 4" xfId="36959"/>
    <cellStyle name="Вычисление 9 2 8" xfId="17316"/>
    <cellStyle name="Вычисление 9 2 8 2" xfId="21707"/>
    <cellStyle name="Вычисление 9 2 8 3" xfId="31127"/>
    <cellStyle name="Вычисление 9 2 8 4" xfId="41001"/>
    <cellStyle name="Вычисление 9 2 9" xfId="22043"/>
    <cellStyle name="Вычисление 9 20" xfId="13210"/>
    <cellStyle name="Вычисление 9 20 2" xfId="18542"/>
    <cellStyle name="Вычисление 9 20 2 2" xfId="32352"/>
    <cellStyle name="Вычисление 9 20 2 3" xfId="42224"/>
    <cellStyle name="Вычисление 9 20 3" xfId="27083"/>
    <cellStyle name="Вычисление 9 20 4" xfId="36958"/>
    <cellStyle name="Вычисление 9 21" xfId="17315"/>
    <cellStyle name="Вычисление 9 21 2" xfId="21147"/>
    <cellStyle name="Вычисление 9 21 3" xfId="31126"/>
    <cellStyle name="Вычисление 9 21 4" xfId="41000"/>
    <cellStyle name="Вычисление 9 22" xfId="21636"/>
    <cellStyle name="Вычисление 9 23" xfId="22042"/>
    <cellStyle name="Вычисление 9 24" xfId="23831"/>
    <cellStyle name="Вычисление 9 25" xfId="24747"/>
    <cellStyle name="Вычисление 9 26" xfId="34366"/>
    <cellStyle name="Вычисление 9 27" xfId="34521"/>
    <cellStyle name="Вычисление 9 3" xfId="1404"/>
    <cellStyle name="Вычисление 9 3 10" xfId="23833"/>
    <cellStyle name="Вычисление 9 3 11" xfId="24749"/>
    <cellStyle name="Вычисление 9 3 12" xfId="34368"/>
    <cellStyle name="Вычисление 9 3 13" xfId="34519"/>
    <cellStyle name="Вычисление 9 3 2" xfId="8304"/>
    <cellStyle name="Вычисление 9 3 3" xfId="12013"/>
    <cellStyle name="Вычисление 9 3 3 10" xfId="25887"/>
    <cellStyle name="Вычисление 9 3 3 11" xfId="35762"/>
    <cellStyle name="Вычисление 9 3 3 2" xfId="14911"/>
    <cellStyle name="Вычисление 9 3 3 2 2" xfId="17125"/>
    <cellStyle name="Вычисление 9 3 3 2 2 2" xfId="23177"/>
    <cellStyle name="Вычисление 9 3 3 2 2 3" xfId="30939"/>
    <cellStyle name="Вычисление 9 3 3 2 2 4" xfId="40814"/>
    <cellStyle name="Вычисление 9 3 3 2 3" xfId="20194"/>
    <cellStyle name="Вычисление 9 3 3 2 3 2" xfId="34004"/>
    <cellStyle name="Вычисление 9 3 3 2 3 3" xfId="43872"/>
    <cellStyle name="Вычисление 9 3 3 2 4" xfId="28731"/>
    <cellStyle name="Вычисление 9 3 3 2 5" xfId="38606"/>
    <cellStyle name="Вычисление 9 3 3 3" xfId="14363"/>
    <cellStyle name="Вычисление 9 3 3 3 2" xfId="19646"/>
    <cellStyle name="Вычисление 9 3 3 3 2 2" xfId="33456"/>
    <cellStyle name="Вычисление 9 3 3 3 2 3" xfId="43325"/>
    <cellStyle name="Вычисление 9 3 3 3 3" xfId="28184"/>
    <cellStyle name="Вычисление 9 3 3 3 4" xfId="38059"/>
    <cellStyle name="Вычисление 9 3 3 4" xfId="20852"/>
    <cellStyle name="Вычисление 9 3 3 5" xfId="21408"/>
    <cellStyle name="Вычисление 9 3 3 6" xfId="21828"/>
    <cellStyle name="Вычисление 9 3 3 7" xfId="22349"/>
    <cellStyle name="Вычисление 9 3 3 8" xfId="22601"/>
    <cellStyle name="Вычисление 9 3 3 9" xfId="24089"/>
    <cellStyle name="Вычисление 9 3 4" xfId="11737"/>
    <cellStyle name="Вычисление 9 3 4 2" xfId="14635"/>
    <cellStyle name="Вычисление 9 3 4 2 2" xfId="19918"/>
    <cellStyle name="Вычисление 9 3 4 2 2 2" xfId="33728"/>
    <cellStyle name="Вычисление 9 3 4 2 2 3" xfId="43596"/>
    <cellStyle name="Вычисление 9 3 4 2 3" xfId="28455"/>
    <cellStyle name="Вычисление 9 3 4 2 4" xfId="38330"/>
    <cellStyle name="Вычисление 9 3 4 3" xfId="15868"/>
    <cellStyle name="Вычисление 9 3 4 3 2" xfId="22969"/>
    <cellStyle name="Вычисление 9 3 4 3 3" xfId="24500"/>
    <cellStyle name="Вычисление 9 3 4 3 4" xfId="29687"/>
    <cellStyle name="Вычисление 9 3 4 3 5" xfId="39562"/>
    <cellStyle name="Вычисление 9 3 4 4" xfId="23449"/>
    <cellStyle name="Вычисление 9 3 4 5" xfId="25611"/>
    <cellStyle name="Вычисление 9 3 4 6" xfId="35486"/>
    <cellStyle name="Вычисление 9 3 5" xfId="12335"/>
    <cellStyle name="Вычисление 9 3 5 2" xfId="17667"/>
    <cellStyle name="Вычисление 9 3 5 2 2" xfId="31477"/>
    <cellStyle name="Вычисление 9 3 5 2 3" xfId="41350"/>
    <cellStyle name="Вычисление 9 3 5 3" xfId="20516"/>
    <cellStyle name="Вычисление 9 3 5 4" xfId="26209"/>
    <cellStyle name="Вычисление 9 3 5 5" xfId="36084"/>
    <cellStyle name="Вычисление 9 3 6" xfId="13362"/>
    <cellStyle name="Вычисление 9 3 6 2" xfId="16163"/>
    <cellStyle name="Вычисление 9 3 6 2 2" xfId="29981"/>
    <cellStyle name="Вычисление 9 3 6 2 3" xfId="39856"/>
    <cellStyle name="Вычисление 9 3 6 3" xfId="18694"/>
    <cellStyle name="Вычисление 9 3 6 3 2" xfId="32504"/>
    <cellStyle name="Вычисление 9 3 6 3 3" xfId="42376"/>
    <cellStyle name="Вычисление 9 3 6 4" xfId="27235"/>
    <cellStyle name="Вычисление 9 3 6 5" xfId="37110"/>
    <cellStyle name="Вычисление 9 3 7" xfId="13212"/>
    <cellStyle name="Вычисление 9 3 7 2" xfId="18544"/>
    <cellStyle name="Вычисление 9 3 7 2 2" xfId="32354"/>
    <cellStyle name="Вычисление 9 3 7 2 3" xfId="42226"/>
    <cellStyle name="Вычисление 9 3 7 3" xfId="27085"/>
    <cellStyle name="Вычисление 9 3 7 4" xfId="36960"/>
    <cellStyle name="Вычисление 9 3 8" xfId="17317"/>
    <cellStyle name="Вычисление 9 3 8 2" xfId="21708"/>
    <cellStyle name="Вычисление 9 3 8 3" xfId="31128"/>
    <cellStyle name="Вычисление 9 3 8 4" xfId="41002"/>
    <cellStyle name="Вычисление 9 3 9" xfId="22044"/>
    <cellStyle name="Вычисление 9 4" xfId="8297"/>
    <cellStyle name="Вычисление 9 5" xfId="8305"/>
    <cellStyle name="Вычисление 9 6" xfId="8306"/>
    <cellStyle name="Вычисление 9 7" xfId="8307"/>
    <cellStyle name="Вычисление 9 8" xfId="8308"/>
    <cellStyle name="Вычисление 9 9" xfId="8309"/>
    <cellStyle name="Заголовок 1 10" xfId="1405"/>
    <cellStyle name="Заголовок 1 10 10" xfId="8311"/>
    <cellStyle name="Заголовок 1 10 11" xfId="8312"/>
    <cellStyle name="Заголовок 1 10 12" xfId="8313"/>
    <cellStyle name="Заголовок 1 10 13" xfId="8314"/>
    <cellStyle name="Заголовок 1 10 14" xfId="8315"/>
    <cellStyle name="Заголовок 1 10 2" xfId="1406"/>
    <cellStyle name="Заголовок 1 10 2 2" xfId="8316"/>
    <cellStyle name="Заголовок 1 10 3" xfId="1407"/>
    <cellStyle name="Заголовок 1 10 3 2" xfId="8317"/>
    <cellStyle name="Заголовок 1 10 4" xfId="8310"/>
    <cellStyle name="Заголовок 1 10 5" xfId="8318"/>
    <cellStyle name="Заголовок 1 10 6" xfId="8319"/>
    <cellStyle name="Заголовок 1 10 7" xfId="8320"/>
    <cellStyle name="Заголовок 1 10 8" xfId="8321"/>
    <cellStyle name="Заголовок 1 10 9" xfId="8322"/>
    <cellStyle name="Заголовок 1 11" xfId="1408"/>
    <cellStyle name="Заголовок 1 11 10" xfId="8324"/>
    <cellStyle name="Заголовок 1 11 11" xfId="8325"/>
    <cellStyle name="Заголовок 1 11 12" xfId="8326"/>
    <cellStyle name="Заголовок 1 11 13" xfId="8327"/>
    <cellStyle name="Заголовок 1 11 14" xfId="8328"/>
    <cellStyle name="Заголовок 1 11 2" xfId="1409"/>
    <cellStyle name="Заголовок 1 11 2 2" xfId="8329"/>
    <cellStyle name="Заголовок 1 11 3" xfId="1410"/>
    <cellStyle name="Заголовок 1 11 3 2" xfId="8330"/>
    <cellStyle name="Заголовок 1 11 4" xfId="8323"/>
    <cellStyle name="Заголовок 1 11 5" xfId="8331"/>
    <cellStyle name="Заголовок 1 11 6" xfId="8332"/>
    <cellStyle name="Заголовок 1 11 7" xfId="8333"/>
    <cellStyle name="Заголовок 1 11 8" xfId="8334"/>
    <cellStyle name="Заголовок 1 11 9" xfId="8335"/>
    <cellStyle name="Заголовок 1 12" xfId="1411"/>
    <cellStyle name="Заголовок 1 12 10" xfId="8337"/>
    <cellStyle name="Заголовок 1 12 11" xfId="8338"/>
    <cellStyle name="Заголовок 1 12 12" xfId="8339"/>
    <cellStyle name="Заголовок 1 12 13" xfId="8340"/>
    <cellStyle name="Заголовок 1 12 14" xfId="8341"/>
    <cellStyle name="Заголовок 1 12 2" xfId="1412"/>
    <cellStyle name="Заголовок 1 12 2 2" xfId="8342"/>
    <cellStyle name="Заголовок 1 12 3" xfId="1413"/>
    <cellStyle name="Заголовок 1 12 3 2" xfId="8343"/>
    <cellStyle name="Заголовок 1 12 4" xfId="8336"/>
    <cellStyle name="Заголовок 1 12 5" xfId="8344"/>
    <cellStyle name="Заголовок 1 12 6" xfId="8345"/>
    <cellStyle name="Заголовок 1 12 7" xfId="8346"/>
    <cellStyle name="Заголовок 1 12 8" xfId="8347"/>
    <cellStyle name="Заголовок 1 12 9" xfId="8348"/>
    <cellStyle name="Заголовок 1 13" xfId="1414"/>
    <cellStyle name="Заголовок 1 13 10" xfId="8350"/>
    <cellStyle name="Заголовок 1 13 11" xfId="8351"/>
    <cellStyle name="Заголовок 1 13 12" xfId="8352"/>
    <cellStyle name="Заголовок 1 13 13" xfId="8353"/>
    <cellStyle name="Заголовок 1 13 14" xfId="8354"/>
    <cellStyle name="Заголовок 1 13 2" xfId="1415"/>
    <cellStyle name="Заголовок 1 13 2 2" xfId="8355"/>
    <cellStyle name="Заголовок 1 13 3" xfId="1416"/>
    <cellStyle name="Заголовок 1 13 3 2" xfId="8356"/>
    <cellStyle name="Заголовок 1 13 4" xfId="8349"/>
    <cellStyle name="Заголовок 1 13 5" xfId="8357"/>
    <cellStyle name="Заголовок 1 13 6" xfId="8358"/>
    <cellStyle name="Заголовок 1 13 7" xfId="8359"/>
    <cellStyle name="Заголовок 1 13 8" xfId="8360"/>
    <cellStyle name="Заголовок 1 13 9" xfId="8361"/>
    <cellStyle name="Заголовок 1 14" xfId="1417"/>
    <cellStyle name="Заголовок 1 14 10" xfId="8363"/>
    <cellStyle name="Заголовок 1 14 11" xfId="8364"/>
    <cellStyle name="Заголовок 1 14 12" xfId="8365"/>
    <cellStyle name="Заголовок 1 14 13" xfId="8366"/>
    <cellStyle name="Заголовок 1 14 14" xfId="8367"/>
    <cellStyle name="Заголовок 1 14 2" xfId="1418"/>
    <cellStyle name="Заголовок 1 14 2 2" xfId="8368"/>
    <cellStyle name="Заголовок 1 14 3" xfId="1419"/>
    <cellStyle name="Заголовок 1 14 3 2" xfId="8369"/>
    <cellStyle name="Заголовок 1 14 4" xfId="8362"/>
    <cellStyle name="Заголовок 1 14 5" xfId="8370"/>
    <cellStyle name="Заголовок 1 14 6" xfId="8371"/>
    <cellStyle name="Заголовок 1 14 7" xfId="8372"/>
    <cellStyle name="Заголовок 1 14 8" xfId="8373"/>
    <cellStyle name="Заголовок 1 14 9" xfId="8374"/>
    <cellStyle name="Заголовок 1 15" xfId="1420"/>
    <cellStyle name="Заголовок 1 15 10" xfId="8376"/>
    <cellStyle name="Заголовок 1 15 11" xfId="8377"/>
    <cellStyle name="Заголовок 1 15 12" xfId="8378"/>
    <cellStyle name="Заголовок 1 15 13" xfId="8379"/>
    <cellStyle name="Заголовок 1 15 14" xfId="8380"/>
    <cellStyle name="Заголовок 1 15 2" xfId="1421"/>
    <cellStyle name="Заголовок 1 15 2 2" xfId="8381"/>
    <cellStyle name="Заголовок 1 15 3" xfId="1422"/>
    <cellStyle name="Заголовок 1 15 3 2" xfId="8382"/>
    <cellStyle name="Заголовок 1 15 4" xfId="8375"/>
    <cellStyle name="Заголовок 1 15 5" xfId="8383"/>
    <cellStyle name="Заголовок 1 15 6" xfId="8384"/>
    <cellStyle name="Заголовок 1 15 7" xfId="8385"/>
    <cellStyle name="Заголовок 1 15 8" xfId="8386"/>
    <cellStyle name="Заголовок 1 15 9" xfId="8387"/>
    <cellStyle name="Заголовок 1 16" xfId="1423"/>
    <cellStyle name="Заголовок 1 16 10" xfId="8389"/>
    <cellStyle name="Заголовок 1 16 11" xfId="8390"/>
    <cellStyle name="Заголовок 1 16 12" xfId="8391"/>
    <cellStyle name="Заголовок 1 16 13" xfId="8392"/>
    <cellStyle name="Заголовок 1 16 14" xfId="8393"/>
    <cellStyle name="Заголовок 1 16 2" xfId="1424"/>
    <cellStyle name="Заголовок 1 16 2 2" xfId="8394"/>
    <cellStyle name="Заголовок 1 16 3" xfId="1425"/>
    <cellStyle name="Заголовок 1 16 3 2" xfId="8395"/>
    <cellStyle name="Заголовок 1 16 4" xfId="8388"/>
    <cellStyle name="Заголовок 1 16 5" xfId="8396"/>
    <cellStyle name="Заголовок 1 16 6" xfId="8397"/>
    <cellStyle name="Заголовок 1 16 7" xfId="8398"/>
    <cellStyle name="Заголовок 1 16 8" xfId="8399"/>
    <cellStyle name="Заголовок 1 16 9" xfId="8400"/>
    <cellStyle name="Заголовок 1 17" xfId="1426"/>
    <cellStyle name="Заголовок 1 17 10" xfId="8402"/>
    <cellStyle name="Заголовок 1 17 11" xfId="8403"/>
    <cellStyle name="Заголовок 1 17 12" xfId="8404"/>
    <cellStyle name="Заголовок 1 17 13" xfId="8405"/>
    <cellStyle name="Заголовок 1 17 14" xfId="8406"/>
    <cellStyle name="Заголовок 1 17 2" xfId="1427"/>
    <cellStyle name="Заголовок 1 17 2 2" xfId="8407"/>
    <cellStyle name="Заголовок 1 17 3" xfId="1428"/>
    <cellStyle name="Заголовок 1 17 3 2" xfId="8408"/>
    <cellStyle name="Заголовок 1 17 4" xfId="8401"/>
    <cellStyle name="Заголовок 1 17 5" xfId="8409"/>
    <cellStyle name="Заголовок 1 17 6" xfId="8410"/>
    <cellStyle name="Заголовок 1 17 7" xfId="8411"/>
    <cellStyle name="Заголовок 1 17 8" xfId="8412"/>
    <cellStyle name="Заголовок 1 17 9" xfId="8413"/>
    <cellStyle name="Заголовок 1 18" xfId="1429"/>
    <cellStyle name="Заголовок 1 18 2" xfId="1430"/>
    <cellStyle name="Заголовок 1 18 2 2" xfId="8415"/>
    <cellStyle name="Заголовок 1 18 3" xfId="8414"/>
    <cellStyle name="Заголовок 1 19" xfId="1431"/>
    <cellStyle name="Заголовок 1 19 2" xfId="1432"/>
    <cellStyle name="Заголовок 1 19 2 2" xfId="8417"/>
    <cellStyle name="Заголовок 1 19 3" xfId="8416"/>
    <cellStyle name="Заголовок 1 2" xfId="1433"/>
    <cellStyle name="Заголовок 1 2 10" xfId="8419"/>
    <cellStyle name="Заголовок 1 2 11" xfId="8420"/>
    <cellStyle name="Заголовок 1 2 12" xfId="8421"/>
    <cellStyle name="Заголовок 1 2 13" xfId="8422"/>
    <cellStyle name="Заголовок 1 2 14" xfId="8423"/>
    <cellStyle name="Заголовок 1 2 2" xfId="1434"/>
    <cellStyle name="Заголовок 1 2 2 2" xfId="8424"/>
    <cellStyle name="Заголовок 1 2 3" xfId="1435"/>
    <cellStyle name="Заголовок 1 2 3 2" xfId="8425"/>
    <cellStyle name="Заголовок 1 2 4" xfId="8418"/>
    <cellStyle name="Заголовок 1 2 5" xfId="8426"/>
    <cellStyle name="Заголовок 1 2 6" xfId="8427"/>
    <cellStyle name="Заголовок 1 2 7" xfId="8428"/>
    <cellStyle name="Заголовок 1 2 8" xfId="8429"/>
    <cellStyle name="Заголовок 1 2 9" xfId="8430"/>
    <cellStyle name="Заголовок 1 3" xfId="1436"/>
    <cellStyle name="Заголовок 1 3 10" xfId="8432"/>
    <cellStyle name="Заголовок 1 3 11" xfId="8433"/>
    <cellStyle name="Заголовок 1 3 12" xfId="8434"/>
    <cellStyle name="Заголовок 1 3 13" xfId="8435"/>
    <cellStyle name="Заголовок 1 3 14" xfId="8436"/>
    <cellStyle name="Заголовок 1 3 2" xfId="1437"/>
    <cellStyle name="Заголовок 1 3 2 2" xfId="8437"/>
    <cellStyle name="Заголовок 1 3 3" xfId="1438"/>
    <cellStyle name="Заголовок 1 3 3 2" xfId="8438"/>
    <cellStyle name="Заголовок 1 3 4" xfId="8431"/>
    <cellStyle name="Заголовок 1 3 5" xfId="8439"/>
    <cellStyle name="Заголовок 1 3 6" xfId="8440"/>
    <cellStyle name="Заголовок 1 3 7" xfId="8441"/>
    <cellStyle name="Заголовок 1 3 8" xfId="8442"/>
    <cellStyle name="Заголовок 1 3 9" xfId="8443"/>
    <cellStyle name="Заголовок 1 4" xfId="1439"/>
    <cellStyle name="Заголовок 1 4 10" xfId="8445"/>
    <cellStyle name="Заголовок 1 4 11" xfId="8446"/>
    <cellStyle name="Заголовок 1 4 12" xfId="8447"/>
    <cellStyle name="Заголовок 1 4 13" xfId="8448"/>
    <cellStyle name="Заголовок 1 4 14" xfId="8449"/>
    <cellStyle name="Заголовок 1 4 2" xfId="1440"/>
    <cellStyle name="Заголовок 1 4 2 2" xfId="8450"/>
    <cellStyle name="Заголовок 1 4 3" xfId="1441"/>
    <cellStyle name="Заголовок 1 4 3 2" xfId="8451"/>
    <cellStyle name="Заголовок 1 4 4" xfId="8444"/>
    <cellStyle name="Заголовок 1 4 5" xfId="8452"/>
    <cellStyle name="Заголовок 1 4 6" xfId="8453"/>
    <cellStyle name="Заголовок 1 4 7" xfId="8454"/>
    <cellStyle name="Заголовок 1 4 8" xfId="8455"/>
    <cellStyle name="Заголовок 1 4 9" xfId="8456"/>
    <cellStyle name="Заголовок 1 5" xfId="1442"/>
    <cellStyle name="Заголовок 1 5 10" xfId="8458"/>
    <cellStyle name="Заголовок 1 5 11" xfId="8459"/>
    <cellStyle name="Заголовок 1 5 12" xfId="8460"/>
    <cellStyle name="Заголовок 1 5 13" xfId="8461"/>
    <cellStyle name="Заголовок 1 5 14" xfId="8462"/>
    <cellStyle name="Заголовок 1 5 2" xfId="1443"/>
    <cellStyle name="Заголовок 1 5 2 2" xfId="8463"/>
    <cellStyle name="Заголовок 1 5 3" xfId="1444"/>
    <cellStyle name="Заголовок 1 5 3 2" xfId="8464"/>
    <cellStyle name="Заголовок 1 5 4" xfId="8457"/>
    <cellStyle name="Заголовок 1 5 5" xfId="8465"/>
    <cellStyle name="Заголовок 1 5 6" xfId="8466"/>
    <cellStyle name="Заголовок 1 5 7" xfId="8467"/>
    <cellStyle name="Заголовок 1 5 8" xfId="8468"/>
    <cellStyle name="Заголовок 1 5 9" xfId="8469"/>
    <cellStyle name="Заголовок 1 6" xfId="1445"/>
    <cellStyle name="Заголовок 1 6 10" xfId="8471"/>
    <cellStyle name="Заголовок 1 6 11" xfId="8472"/>
    <cellStyle name="Заголовок 1 6 12" xfId="8473"/>
    <cellStyle name="Заголовок 1 6 13" xfId="8474"/>
    <cellStyle name="Заголовок 1 6 14" xfId="8475"/>
    <cellStyle name="Заголовок 1 6 2" xfId="1446"/>
    <cellStyle name="Заголовок 1 6 2 2" xfId="8476"/>
    <cellStyle name="Заголовок 1 6 3" xfId="1447"/>
    <cellStyle name="Заголовок 1 6 3 2" xfId="8477"/>
    <cellStyle name="Заголовок 1 6 4" xfId="8470"/>
    <cellStyle name="Заголовок 1 6 5" xfId="8478"/>
    <cellStyle name="Заголовок 1 6 6" xfId="8479"/>
    <cellStyle name="Заголовок 1 6 7" xfId="8480"/>
    <cellStyle name="Заголовок 1 6 8" xfId="8481"/>
    <cellStyle name="Заголовок 1 6 9" xfId="8482"/>
    <cellStyle name="Заголовок 1 7" xfId="1448"/>
    <cellStyle name="Заголовок 1 7 10" xfId="8484"/>
    <cellStyle name="Заголовок 1 7 11" xfId="8485"/>
    <cellStyle name="Заголовок 1 7 12" xfId="8486"/>
    <cellStyle name="Заголовок 1 7 13" xfId="8487"/>
    <cellStyle name="Заголовок 1 7 14" xfId="8488"/>
    <cellStyle name="Заголовок 1 7 2" xfId="1449"/>
    <cellStyle name="Заголовок 1 7 2 2" xfId="8489"/>
    <cellStyle name="Заголовок 1 7 3" xfId="1450"/>
    <cellStyle name="Заголовок 1 7 3 2" xfId="8490"/>
    <cellStyle name="Заголовок 1 7 4" xfId="8483"/>
    <cellStyle name="Заголовок 1 7 5" xfId="8491"/>
    <cellStyle name="Заголовок 1 7 6" xfId="8492"/>
    <cellStyle name="Заголовок 1 7 7" xfId="8493"/>
    <cellStyle name="Заголовок 1 7 8" xfId="8494"/>
    <cellStyle name="Заголовок 1 7 9" xfId="8495"/>
    <cellStyle name="Заголовок 1 8" xfId="1451"/>
    <cellStyle name="Заголовок 1 8 10" xfId="8497"/>
    <cellStyle name="Заголовок 1 8 11" xfId="8498"/>
    <cellStyle name="Заголовок 1 8 12" xfId="8499"/>
    <cellStyle name="Заголовок 1 8 13" xfId="8500"/>
    <cellStyle name="Заголовок 1 8 14" xfId="8501"/>
    <cellStyle name="Заголовок 1 8 2" xfId="1452"/>
    <cellStyle name="Заголовок 1 8 2 2" xfId="8502"/>
    <cellStyle name="Заголовок 1 8 3" xfId="1453"/>
    <cellStyle name="Заголовок 1 8 3 2" xfId="8503"/>
    <cellStyle name="Заголовок 1 8 4" xfId="8496"/>
    <cellStyle name="Заголовок 1 8 5" xfId="8504"/>
    <cellStyle name="Заголовок 1 8 6" xfId="8505"/>
    <cellStyle name="Заголовок 1 8 7" xfId="8506"/>
    <cellStyle name="Заголовок 1 8 8" xfId="8507"/>
    <cellStyle name="Заголовок 1 8 9" xfId="8508"/>
    <cellStyle name="Заголовок 1 9" xfId="1454"/>
    <cellStyle name="Заголовок 1 9 10" xfId="8510"/>
    <cellStyle name="Заголовок 1 9 11" xfId="8511"/>
    <cellStyle name="Заголовок 1 9 12" xfId="8512"/>
    <cellStyle name="Заголовок 1 9 13" xfId="8513"/>
    <cellStyle name="Заголовок 1 9 14" xfId="8514"/>
    <cellStyle name="Заголовок 1 9 2" xfId="1455"/>
    <cellStyle name="Заголовок 1 9 2 2" xfId="8515"/>
    <cellStyle name="Заголовок 1 9 3" xfId="1456"/>
    <cellStyle name="Заголовок 1 9 3 2" xfId="8516"/>
    <cellStyle name="Заголовок 1 9 4" xfId="8509"/>
    <cellStyle name="Заголовок 1 9 5" xfId="8517"/>
    <cellStyle name="Заголовок 1 9 6" xfId="8518"/>
    <cellStyle name="Заголовок 1 9 7" xfId="8519"/>
    <cellStyle name="Заголовок 1 9 8" xfId="8520"/>
    <cellStyle name="Заголовок 1 9 9" xfId="8521"/>
    <cellStyle name="Заголовок 2 10" xfId="1457"/>
    <cellStyle name="Заголовок 2 10 10" xfId="8523"/>
    <cellStyle name="Заголовок 2 10 11" xfId="8524"/>
    <cellStyle name="Заголовок 2 10 12" xfId="8525"/>
    <cellStyle name="Заголовок 2 10 13" xfId="8526"/>
    <cellStyle name="Заголовок 2 10 14" xfId="8527"/>
    <cellStyle name="Заголовок 2 10 2" xfId="1458"/>
    <cellStyle name="Заголовок 2 10 2 2" xfId="8528"/>
    <cellStyle name="Заголовок 2 10 3" xfId="1459"/>
    <cellStyle name="Заголовок 2 10 3 2" xfId="8529"/>
    <cellStyle name="Заголовок 2 10 4" xfId="8522"/>
    <cellStyle name="Заголовок 2 10 5" xfId="8530"/>
    <cellStyle name="Заголовок 2 10 6" xfId="8531"/>
    <cellStyle name="Заголовок 2 10 7" xfId="8532"/>
    <cellStyle name="Заголовок 2 10 8" xfId="8533"/>
    <cellStyle name="Заголовок 2 10 9" xfId="8534"/>
    <cellStyle name="Заголовок 2 11" xfId="1460"/>
    <cellStyle name="Заголовок 2 11 10" xfId="8536"/>
    <cellStyle name="Заголовок 2 11 11" xfId="8537"/>
    <cellStyle name="Заголовок 2 11 12" xfId="8538"/>
    <cellStyle name="Заголовок 2 11 13" xfId="8539"/>
    <cellStyle name="Заголовок 2 11 14" xfId="8540"/>
    <cellStyle name="Заголовок 2 11 2" xfId="1461"/>
    <cellStyle name="Заголовок 2 11 2 2" xfId="8541"/>
    <cellStyle name="Заголовок 2 11 3" xfId="1462"/>
    <cellStyle name="Заголовок 2 11 3 2" xfId="8542"/>
    <cellStyle name="Заголовок 2 11 4" xfId="8535"/>
    <cellStyle name="Заголовок 2 11 5" xfId="8543"/>
    <cellStyle name="Заголовок 2 11 6" xfId="8544"/>
    <cellStyle name="Заголовок 2 11 7" xfId="8545"/>
    <cellStyle name="Заголовок 2 11 8" xfId="8546"/>
    <cellStyle name="Заголовок 2 11 9" xfId="8547"/>
    <cellStyle name="Заголовок 2 12" xfId="1463"/>
    <cellStyle name="Заголовок 2 12 10" xfId="8549"/>
    <cellStyle name="Заголовок 2 12 11" xfId="8550"/>
    <cellStyle name="Заголовок 2 12 12" xfId="8551"/>
    <cellStyle name="Заголовок 2 12 13" xfId="8552"/>
    <cellStyle name="Заголовок 2 12 14" xfId="8553"/>
    <cellStyle name="Заголовок 2 12 2" xfId="1464"/>
    <cellStyle name="Заголовок 2 12 2 2" xfId="8554"/>
    <cellStyle name="Заголовок 2 12 3" xfId="1465"/>
    <cellStyle name="Заголовок 2 12 3 2" xfId="8555"/>
    <cellStyle name="Заголовок 2 12 4" xfId="8548"/>
    <cellStyle name="Заголовок 2 12 5" xfId="8556"/>
    <cellStyle name="Заголовок 2 12 6" xfId="8557"/>
    <cellStyle name="Заголовок 2 12 7" xfId="8558"/>
    <cellStyle name="Заголовок 2 12 8" xfId="8559"/>
    <cellStyle name="Заголовок 2 12 9" xfId="8560"/>
    <cellStyle name="Заголовок 2 13" xfId="1466"/>
    <cellStyle name="Заголовок 2 13 10" xfId="8562"/>
    <cellStyle name="Заголовок 2 13 11" xfId="8563"/>
    <cellStyle name="Заголовок 2 13 12" xfId="8564"/>
    <cellStyle name="Заголовок 2 13 13" xfId="8565"/>
    <cellStyle name="Заголовок 2 13 14" xfId="8566"/>
    <cellStyle name="Заголовок 2 13 2" xfId="1467"/>
    <cellStyle name="Заголовок 2 13 2 2" xfId="8567"/>
    <cellStyle name="Заголовок 2 13 3" xfId="1468"/>
    <cellStyle name="Заголовок 2 13 3 2" xfId="8568"/>
    <cellStyle name="Заголовок 2 13 4" xfId="8561"/>
    <cellStyle name="Заголовок 2 13 5" xfId="8569"/>
    <cellStyle name="Заголовок 2 13 6" xfId="8570"/>
    <cellStyle name="Заголовок 2 13 7" xfId="8571"/>
    <cellStyle name="Заголовок 2 13 8" xfId="8572"/>
    <cellStyle name="Заголовок 2 13 9" xfId="8573"/>
    <cellStyle name="Заголовок 2 14" xfId="1469"/>
    <cellStyle name="Заголовок 2 14 10" xfId="8575"/>
    <cellStyle name="Заголовок 2 14 11" xfId="8576"/>
    <cellStyle name="Заголовок 2 14 12" xfId="8577"/>
    <cellStyle name="Заголовок 2 14 13" xfId="8578"/>
    <cellStyle name="Заголовок 2 14 14" xfId="8579"/>
    <cellStyle name="Заголовок 2 14 2" xfId="1470"/>
    <cellStyle name="Заголовок 2 14 2 2" xfId="8580"/>
    <cellStyle name="Заголовок 2 14 3" xfId="1471"/>
    <cellStyle name="Заголовок 2 14 3 2" xfId="8581"/>
    <cellStyle name="Заголовок 2 14 4" xfId="8574"/>
    <cellStyle name="Заголовок 2 14 5" xfId="8582"/>
    <cellStyle name="Заголовок 2 14 6" xfId="8583"/>
    <cellStyle name="Заголовок 2 14 7" xfId="8584"/>
    <cellStyle name="Заголовок 2 14 8" xfId="8585"/>
    <cellStyle name="Заголовок 2 14 9" xfId="8586"/>
    <cellStyle name="Заголовок 2 15" xfId="1472"/>
    <cellStyle name="Заголовок 2 15 10" xfId="8588"/>
    <cellStyle name="Заголовок 2 15 11" xfId="8589"/>
    <cellStyle name="Заголовок 2 15 12" xfId="8590"/>
    <cellStyle name="Заголовок 2 15 13" xfId="8591"/>
    <cellStyle name="Заголовок 2 15 14" xfId="8592"/>
    <cellStyle name="Заголовок 2 15 2" xfId="1473"/>
    <cellStyle name="Заголовок 2 15 2 2" xfId="8593"/>
    <cellStyle name="Заголовок 2 15 3" xfId="1474"/>
    <cellStyle name="Заголовок 2 15 3 2" xfId="8594"/>
    <cellStyle name="Заголовок 2 15 4" xfId="8587"/>
    <cellStyle name="Заголовок 2 15 5" xfId="8595"/>
    <cellStyle name="Заголовок 2 15 6" xfId="8596"/>
    <cellStyle name="Заголовок 2 15 7" xfId="8597"/>
    <cellStyle name="Заголовок 2 15 8" xfId="8598"/>
    <cellStyle name="Заголовок 2 15 9" xfId="8599"/>
    <cellStyle name="Заголовок 2 16" xfId="1475"/>
    <cellStyle name="Заголовок 2 16 10" xfId="8601"/>
    <cellStyle name="Заголовок 2 16 11" xfId="8602"/>
    <cellStyle name="Заголовок 2 16 12" xfId="8603"/>
    <cellStyle name="Заголовок 2 16 13" xfId="8604"/>
    <cellStyle name="Заголовок 2 16 14" xfId="8605"/>
    <cellStyle name="Заголовок 2 16 2" xfId="1476"/>
    <cellStyle name="Заголовок 2 16 2 2" xfId="8606"/>
    <cellStyle name="Заголовок 2 16 3" xfId="1477"/>
    <cellStyle name="Заголовок 2 16 3 2" xfId="8607"/>
    <cellStyle name="Заголовок 2 16 4" xfId="8600"/>
    <cellStyle name="Заголовок 2 16 5" xfId="8608"/>
    <cellStyle name="Заголовок 2 16 6" xfId="8609"/>
    <cellStyle name="Заголовок 2 16 7" xfId="8610"/>
    <cellStyle name="Заголовок 2 16 8" xfId="8611"/>
    <cellStyle name="Заголовок 2 16 9" xfId="8612"/>
    <cellStyle name="Заголовок 2 17" xfId="1478"/>
    <cellStyle name="Заголовок 2 17 10" xfId="8614"/>
    <cellStyle name="Заголовок 2 17 11" xfId="8615"/>
    <cellStyle name="Заголовок 2 17 12" xfId="8616"/>
    <cellStyle name="Заголовок 2 17 13" xfId="8617"/>
    <cellStyle name="Заголовок 2 17 14" xfId="8618"/>
    <cellStyle name="Заголовок 2 17 2" xfId="1479"/>
    <cellStyle name="Заголовок 2 17 2 2" xfId="8619"/>
    <cellStyle name="Заголовок 2 17 3" xfId="1480"/>
    <cellStyle name="Заголовок 2 17 3 2" xfId="8620"/>
    <cellStyle name="Заголовок 2 17 4" xfId="8613"/>
    <cellStyle name="Заголовок 2 17 5" xfId="8621"/>
    <cellStyle name="Заголовок 2 17 6" xfId="8622"/>
    <cellStyle name="Заголовок 2 17 7" xfId="8623"/>
    <cellStyle name="Заголовок 2 17 8" xfId="8624"/>
    <cellStyle name="Заголовок 2 17 9" xfId="8625"/>
    <cellStyle name="Заголовок 2 18" xfId="1481"/>
    <cellStyle name="Заголовок 2 18 2" xfId="1482"/>
    <cellStyle name="Заголовок 2 18 2 2" xfId="8627"/>
    <cellStyle name="Заголовок 2 18 3" xfId="8626"/>
    <cellStyle name="Заголовок 2 19" xfId="1483"/>
    <cellStyle name="Заголовок 2 19 2" xfId="1484"/>
    <cellStyle name="Заголовок 2 19 2 2" xfId="8629"/>
    <cellStyle name="Заголовок 2 19 3" xfId="8628"/>
    <cellStyle name="Заголовок 2 2" xfId="1485"/>
    <cellStyle name="Заголовок 2 2 10" xfId="8631"/>
    <cellStyle name="Заголовок 2 2 11" xfId="8632"/>
    <cellStyle name="Заголовок 2 2 12" xfId="8633"/>
    <cellStyle name="Заголовок 2 2 13" xfId="8634"/>
    <cellStyle name="Заголовок 2 2 14" xfId="8635"/>
    <cellStyle name="Заголовок 2 2 2" xfId="1486"/>
    <cellStyle name="Заголовок 2 2 2 2" xfId="8636"/>
    <cellStyle name="Заголовок 2 2 3" xfId="1487"/>
    <cellStyle name="Заголовок 2 2 3 2" xfId="8637"/>
    <cellStyle name="Заголовок 2 2 4" xfId="8630"/>
    <cellStyle name="Заголовок 2 2 5" xfId="8638"/>
    <cellStyle name="Заголовок 2 2 6" xfId="8639"/>
    <cellStyle name="Заголовок 2 2 7" xfId="8640"/>
    <cellStyle name="Заголовок 2 2 8" xfId="8641"/>
    <cellStyle name="Заголовок 2 2 9" xfId="8642"/>
    <cellStyle name="Заголовок 2 3" xfId="1488"/>
    <cellStyle name="Заголовок 2 3 10" xfId="8644"/>
    <cellStyle name="Заголовок 2 3 11" xfId="8645"/>
    <cellStyle name="Заголовок 2 3 12" xfId="8646"/>
    <cellStyle name="Заголовок 2 3 13" xfId="8647"/>
    <cellStyle name="Заголовок 2 3 14" xfId="8648"/>
    <cellStyle name="Заголовок 2 3 2" xfId="1489"/>
    <cellStyle name="Заголовок 2 3 2 2" xfId="8649"/>
    <cellStyle name="Заголовок 2 3 3" xfId="1490"/>
    <cellStyle name="Заголовок 2 3 3 2" xfId="8650"/>
    <cellStyle name="Заголовок 2 3 4" xfId="8643"/>
    <cellStyle name="Заголовок 2 3 5" xfId="8651"/>
    <cellStyle name="Заголовок 2 3 6" xfId="8652"/>
    <cellStyle name="Заголовок 2 3 7" xfId="8653"/>
    <cellStyle name="Заголовок 2 3 8" xfId="8654"/>
    <cellStyle name="Заголовок 2 3 9" xfId="8655"/>
    <cellStyle name="Заголовок 2 4" xfId="1491"/>
    <cellStyle name="Заголовок 2 4 10" xfId="8657"/>
    <cellStyle name="Заголовок 2 4 11" xfId="8658"/>
    <cellStyle name="Заголовок 2 4 12" xfId="8659"/>
    <cellStyle name="Заголовок 2 4 13" xfId="8660"/>
    <cellStyle name="Заголовок 2 4 14" xfId="8661"/>
    <cellStyle name="Заголовок 2 4 2" xfId="1492"/>
    <cellStyle name="Заголовок 2 4 2 2" xfId="8662"/>
    <cellStyle name="Заголовок 2 4 3" xfId="1493"/>
    <cellStyle name="Заголовок 2 4 3 2" xfId="8663"/>
    <cellStyle name="Заголовок 2 4 4" xfId="8656"/>
    <cellStyle name="Заголовок 2 4 5" xfId="8664"/>
    <cellStyle name="Заголовок 2 4 6" xfId="8665"/>
    <cellStyle name="Заголовок 2 4 7" xfId="8666"/>
    <cellStyle name="Заголовок 2 4 8" xfId="8667"/>
    <cellStyle name="Заголовок 2 4 9" xfId="8668"/>
    <cellStyle name="Заголовок 2 5" xfId="1494"/>
    <cellStyle name="Заголовок 2 5 10" xfId="8670"/>
    <cellStyle name="Заголовок 2 5 11" xfId="8671"/>
    <cellStyle name="Заголовок 2 5 12" xfId="8672"/>
    <cellStyle name="Заголовок 2 5 13" xfId="8673"/>
    <cellStyle name="Заголовок 2 5 14" xfId="8674"/>
    <cellStyle name="Заголовок 2 5 2" xfId="1495"/>
    <cellStyle name="Заголовок 2 5 2 2" xfId="8675"/>
    <cellStyle name="Заголовок 2 5 3" xfId="1496"/>
    <cellStyle name="Заголовок 2 5 3 2" xfId="8676"/>
    <cellStyle name="Заголовок 2 5 4" xfId="8669"/>
    <cellStyle name="Заголовок 2 5 5" xfId="8677"/>
    <cellStyle name="Заголовок 2 5 6" xfId="8678"/>
    <cellStyle name="Заголовок 2 5 7" xfId="8679"/>
    <cellStyle name="Заголовок 2 5 8" xfId="8680"/>
    <cellStyle name="Заголовок 2 5 9" xfId="8681"/>
    <cellStyle name="Заголовок 2 6" xfId="1497"/>
    <cellStyle name="Заголовок 2 6 10" xfId="8683"/>
    <cellStyle name="Заголовок 2 6 11" xfId="8684"/>
    <cellStyle name="Заголовок 2 6 12" xfId="8685"/>
    <cellStyle name="Заголовок 2 6 13" xfId="8686"/>
    <cellStyle name="Заголовок 2 6 14" xfId="8687"/>
    <cellStyle name="Заголовок 2 6 2" xfId="1498"/>
    <cellStyle name="Заголовок 2 6 2 2" xfId="8688"/>
    <cellStyle name="Заголовок 2 6 3" xfId="1499"/>
    <cellStyle name="Заголовок 2 6 3 2" xfId="8689"/>
    <cellStyle name="Заголовок 2 6 4" xfId="8682"/>
    <cellStyle name="Заголовок 2 6 5" xfId="8690"/>
    <cellStyle name="Заголовок 2 6 6" xfId="8691"/>
    <cellStyle name="Заголовок 2 6 7" xfId="8692"/>
    <cellStyle name="Заголовок 2 6 8" xfId="8693"/>
    <cellStyle name="Заголовок 2 6 9" xfId="8694"/>
    <cellStyle name="Заголовок 2 7" xfId="1500"/>
    <cellStyle name="Заголовок 2 7 10" xfId="8696"/>
    <cellStyle name="Заголовок 2 7 11" xfId="8697"/>
    <cellStyle name="Заголовок 2 7 12" xfId="8698"/>
    <cellStyle name="Заголовок 2 7 13" xfId="8699"/>
    <cellStyle name="Заголовок 2 7 14" xfId="8700"/>
    <cellStyle name="Заголовок 2 7 2" xfId="1501"/>
    <cellStyle name="Заголовок 2 7 2 2" xfId="8701"/>
    <cellStyle name="Заголовок 2 7 3" xfId="1502"/>
    <cellStyle name="Заголовок 2 7 3 2" xfId="8702"/>
    <cellStyle name="Заголовок 2 7 4" xfId="8695"/>
    <cellStyle name="Заголовок 2 7 5" xfId="8703"/>
    <cellStyle name="Заголовок 2 7 6" xfId="8704"/>
    <cellStyle name="Заголовок 2 7 7" xfId="8705"/>
    <cellStyle name="Заголовок 2 7 8" xfId="8706"/>
    <cellStyle name="Заголовок 2 7 9" xfId="8707"/>
    <cellStyle name="Заголовок 2 8" xfId="1503"/>
    <cellStyle name="Заголовок 2 8 10" xfId="8709"/>
    <cellStyle name="Заголовок 2 8 11" xfId="8710"/>
    <cellStyle name="Заголовок 2 8 12" xfId="8711"/>
    <cellStyle name="Заголовок 2 8 13" xfId="8712"/>
    <cellStyle name="Заголовок 2 8 14" xfId="8713"/>
    <cellStyle name="Заголовок 2 8 2" xfId="1504"/>
    <cellStyle name="Заголовок 2 8 2 2" xfId="8714"/>
    <cellStyle name="Заголовок 2 8 3" xfId="1505"/>
    <cellStyle name="Заголовок 2 8 3 2" xfId="8715"/>
    <cellStyle name="Заголовок 2 8 4" xfId="8708"/>
    <cellStyle name="Заголовок 2 8 5" xfId="8716"/>
    <cellStyle name="Заголовок 2 8 6" xfId="8717"/>
    <cellStyle name="Заголовок 2 8 7" xfId="8718"/>
    <cellStyle name="Заголовок 2 8 8" xfId="8719"/>
    <cellStyle name="Заголовок 2 8 9" xfId="8720"/>
    <cellStyle name="Заголовок 2 9" xfId="1506"/>
    <cellStyle name="Заголовок 2 9 10" xfId="8722"/>
    <cellStyle name="Заголовок 2 9 11" xfId="8723"/>
    <cellStyle name="Заголовок 2 9 12" xfId="8724"/>
    <cellStyle name="Заголовок 2 9 13" xfId="8725"/>
    <cellStyle name="Заголовок 2 9 14" xfId="8726"/>
    <cellStyle name="Заголовок 2 9 2" xfId="1507"/>
    <cellStyle name="Заголовок 2 9 2 2" xfId="8727"/>
    <cellStyle name="Заголовок 2 9 3" xfId="1508"/>
    <cellStyle name="Заголовок 2 9 3 2" xfId="8728"/>
    <cellStyle name="Заголовок 2 9 4" xfId="8721"/>
    <cellStyle name="Заголовок 2 9 5" xfId="8729"/>
    <cellStyle name="Заголовок 2 9 6" xfId="8730"/>
    <cellStyle name="Заголовок 2 9 7" xfId="8731"/>
    <cellStyle name="Заголовок 2 9 8" xfId="8732"/>
    <cellStyle name="Заголовок 2 9 9" xfId="8733"/>
    <cellStyle name="Заголовок 3 10" xfId="1509"/>
    <cellStyle name="Заголовок 3 10 10" xfId="8735"/>
    <cellStyle name="Заголовок 3 10 11" xfId="8736"/>
    <cellStyle name="Заголовок 3 10 12" xfId="8737"/>
    <cellStyle name="Заголовок 3 10 13" xfId="8738"/>
    <cellStyle name="Заголовок 3 10 14" xfId="8739"/>
    <cellStyle name="Заголовок 3 10 2" xfId="1510"/>
    <cellStyle name="Заголовок 3 10 2 2" xfId="8740"/>
    <cellStyle name="Заголовок 3 10 3" xfId="1511"/>
    <cellStyle name="Заголовок 3 10 3 2" xfId="8741"/>
    <cellStyle name="Заголовок 3 10 4" xfId="8734"/>
    <cellStyle name="Заголовок 3 10 5" xfId="8742"/>
    <cellStyle name="Заголовок 3 10 6" xfId="8743"/>
    <cellStyle name="Заголовок 3 10 7" xfId="8744"/>
    <cellStyle name="Заголовок 3 10 8" xfId="8745"/>
    <cellStyle name="Заголовок 3 10 9" xfId="8746"/>
    <cellStyle name="Заголовок 3 11" xfId="1512"/>
    <cellStyle name="Заголовок 3 11 10" xfId="8748"/>
    <cellStyle name="Заголовок 3 11 11" xfId="8749"/>
    <cellStyle name="Заголовок 3 11 12" xfId="8750"/>
    <cellStyle name="Заголовок 3 11 13" xfId="8751"/>
    <cellStyle name="Заголовок 3 11 14" xfId="8752"/>
    <cellStyle name="Заголовок 3 11 2" xfId="1513"/>
    <cellStyle name="Заголовок 3 11 2 2" xfId="8753"/>
    <cellStyle name="Заголовок 3 11 3" xfId="1514"/>
    <cellStyle name="Заголовок 3 11 3 2" xfId="8754"/>
    <cellStyle name="Заголовок 3 11 4" xfId="8747"/>
    <cellStyle name="Заголовок 3 11 5" xfId="8755"/>
    <cellStyle name="Заголовок 3 11 6" xfId="8756"/>
    <cellStyle name="Заголовок 3 11 7" xfId="8757"/>
    <cellStyle name="Заголовок 3 11 8" xfId="8758"/>
    <cellStyle name="Заголовок 3 11 9" xfId="8759"/>
    <cellStyle name="Заголовок 3 12" xfId="1515"/>
    <cellStyle name="Заголовок 3 12 10" xfId="8761"/>
    <cellStyle name="Заголовок 3 12 11" xfId="8762"/>
    <cellStyle name="Заголовок 3 12 12" xfId="8763"/>
    <cellStyle name="Заголовок 3 12 13" xfId="8764"/>
    <cellStyle name="Заголовок 3 12 14" xfId="8765"/>
    <cellStyle name="Заголовок 3 12 2" xfId="1516"/>
    <cellStyle name="Заголовок 3 12 2 2" xfId="8766"/>
    <cellStyle name="Заголовок 3 12 3" xfId="1517"/>
    <cellStyle name="Заголовок 3 12 3 2" xfId="8767"/>
    <cellStyle name="Заголовок 3 12 4" xfId="8760"/>
    <cellStyle name="Заголовок 3 12 5" xfId="8768"/>
    <cellStyle name="Заголовок 3 12 6" xfId="8769"/>
    <cellStyle name="Заголовок 3 12 7" xfId="8770"/>
    <cellStyle name="Заголовок 3 12 8" xfId="8771"/>
    <cellStyle name="Заголовок 3 12 9" xfId="8772"/>
    <cellStyle name="Заголовок 3 13" xfId="1518"/>
    <cellStyle name="Заголовок 3 13 10" xfId="8774"/>
    <cellStyle name="Заголовок 3 13 11" xfId="8775"/>
    <cellStyle name="Заголовок 3 13 12" xfId="8776"/>
    <cellStyle name="Заголовок 3 13 13" xfId="8777"/>
    <cellStyle name="Заголовок 3 13 14" xfId="8778"/>
    <cellStyle name="Заголовок 3 13 2" xfId="1519"/>
    <cellStyle name="Заголовок 3 13 2 2" xfId="8779"/>
    <cellStyle name="Заголовок 3 13 3" xfId="1520"/>
    <cellStyle name="Заголовок 3 13 3 2" xfId="8780"/>
    <cellStyle name="Заголовок 3 13 4" xfId="8773"/>
    <cellStyle name="Заголовок 3 13 5" xfId="8781"/>
    <cellStyle name="Заголовок 3 13 6" xfId="8782"/>
    <cellStyle name="Заголовок 3 13 7" xfId="8783"/>
    <cellStyle name="Заголовок 3 13 8" xfId="8784"/>
    <cellStyle name="Заголовок 3 13 9" xfId="8785"/>
    <cellStyle name="Заголовок 3 14" xfId="1521"/>
    <cellStyle name="Заголовок 3 14 10" xfId="8787"/>
    <cellStyle name="Заголовок 3 14 11" xfId="8788"/>
    <cellStyle name="Заголовок 3 14 12" xfId="8789"/>
    <cellStyle name="Заголовок 3 14 13" xfId="8790"/>
    <cellStyle name="Заголовок 3 14 14" xfId="8791"/>
    <cellStyle name="Заголовок 3 14 2" xfId="1522"/>
    <cellStyle name="Заголовок 3 14 2 2" xfId="8792"/>
    <cellStyle name="Заголовок 3 14 3" xfId="1523"/>
    <cellStyle name="Заголовок 3 14 3 2" xfId="8793"/>
    <cellStyle name="Заголовок 3 14 4" xfId="8786"/>
    <cellStyle name="Заголовок 3 14 5" xfId="8794"/>
    <cellStyle name="Заголовок 3 14 6" xfId="8795"/>
    <cellStyle name="Заголовок 3 14 7" xfId="8796"/>
    <cellStyle name="Заголовок 3 14 8" xfId="8797"/>
    <cellStyle name="Заголовок 3 14 9" xfId="8798"/>
    <cellStyle name="Заголовок 3 15" xfId="1524"/>
    <cellStyle name="Заголовок 3 15 10" xfId="8800"/>
    <cellStyle name="Заголовок 3 15 11" xfId="8801"/>
    <cellStyle name="Заголовок 3 15 12" xfId="8802"/>
    <cellStyle name="Заголовок 3 15 13" xfId="8803"/>
    <cellStyle name="Заголовок 3 15 14" xfId="8804"/>
    <cellStyle name="Заголовок 3 15 2" xfId="1525"/>
    <cellStyle name="Заголовок 3 15 2 2" xfId="8805"/>
    <cellStyle name="Заголовок 3 15 3" xfId="1526"/>
    <cellStyle name="Заголовок 3 15 3 2" xfId="8806"/>
    <cellStyle name="Заголовок 3 15 4" xfId="8799"/>
    <cellStyle name="Заголовок 3 15 5" xfId="8807"/>
    <cellStyle name="Заголовок 3 15 6" xfId="8808"/>
    <cellStyle name="Заголовок 3 15 7" xfId="8809"/>
    <cellStyle name="Заголовок 3 15 8" xfId="8810"/>
    <cellStyle name="Заголовок 3 15 9" xfId="8811"/>
    <cellStyle name="Заголовок 3 16" xfId="1527"/>
    <cellStyle name="Заголовок 3 16 10" xfId="8813"/>
    <cellStyle name="Заголовок 3 16 11" xfId="8814"/>
    <cellStyle name="Заголовок 3 16 12" xfId="8815"/>
    <cellStyle name="Заголовок 3 16 13" xfId="8816"/>
    <cellStyle name="Заголовок 3 16 14" xfId="8817"/>
    <cellStyle name="Заголовок 3 16 2" xfId="1528"/>
    <cellStyle name="Заголовок 3 16 2 2" xfId="8818"/>
    <cellStyle name="Заголовок 3 16 3" xfId="1529"/>
    <cellStyle name="Заголовок 3 16 3 2" xfId="8819"/>
    <cellStyle name="Заголовок 3 16 4" xfId="8812"/>
    <cellStyle name="Заголовок 3 16 5" xfId="8820"/>
    <cellStyle name="Заголовок 3 16 6" xfId="8821"/>
    <cellStyle name="Заголовок 3 16 7" xfId="8822"/>
    <cellStyle name="Заголовок 3 16 8" xfId="8823"/>
    <cellStyle name="Заголовок 3 16 9" xfId="8824"/>
    <cellStyle name="Заголовок 3 17" xfId="1530"/>
    <cellStyle name="Заголовок 3 17 10" xfId="8826"/>
    <cellStyle name="Заголовок 3 17 11" xfId="8827"/>
    <cellStyle name="Заголовок 3 17 12" xfId="8828"/>
    <cellStyle name="Заголовок 3 17 13" xfId="8829"/>
    <cellStyle name="Заголовок 3 17 14" xfId="8830"/>
    <cellStyle name="Заголовок 3 17 2" xfId="1531"/>
    <cellStyle name="Заголовок 3 17 2 2" xfId="8831"/>
    <cellStyle name="Заголовок 3 17 3" xfId="1532"/>
    <cellStyle name="Заголовок 3 17 3 2" xfId="8832"/>
    <cellStyle name="Заголовок 3 17 4" xfId="8825"/>
    <cellStyle name="Заголовок 3 17 5" xfId="8833"/>
    <cellStyle name="Заголовок 3 17 6" xfId="8834"/>
    <cellStyle name="Заголовок 3 17 7" xfId="8835"/>
    <cellStyle name="Заголовок 3 17 8" xfId="8836"/>
    <cellStyle name="Заголовок 3 17 9" xfId="8837"/>
    <cellStyle name="Заголовок 3 18" xfId="1533"/>
    <cellStyle name="Заголовок 3 18 2" xfId="1534"/>
    <cellStyle name="Заголовок 3 18 2 2" xfId="8839"/>
    <cellStyle name="Заголовок 3 18 3" xfId="8838"/>
    <cellStyle name="Заголовок 3 19" xfId="1535"/>
    <cellStyle name="Заголовок 3 19 2" xfId="1536"/>
    <cellStyle name="Заголовок 3 19 2 2" xfId="8841"/>
    <cellStyle name="Заголовок 3 19 3" xfId="8840"/>
    <cellStyle name="Заголовок 3 2" xfId="1537"/>
    <cellStyle name="Заголовок 3 2 10" xfId="8843"/>
    <cellStyle name="Заголовок 3 2 11" xfId="8844"/>
    <cellStyle name="Заголовок 3 2 12" xfId="8845"/>
    <cellStyle name="Заголовок 3 2 13" xfId="8846"/>
    <cellStyle name="Заголовок 3 2 14" xfId="8847"/>
    <cellStyle name="Заголовок 3 2 2" xfId="1538"/>
    <cellStyle name="Заголовок 3 2 2 2" xfId="8848"/>
    <cellStyle name="Заголовок 3 2 3" xfId="1539"/>
    <cellStyle name="Заголовок 3 2 3 2" xfId="8849"/>
    <cellStyle name="Заголовок 3 2 4" xfId="8842"/>
    <cellStyle name="Заголовок 3 2 5" xfId="8850"/>
    <cellStyle name="Заголовок 3 2 6" xfId="8851"/>
    <cellStyle name="Заголовок 3 2 7" xfId="8852"/>
    <cellStyle name="Заголовок 3 2 8" xfId="8853"/>
    <cellStyle name="Заголовок 3 2 9" xfId="8854"/>
    <cellStyle name="Заголовок 3 3" xfId="1540"/>
    <cellStyle name="Заголовок 3 3 10" xfId="8856"/>
    <cellStyle name="Заголовок 3 3 11" xfId="8857"/>
    <cellStyle name="Заголовок 3 3 12" xfId="8858"/>
    <cellStyle name="Заголовок 3 3 13" xfId="8859"/>
    <cellStyle name="Заголовок 3 3 14" xfId="8860"/>
    <cellStyle name="Заголовок 3 3 2" xfId="1541"/>
    <cellStyle name="Заголовок 3 3 2 2" xfId="8861"/>
    <cellStyle name="Заголовок 3 3 3" xfId="1542"/>
    <cellStyle name="Заголовок 3 3 3 2" xfId="8862"/>
    <cellStyle name="Заголовок 3 3 4" xfId="8855"/>
    <cellStyle name="Заголовок 3 3 5" xfId="8863"/>
    <cellStyle name="Заголовок 3 3 6" xfId="8864"/>
    <cellStyle name="Заголовок 3 3 7" xfId="8865"/>
    <cellStyle name="Заголовок 3 3 8" xfId="8866"/>
    <cellStyle name="Заголовок 3 3 9" xfId="8867"/>
    <cellStyle name="Заголовок 3 4" xfId="1543"/>
    <cellStyle name="Заголовок 3 4 10" xfId="8869"/>
    <cellStyle name="Заголовок 3 4 11" xfId="8870"/>
    <cellStyle name="Заголовок 3 4 12" xfId="8871"/>
    <cellStyle name="Заголовок 3 4 13" xfId="8872"/>
    <cellStyle name="Заголовок 3 4 14" xfId="8873"/>
    <cellStyle name="Заголовок 3 4 2" xfId="1544"/>
    <cellStyle name="Заголовок 3 4 2 2" xfId="8874"/>
    <cellStyle name="Заголовок 3 4 3" xfId="1545"/>
    <cellStyle name="Заголовок 3 4 3 2" xfId="8875"/>
    <cellStyle name="Заголовок 3 4 4" xfId="8868"/>
    <cellStyle name="Заголовок 3 4 5" xfId="8876"/>
    <cellStyle name="Заголовок 3 4 6" xfId="8877"/>
    <cellStyle name="Заголовок 3 4 7" xfId="8878"/>
    <cellStyle name="Заголовок 3 4 8" xfId="8879"/>
    <cellStyle name="Заголовок 3 4 9" xfId="8880"/>
    <cellStyle name="Заголовок 3 5" xfId="1546"/>
    <cellStyle name="Заголовок 3 5 10" xfId="8882"/>
    <cellStyle name="Заголовок 3 5 11" xfId="8883"/>
    <cellStyle name="Заголовок 3 5 12" xfId="8884"/>
    <cellStyle name="Заголовок 3 5 13" xfId="8885"/>
    <cellStyle name="Заголовок 3 5 14" xfId="8886"/>
    <cellStyle name="Заголовок 3 5 2" xfId="1547"/>
    <cellStyle name="Заголовок 3 5 2 2" xfId="8887"/>
    <cellStyle name="Заголовок 3 5 3" xfId="1548"/>
    <cellStyle name="Заголовок 3 5 3 2" xfId="8888"/>
    <cellStyle name="Заголовок 3 5 4" xfId="8881"/>
    <cellStyle name="Заголовок 3 5 5" xfId="8889"/>
    <cellStyle name="Заголовок 3 5 6" xfId="8890"/>
    <cellStyle name="Заголовок 3 5 7" xfId="8891"/>
    <cellStyle name="Заголовок 3 5 8" xfId="8892"/>
    <cellStyle name="Заголовок 3 5 9" xfId="8893"/>
    <cellStyle name="Заголовок 3 6" xfId="1549"/>
    <cellStyle name="Заголовок 3 6 10" xfId="8895"/>
    <cellStyle name="Заголовок 3 6 11" xfId="8896"/>
    <cellStyle name="Заголовок 3 6 12" xfId="8897"/>
    <cellStyle name="Заголовок 3 6 13" xfId="8898"/>
    <cellStyle name="Заголовок 3 6 14" xfId="8899"/>
    <cellStyle name="Заголовок 3 6 2" xfId="1550"/>
    <cellStyle name="Заголовок 3 6 2 2" xfId="8900"/>
    <cellStyle name="Заголовок 3 6 3" xfId="1551"/>
    <cellStyle name="Заголовок 3 6 3 2" xfId="8901"/>
    <cellStyle name="Заголовок 3 6 4" xfId="8894"/>
    <cellStyle name="Заголовок 3 6 5" xfId="8902"/>
    <cellStyle name="Заголовок 3 6 6" xfId="8903"/>
    <cellStyle name="Заголовок 3 6 7" xfId="8904"/>
    <cellStyle name="Заголовок 3 6 8" xfId="8905"/>
    <cellStyle name="Заголовок 3 6 9" xfId="8906"/>
    <cellStyle name="Заголовок 3 7" xfId="1552"/>
    <cellStyle name="Заголовок 3 7 10" xfId="8908"/>
    <cellStyle name="Заголовок 3 7 11" xfId="8909"/>
    <cellStyle name="Заголовок 3 7 12" xfId="8910"/>
    <cellStyle name="Заголовок 3 7 13" xfId="8911"/>
    <cellStyle name="Заголовок 3 7 14" xfId="8912"/>
    <cellStyle name="Заголовок 3 7 2" xfId="1553"/>
    <cellStyle name="Заголовок 3 7 2 2" xfId="8913"/>
    <cellStyle name="Заголовок 3 7 3" xfId="1554"/>
    <cellStyle name="Заголовок 3 7 3 2" xfId="8914"/>
    <cellStyle name="Заголовок 3 7 4" xfId="8907"/>
    <cellStyle name="Заголовок 3 7 5" xfId="8915"/>
    <cellStyle name="Заголовок 3 7 6" xfId="8916"/>
    <cellStyle name="Заголовок 3 7 7" xfId="8917"/>
    <cellStyle name="Заголовок 3 7 8" xfId="8918"/>
    <cellStyle name="Заголовок 3 7 9" xfId="8919"/>
    <cellStyle name="Заголовок 3 8" xfId="1555"/>
    <cellStyle name="Заголовок 3 8 10" xfId="8921"/>
    <cellStyle name="Заголовок 3 8 11" xfId="8922"/>
    <cellStyle name="Заголовок 3 8 12" xfId="8923"/>
    <cellStyle name="Заголовок 3 8 13" xfId="8924"/>
    <cellStyle name="Заголовок 3 8 14" xfId="8925"/>
    <cellStyle name="Заголовок 3 8 2" xfId="1556"/>
    <cellStyle name="Заголовок 3 8 2 2" xfId="8926"/>
    <cellStyle name="Заголовок 3 8 3" xfId="1557"/>
    <cellStyle name="Заголовок 3 8 3 2" xfId="8927"/>
    <cellStyle name="Заголовок 3 8 4" xfId="8920"/>
    <cellStyle name="Заголовок 3 8 5" xfId="8928"/>
    <cellStyle name="Заголовок 3 8 6" xfId="8929"/>
    <cellStyle name="Заголовок 3 8 7" xfId="8930"/>
    <cellStyle name="Заголовок 3 8 8" xfId="8931"/>
    <cellStyle name="Заголовок 3 8 9" xfId="8932"/>
    <cellStyle name="Заголовок 3 9" xfId="1558"/>
    <cellStyle name="Заголовок 3 9 10" xfId="8934"/>
    <cellStyle name="Заголовок 3 9 11" xfId="8935"/>
    <cellStyle name="Заголовок 3 9 12" xfId="8936"/>
    <cellStyle name="Заголовок 3 9 13" xfId="8937"/>
    <cellStyle name="Заголовок 3 9 14" xfId="8938"/>
    <cellStyle name="Заголовок 3 9 2" xfId="1559"/>
    <cellStyle name="Заголовок 3 9 2 2" xfId="8939"/>
    <cellStyle name="Заголовок 3 9 3" xfId="1560"/>
    <cellStyle name="Заголовок 3 9 3 2" xfId="8940"/>
    <cellStyle name="Заголовок 3 9 4" xfId="8933"/>
    <cellStyle name="Заголовок 3 9 5" xfId="8941"/>
    <cellStyle name="Заголовок 3 9 6" xfId="8942"/>
    <cellStyle name="Заголовок 3 9 7" xfId="8943"/>
    <cellStyle name="Заголовок 3 9 8" xfId="8944"/>
    <cellStyle name="Заголовок 3 9 9" xfId="8945"/>
    <cellStyle name="Заголовок 4 10" xfId="1561"/>
    <cellStyle name="Заголовок 4 10 10" xfId="8947"/>
    <cellStyle name="Заголовок 4 10 11" xfId="8948"/>
    <cellStyle name="Заголовок 4 10 12" xfId="8949"/>
    <cellStyle name="Заголовок 4 10 13" xfId="8950"/>
    <cellStyle name="Заголовок 4 10 14" xfId="8951"/>
    <cellStyle name="Заголовок 4 10 2" xfId="1562"/>
    <cellStyle name="Заголовок 4 10 2 2" xfId="8952"/>
    <cellStyle name="Заголовок 4 10 3" xfId="1563"/>
    <cellStyle name="Заголовок 4 10 3 2" xfId="8953"/>
    <cellStyle name="Заголовок 4 10 4" xfId="8946"/>
    <cellStyle name="Заголовок 4 10 5" xfId="8954"/>
    <cellStyle name="Заголовок 4 10 6" xfId="8955"/>
    <cellStyle name="Заголовок 4 10 7" xfId="8956"/>
    <cellStyle name="Заголовок 4 10 8" xfId="8957"/>
    <cellStyle name="Заголовок 4 10 9" xfId="8958"/>
    <cellStyle name="Заголовок 4 11" xfId="1564"/>
    <cellStyle name="Заголовок 4 11 10" xfId="8960"/>
    <cellStyle name="Заголовок 4 11 11" xfId="8961"/>
    <cellStyle name="Заголовок 4 11 12" xfId="8962"/>
    <cellStyle name="Заголовок 4 11 13" xfId="8963"/>
    <cellStyle name="Заголовок 4 11 14" xfId="8964"/>
    <cellStyle name="Заголовок 4 11 2" xfId="1565"/>
    <cellStyle name="Заголовок 4 11 2 2" xfId="8965"/>
    <cellStyle name="Заголовок 4 11 3" xfId="1566"/>
    <cellStyle name="Заголовок 4 11 3 2" xfId="8966"/>
    <cellStyle name="Заголовок 4 11 4" xfId="8959"/>
    <cellStyle name="Заголовок 4 11 5" xfId="8967"/>
    <cellStyle name="Заголовок 4 11 6" xfId="8968"/>
    <cellStyle name="Заголовок 4 11 7" xfId="8969"/>
    <cellStyle name="Заголовок 4 11 8" xfId="8970"/>
    <cellStyle name="Заголовок 4 11 9" xfId="8971"/>
    <cellStyle name="Заголовок 4 12" xfId="1567"/>
    <cellStyle name="Заголовок 4 12 10" xfId="8973"/>
    <cellStyle name="Заголовок 4 12 11" xfId="8974"/>
    <cellStyle name="Заголовок 4 12 12" xfId="8975"/>
    <cellStyle name="Заголовок 4 12 13" xfId="8976"/>
    <cellStyle name="Заголовок 4 12 14" xfId="8977"/>
    <cellStyle name="Заголовок 4 12 2" xfId="1568"/>
    <cellStyle name="Заголовок 4 12 2 2" xfId="8978"/>
    <cellStyle name="Заголовок 4 12 3" xfId="1569"/>
    <cellStyle name="Заголовок 4 12 3 2" xfId="8979"/>
    <cellStyle name="Заголовок 4 12 4" xfId="8972"/>
    <cellStyle name="Заголовок 4 12 5" xfId="8980"/>
    <cellStyle name="Заголовок 4 12 6" xfId="8981"/>
    <cellStyle name="Заголовок 4 12 7" xfId="8982"/>
    <cellStyle name="Заголовок 4 12 8" xfId="8983"/>
    <cellStyle name="Заголовок 4 12 9" xfId="8984"/>
    <cellStyle name="Заголовок 4 13" xfId="1570"/>
    <cellStyle name="Заголовок 4 13 10" xfId="8986"/>
    <cellStyle name="Заголовок 4 13 11" xfId="8987"/>
    <cellStyle name="Заголовок 4 13 12" xfId="8988"/>
    <cellStyle name="Заголовок 4 13 13" xfId="8989"/>
    <cellStyle name="Заголовок 4 13 14" xfId="8990"/>
    <cellStyle name="Заголовок 4 13 2" xfId="1571"/>
    <cellStyle name="Заголовок 4 13 2 2" xfId="8991"/>
    <cellStyle name="Заголовок 4 13 3" xfId="1572"/>
    <cellStyle name="Заголовок 4 13 3 2" xfId="8992"/>
    <cellStyle name="Заголовок 4 13 4" xfId="8985"/>
    <cellStyle name="Заголовок 4 13 5" xfId="8993"/>
    <cellStyle name="Заголовок 4 13 6" xfId="8994"/>
    <cellStyle name="Заголовок 4 13 7" xfId="8995"/>
    <cellStyle name="Заголовок 4 13 8" xfId="8996"/>
    <cellStyle name="Заголовок 4 13 9" xfId="8997"/>
    <cellStyle name="Заголовок 4 14" xfId="1573"/>
    <cellStyle name="Заголовок 4 14 10" xfId="8999"/>
    <cellStyle name="Заголовок 4 14 11" xfId="9000"/>
    <cellStyle name="Заголовок 4 14 12" xfId="9001"/>
    <cellStyle name="Заголовок 4 14 13" xfId="9002"/>
    <cellStyle name="Заголовок 4 14 14" xfId="9003"/>
    <cellStyle name="Заголовок 4 14 2" xfId="1574"/>
    <cellStyle name="Заголовок 4 14 2 2" xfId="9004"/>
    <cellStyle name="Заголовок 4 14 3" xfId="1575"/>
    <cellStyle name="Заголовок 4 14 3 2" xfId="9005"/>
    <cellStyle name="Заголовок 4 14 4" xfId="8998"/>
    <cellStyle name="Заголовок 4 14 5" xfId="9006"/>
    <cellStyle name="Заголовок 4 14 6" xfId="9007"/>
    <cellStyle name="Заголовок 4 14 7" xfId="9008"/>
    <cellStyle name="Заголовок 4 14 8" xfId="9009"/>
    <cellStyle name="Заголовок 4 14 9" xfId="9010"/>
    <cellStyle name="Заголовок 4 15" xfId="1576"/>
    <cellStyle name="Заголовок 4 15 10" xfId="9012"/>
    <cellStyle name="Заголовок 4 15 11" xfId="9013"/>
    <cellStyle name="Заголовок 4 15 12" xfId="9014"/>
    <cellStyle name="Заголовок 4 15 13" xfId="9015"/>
    <cellStyle name="Заголовок 4 15 14" xfId="9016"/>
    <cellStyle name="Заголовок 4 15 2" xfId="1577"/>
    <cellStyle name="Заголовок 4 15 2 2" xfId="9017"/>
    <cellStyle name="Заголовок 4 15 3" xfId="1578"/>
    <cellStyle name="Заголовок 4 15 3 2" xfId="9018"/>
    <cellStyle name="Заголовок 4 15 4" xfId="9011"/>
    <cellStyle name="Заголовок 4 15 5" xfId="9019"/>
    <cellStyle name="Заголовок 4 15 6" xfId="9020"/>
    <cellStyle name="Заголовок 4 15 7" xfId="9021"/>
    <cellStyle name="Заголовок 4 15 8" xfId="9022"/>
    <cellStyle name="Заголовок 4 15 9" xfId="9023"/>
    <cellStyle name="Заголовок 4 16" xfId="1579"/>
    <cellStyle name="Заголовок 4 16 10" xfId="9025"/>
    <cellStyle name="Заголовок 4 16 11" xfId="9026"/>
    <cellStyle name="Заголовок 4 16 12" xfId="9027"/>
    <cellStyle name="Заголовок 4 16 13" xfId="9028"/>
    <cellStyle name="Заголовок 4 16 14" xfId="9029"/>
    <cellStyle name="Заголовок 4 16 2" xfId="1580"/>
    <cellStyle name="Заголовок 4 16 2 2" xfId="9030"/>
    <cellStyle name="Заголовок 4 16 3" xfId="1581"/>
    <cellStyle name="Заголовок 4 16 3 2" xfId="9031"/>
    <cellStyle name="Заголовок 4 16 4" xfId="9024"/>
    <cellStyle name="Заголовок 4 16 5" xfId="9032"/>
    <cellStyle name="Заголовок 4 16 6" xfId="9033"/>
    <cellStyle name="Заголовок 4 16 7" xfId="9034"/>
    <cellStyle name="Заголовок 4 16 8" xfId="9035"/>
    <cellStyle name="Заголовок 4 16 9" xfId="9036"/>
    <cellStyle name="Заголовок 4 17" xfId="1582"/>
    <cellStyle name="Заголовок 4 17 10" xfId="9038"/>
    <cellStyle name="Заголовок 4 17 11" xfId="9039"/>
    <cellStyle name="Заголовок 4 17 12" xfId="9040"/>
    <cellStyle name="Заголовок 4 17 13" xfId="9041"/>
    <cellStyle name="Заголовок 4 17 14" xfId="9042"/>
    <cellStyle name="Заголовок 4 17 2" xfId="1583"/>
    <cellStyle name="Заголовок 4 17 2 2" xfId="9043"/>
    <cellStyle name="Заголовок 4 17 3" xfId="1584"/>
    <cellStyle name="Заголовок 4 17 3 2" xfId="9044"/>
    <cellStyle name="Заголовок 4 17 4" xfId="9037"/>
    <cellStyle name="Заголовок 4 17 5" xfId="9045"/>
    <cellStyle name="Заголовок 4 17 6" xfId="9046"/>
    <cellStyle name="Заголовок 4 17 7" xfId="9047"/>
    <cellStyle name="Заголовок 4 17 8" xfId="9048"/>
    <cellStyle name="Заголовок 4 17 9" xfId="9049"/>
    <cellStyle name="Заголовок 4 18" xfId="1585"/>
    <cellStyle name="Заголовок 4 18 2" xfId="1586"/>
    <cellStyle name="Заголовок 4 18 2 2" xfId="9051"/>
    <cellStyle name="Заголовок 4 18 3" xfId="9050"/>
    <cellStyle name="Заголовок 4 19" xfId="1587"/>
    <cellStyle name="Заголовок 4 19 2" xfId="1588"/>
    <cellStyle name="Заголовок 4 19 2 2" xfId="9053"/>
    <cellStyle name="Заголовок 4 19 3" xfId="9052"/>
    <cellStyle name="Заголовок 4 2" xfId="1589"/>
    <cellStyle name="Заголовок 4 2 10" xfId="9055"/>
    <cellStyle name="Заголовок 4 2 11" xfId="9056"/>
    <cellStyle name="Заголовок 4 2 12" xfId="9057"/>
    <cellStyle name="Заголовок 4 2 13" xfId="9058"/>
    <cellStyle name="Заголовок 4 2 14" xfId="9059"/>
    <cellStyle name="Заголовок 4 2 2" xfId="1590"/>
    <cellStyle name="Заголовок 4 2 2 2" xfId="9060"/>
    <cellStyle name="Заголовок 4 2 3" xfId="1591"/>
    <cellStyle name="Заголовок 4 2 3 2" xfId="9061"/>
    <cellStyle name="Заголовок 4 2 4" xfId="9054"/>
    <cellStyle name="Заголовок 4 2 5" xfId="9062"/>
    <cellStyle name="Заголовок 4 2 6" xfId="9063"/>
    <cellStyle name="Заголовок 4 2 7" xfId="9064"/>
    <cellStyle name="Заголовок 4 2 8" xfId="9065"/>
    <cellStyle name="Заголовок 4 2 9" xfId="9066"/>
    <cellStyle name="Заголовок 4 3" xfId="1592"/>
    <cellStyle name="Заголовок 4 3 10" xfId="9068"/>
    <cellStyle name="Заголовок 4 3 11" xfId="9069"/>
    <cellStyle name="Заголовок 4 3 12" xfId="9070"/>
    <cellStyle name="Заголовок 4 3 13" xfId="9071"/>
    <cellStyle name="Заголовок 4 3 14" xfId="9072"/>
    <cellStyle name="Заголовок 4 3 2" xfId="1593"/>
    <cellStyle name="Заголовок 4 3 2 2" xfId="9073"/>
    <cellStyle name="Заголовок 4 3 3" xfId="1594"/>
    <cellStyle name="Заголовок 4 3 3 2" xfId="9074"/>
    <cellStyle name="Заголовок 4 3 4" xfId="9067"/>
    <cellStyle name="Заголовок 4 3 5" xfId="9075"/>
    <cellStyle name="Заголовок 4 3 6" xfId="9076"/>
    <cellStyle name="Заголовок 4 3 7" xfId="9077"/>
    <cellStyle name="Заголовок 4 3 8" xfId="9078"/>
    <cellStyle name="Заголовок 4 3 9" xfId="9079"/>
    <cellStyle name="Заголовок 4 4" xfId="1595"/>
    <cellStyle name="Заголовок 4 4 10" xfId="9081"/>
    <cellStyle name="Заголовок 4 4 11" xfId="9082"/>
    <cellStyle name="Заголовок 4 4 12" xfId="9083"/>
    <cellStyle name="Заголовок 4 4 13" xfId="9084"/>
    <cellStyle name="Заголовок 4 4 14" xfId="9085"/>
    <cellStyle name="Заголовок 4 4 2" xfId="1596"/>
    <cellStyle name="Заголовок 4 4 2 2" xfId="9086"/>
    <cellStyle name="Заголовок 4 4 3" xfId="1597"/>
    <cellStyle name="Заголовок 4 4 3 2" xfId="9087"/>
    <cellStyle name="Заголовок 4 4 4" xfId="9080"/>
    <cellStyle name="Заголовок 4 4 5" xfId="9088"/>
    <cellStyle name="Заголовок 4 4 6" xfId="9089"/>
    <cellStyle name="Заголовок 4 4 7" xfId="9090"/>
    <cellStyle name="Заголовок 4 4 8" xfId="9091"/>
    <cellStyle name="Заголовок 4 4 9" xfId="9092"/>
    <cellStyle name="Заголовок 4 5" xfId="1598"/>
    <cellStyle name="Заголовок 4 5 10" xfId="9094"/>
    <cellStyle name="Заголовок 4 5 11" xfId="9095"/>
    <cellStyle name="Заголовок 4 5 12" xfId="9096"/>
    <cellStyle name="Заголовок 4 5 13" xfId="9097"/>
    <cellStyle name="Заголовок 4 5 14" xfId="9098"/>
    <cellStyle name="Заголовок 4 5 2" xfId="1599"/>
    <cellStyle name="Заголовок 4 5 2 2" xfId="9099"/>
    <cellStyle name="Заголовок 4 5 3" xfId="1600"/>
    <cellStyle name="Заголовок 4 5 3 2" xfId="9100"/>
    <cellStyle name="Заголовок 4 5 4" xfId="9093"/>
    <cellStyle name="Заголовок 4 5 5" xfId="9101"/>
    <cellStyle name="Заголовок 4 5 6" xfId="9102"/>
    <cellStyle name="Заголовок 4 5 7" xfId="9103"/>
    <cellStyle name="Заголовок 4 5 8" xfId="9104"/>
    <cellStyle name="Заголовок 4 5 9" xfId="9105"/>
    <cellStyle name="Заголовок 4 6" xfId="1601"/>
    <cellStyle name="Заголовок 4 6 10" xfId="9107"/>
    <cellStyle name="Заголовок 4 6 11" xfId="9108"/>
    <cellStyle name="Заголовок 4 6 12" xfId="9109"/>
    <cellStyle name="Заголовок 4 6 13" xfId="9110"/>
    <cellStyle name="Заголовок 4 6 14" xfId="9111"/>
    <cellStyle name="Заголовок 4 6 2" xfId="1602"/>
    <cellStyle name="Заголовок 4 6 2 2" xfId="9112"/>
    <cellStyle name="Заголовок 4 6 3" xfId="1603"/>
    <cellStyle name="Заголовок 4 6 3 2" xfId="9113"/>
    <cellStyle name="Заголовок 4 6 4" xfId="9106"/>
    <cellStyle name="Заголовок 4 6 5" xfId="9114"/>
    <cellStyle name="Заголовок 4 6 6" xfId="9115"/>
    <cellStyle name="Заголовок 4 6 7" xfId="9116"/>
    <cellStyle name="Заголовок 4 6 8" xfId="9117"/>
    <cellStyle name="Заголовок 4 6 9" xfId="9118"/>
    <cellStyle name="Заголовок 4 7" xfId="1604"/>
    <cellStyle name="Заголовок 4 7 10" xfId="9120"/>
    <cellStyle name="Заголовок 4 7 11" xfId="9121"/>
    <cellStyle name="Заголовок 4 7 12" xfId="9122"/>
    <cellStyle name="Заголовок 4 7 13" xfId="9123"/>
    <cellStyle name="Заголовок 4 7 14" xfId="9124"/>
    <cellStyle name="Заголовок 4 7 2" xfId="1605"/>
    <cellStyle name="Заголовок 4 7 2 2" xfId="9125"/>
    <cellStyle name="Заголовок 4 7 3" xfId="1606"/>
    <cellStyle name="Заголовок 4 7 3 2" xfId="9126"/>
    <cellStyle name="Заголовок 4 7 4" xfId="9119"/>
    <cellStyle name="Заголовок 4 7 5" xfId="9127"/>
    <cellStyle name="Заголовок 4 7 6" xfId="9128"/>
    <cellStyle name="Заголовок 4 7 7" xfId="9129"/>
    <cellStyle name="Заголовок 4 7 8" xfId="9130"/>
    <cellStyle name="Заголовок 4 7 9" xfId="9131"/>
    <cellStyle name="Заголовок 4 8" xfId="1607"/>
    <cellStyle name="Заголовок 4 8 10" xfId="9133"/>
    <cellStyle name="Заголовок 4 8 11" xfId="9134"/>
    <cellStyle name="Заголовок 4 8 12" xfId="9135"/>
    <cellStyle name="Заголовок 4 8 13" xfId="9136"/>
    <cellStyle name="Заголовок 4 8 14" xfId="9137"/>
    <cellStyle name="Заголовок 4 8 2" xfId="1608"/>
    <cellStyle name="Заголовок 4 8 2 2" xfId="9138"/>
    <cellStyle name="Заголовок 4 8 3" xfId="1609"/>
    <cellStyle name="Заголовок 4 8 3 2" xfId="9139"/>
    <cellStyle name="Заголовок 4 8 4" xfId="9132"/>
    <cellStyle name="Заголовок 4 8 5" xfId="9140"/>
    <cellStyle name="Заголовок 4 8 6" xfId="9141"/>
    <cellStyle name="Заголовок 4 8 7" xfId="9142"/>
    <cellStyle name="Заголовок 4 8 8" xfId="9143"/>
    <cellStyle name="Заголовок 4 8 9" xfId="9144"/>
    <cellStyle name="Заголовок 4 9" xfId="1610"/>
    <cellStyle name="Заголовок 4 9 10" xfId="9146"/>
    <cellStyle name="Заголовок 4 9 11" xfId="9147"/>
    <cellStyle name="Заголовок 4 9 12" xfId="9148"/>
    <cellStyle name="Заголовок 4 9 13" xfId="9149"/>
    <cellStyle name="Заголовок 4 9 14" xfId="9150"/>
    <cellStyle name="Заголовок 4 9 2" xfId="1611"/>
    <cellStyle name="Заголовок 4 9 2 2" xfId="9151"/>
    <cellStyle name="Заголовок 4 9 3" xfId="1612"/>
    <cellStyle name="Заголовок 4 9 3 2" xfId="9152"/>
    <cellStyle name="Заголовок 4 9 4" xfId="9145"/>
    <cellStyle name="Заголовок 4 9 5" xfId="9153"/>
    <cellStyle name="Заголовок 4 9 6" xfId="9154"/>
    <cellStyle name="Заголовок 4 9 7" xfId="9155"/>
    <cellStyle name="Заголовок 4 9 8" xfId="9156"/>
    <cellStyle name="Заголовок 4 9 9" xfId="9157"/>
    <cellStyle name="Итог 10" xfId="1613"/>
    <cellStyle name="Итог 10 10" xfId="9159"/>
    <cellStyle name="Итог 10 11" xfId="9160"/>
    <cellStyle name="Итог 10 12" xfId="9161"/>
    <cellStyle name="Итог 10 13" xfId="9162"/>
    <cellStyle name="Итог 10 14" xfId="9163"/>
    <cellStyle name="Итог 10 15" xfId="11890"/>
    <cellStyle name="Итог 10 15 2" xfId="14788"/>
    <cellStyle name="Итог 10 15 2 2" xfId="17002"/>
    <cellStyle name="Итог 10 15 2 2 2" xfId="23054"/>
    <cellStyle name="Итог 10 15 2 2 3" xfId="30816"/>
    <cellStyle name="Итог 10 15 2 2 4" xfId="40691"/>
    <cellStyle name="Итог 10 15 2 3" xfId="20071"/>
    <cellStyle name="Итог 10 15 2 3 2" xfId="33881"/>
    <cellStyle name="Итог 10 15 2 3 3" xfId="43749"/>
    <cellStyle name="Итог 10 15 2 4" xfId="28608"/>
    <cellStyle name="Итог 10 15 2 5" xfId="38483"/>
    <cellStyle name="Итог 10 15 3" xfId="14444"/>
    <cellStyle name="Итог 10 15 3 2" xfId="19727"/>
    <cellStyle name="Итог 10 15 3 2 2" xfId="33537"/>
    <cellStyle name="Итог 10 15 3 2 3" xfId="43405"/>
    <cellStyle name="Итог 10 15 3 3" xfId="28264"/>
    <cellStyle name="Итог 10 15 3 4" xfId="38139"/>
    <cellStyle name="Итог 10 15 4" xfId="20729"/>
    <cellStyle name="Итог 10 15 5" xfId="21285"/>
    <cellStyle name="Итог 10 15 6" xfId="22462"/>
    <cellStyle name="Итог 10 15 7" xfId="23950"/>
    <cellStyle name="Итог 10 15 8" xfId="25764"/>
    <cellStyle name="Итог 10 15 9" xfId="35639"/>
    <cellStyle name="Итог 10 16" xfId="12114"/>
    <cellStyle name="Итог 10 16 10" xfId="35863"/>
    <cellStyle name="Итог 10 16 2" xfId="15012"/>
    <cellStyle name="Итог 10 16 2 2" xfId="20295"/>
    <cellStyle name="Итог 10 16 2 2 2" xfId="34105"/>
    <cellStyle name="Итог 10 16 2 2 3" xfId="43973"/>
    <cellStyle name="Итог 10 16 2 3" xfId="23566"/>
    <cellStyle name="Итог 10 16 2 4" xfId="28832"/>
    <cellStyle name="Итог 10 16 2 5" xfId="38707"/>
    <cellStyle name="Итог 10 16 3" xfId="20601"/>
    <cellStyle name="Итог 10 16 4" xfId="20937"/>
    <cellStyle name="Итог 10 16 5" xfId="21051"/>
    <cellStyle name="Итог 10 16 6" xfId="21493"/>
    <cellStyle name="Итог 10 16 7" xfId="22686"/>
    <cellStyle name="Итог 10 16 8" xfId="24190"/>
    <cellStyle name="Итог 10 16 9" xfId="25988"/>
    <cellStyle name="Итог 10 17" xfId="12194"/>
    <cellStyle name="Итог 10 17 10" xfId="35943"/>
    <cellStyle name="Итог 10 17 2" xfId="15092"/>
    <cellStyle name="Итог 10 17 2 2" xfId="20375"/>
    <cellStyle name="Итог 10 17 2 2 2" xfId="34185"/>
    <cellStyle name="Итог 10 17 2 2 3" xfId="44053"/>
    <cellStyle name="Итог 10 17 2 3" xfId="23646"/>
    <cellStyle name="Итог 10 17 2 4" xfId="28912"/>
    <cellStyle name="Итог 10 17 2 5" xfId="38787"/>
    <cellStyle name="Итог 10 17 3" xfId="20665"/>
    <cellStyle name="Итог 10 17 4" xfId="21001"/>
    <cellStyle name="Итог 10 17 5" xfId="21099"/>
    <cellStyle name="Итог 10 17 6" xfId="21573"/>
    <cellStyle name="Итог 10 17 7" xfId="22766"/>
    <cellStyle name="Итог 10 17 8" xfId="24270"/>
    <cellStyle name="Итог 10 17 9" xfId="26068"/>
    <cellStyle name="Итог 10 18" xfId="11738"/>
    <cellStyle name="Итог 10 18 2" xfId="14636"/>
    <cellStyle name="Итог 10 18 2 2" xfId="19919"/>
    <cellStyle name="Итог 10 18 2 2 2" xfId="33729"/>
    <cellStyle name="Итог 10 18 2 2 3" xfId="43597"/>
    <cellStyle name="Итог 10 18 2 3" xfId="28456"/>
    <cellStyle name="Итог 10 18 2 4" xfId="38331"/>
    <cellStyle name="Итог 10 18 3" xfId="15869"/>
    <cellStyle name="Итог 10 18 3 2" xfId="22813"/>
    <cellStyle name="Итог 10 18 3 3" xfId="24501"/>
    <cellStyle name="Итог 10 18 3 4" xfId="29688"/>
    <cellStyle name="Итог 10 18 3 5" xfId="39563"/>
    <cellStyle name="Итог 10 18 4" xfId="23293"/>
    <cellStyle name="Итог 10 18 5" xfId="25612"/>
    <cellStyle name="Итог 10 18 6" xfId="35487"/>
    <cellStyle name="Итог 10 19" xfId="13413"/>
    <cellStyle name="Итог 10 19 2" xfId="16164"/>
    <cellStyle name="Итог 10 19 2 2" xfId="29982"/>
    <cellStyle name="Итог 10 19 2 3" xfId="39857"/>
    <cellStyle name="Итог 10 19 3" xfId="18745"/>
    <cellStyle name="Итог 10 19 3 2" xfId="32555"/>
    <cellStyle name="Итог 10 19 3 3" xfId="42427"/>
    <cellStyle name="Итог 10 19 4" xfId="27286"/>
    <cellStyle name="Итог 10 19 5" xfId="37161"/>
    <cellStyle name="Итог 10 2" xfId="1614"/>
    <cellStyle name="Итог 10 2 10" xfId="34370"/>
    <cellStyle name="Итог 10 2 11" xfId="34517"/>
    <cellStyle name="Итог 10 2 2" xfId="9164"/>
    <cellStyle name="Итог 10 2 3" xfId="12014"/>
    <cellStyle name="Итог 10 2 3 2" xfId="14912"/>
    <cellStyle name="Итог 10 2 3 2 2" xfId="17126"/>
    <cellStyle name="Итог 10 2 3 2 2 2" xfId="23178"/>
    <cellStyle name="Итог 10 2 3 2 2 3" xfId="30940"/>
    <cellStyle name="Итог 10 2 3 2 2 4" xfId="40815"/>
    <cellStyle name="Итог 10 2 3 2 3" xfId="20195"/>
    <cellStyle name="Итог 10 2 3 2 3 2" xfId="34005"/>
    <cellStyle name="Итог 10 2 3 2 3 3" xfId="43873"/>
    <cellStyle name="Итог 10 2 3 2 4" xfId="28732"/>
    <cellStyle name="Итог 10 2 3 2 5" xfId="38607"/>
    <cellStyle name="Итог 10 2 3 3" xfId="14371"/>
    <cellStyle name="Итог 10 2 3 3 2" xfId="19654"/>
    <cellStyle name="Итог 10 2 3 3 2 2" xfId="33464"/>
    <cellStyle name="Итог 10 2 3 3 2 3" xfId="43333"/>
    <cellStyle name="Итог 10 2 3 3 3" xfId="28192"/>
    <cellStyle name="Итог 10 2 3 3 4" xfId="38067"/>
    <cellStyle name="Итог 10 2 3 4" xfId="20853"/>
    <cellStyle name="Итог 10 2 3 5" xfId="21409"/>
    <cellStyle name="Итог 10 2 3 6" xfId="22602"/>
    <cellStyle name="Итог 10 2 3 7" xfId="24090"/>
    <cellStyle name="Итог 10 2 3 8" xfId="25888"/>
    <cellStyle name="Итог 10 2 3 9" xfId="35763"/>
    <cellStyle name="Итог 10 2 4" xfId="11739"/>
    <cellStyle name="Итог 10 2 4 2" xfId="14637"/>
    <cellStyle name="Итог 10 2 4 2 2" xfId="19920"/>
    <cellStyle name="Итог 10 2 4 2 2 2" xfId="33730"/>
    <cellStyle name="Итог 10 2 4 2 2 3" xfId="43598"/>
    <cellStyle name="Итог 10 2 4 2 3" xfId="28457"/>
    <cellStyle name="Итог 10 2 4 2 4" xfId="38332"/>
    <cellStyle name="Итог 10 2 4 3" xfId="15870"/>
    <cellStyle name="Итог 10 2 4 3 2" xfId="22970"/>
    <cellStyle name="Итог 10 2 4 3 3" xfId="24502"/>
    <cellStyle name="Итог 10 2 4 3 4" xfId="29689"/>
    <cellStyle name="Итог 10 2 4 3 5" xfId="39564"/>
    <cellStyle name="Итог 10 2 4 4" xfId="23450"/>
    <cellStyle name="Итог 10 2 4 5" xfId="25613"/>
    <cellStyle name="Итог 10 2 4 6" xfId="35488"/>
    <cellStyle name="Итог 10 2 5" xfId="12336"/>
    <cellStyle name="Итог 10 2 5 2" xfId="17668"/>
    <cellStyle name="Итог 10 2 5 2 2" xfId="31478"/>
    <cellStyle name="Итог 10 2 5 2 3" xfId="41351"/>
    <cellStyle name="Итог 10 2 5 3" xfId="20517"/>
    <cellStyle name="Итог 10 2 5 4" xfId="26210"/>
    <cellStyle name="Итог 10 2 5 5" xfId="36085"/>
    <cellStyle name="Итог 10 2 6" xfId="13414"/>
    <cellStyle name="Итог 10 2 6 2" xfId="16165"/>
    <cellStyle name="Итог 10 2 6 2 2" xfId="29983"/>
    <cellStyle name="Итог 10 2 6 2 3" xfId="39858"/>
    <cellStyle name="Итог 10 2 6 3" xfId="18746"/>
    <cellStyle name="Итог 10 2 6 3 2" xfId="32556"/>
    <cellStyle name="Итог 10 2 6 3 3" xfId="42428"/>
    <cellStyle name="Итог 10 2 6 4" xfId="27287"/>
    <cellStyle name="Итог 10 2 6 5" xfId="37162"/>
    <cellStyle name="Итог 10 2 7" xfId="13364"/>
    <cellStyle name="Итог 10 2 7 2" xfId="18696"/>
    <cellStyle name="Итог 10 2 7 2 2" xfId="32506"/>
    <cellStyle name="Итог 10 2 7 2 3" xfId="42378"/>
    <cellStyle name="Итог 10 2 7 3" xfId="27237"/>
    <cellStyle name="Итог 10 2 7 4" xfId="37112"/>
    <cellStyle name="Итог 10 2 8" xfId="17319"/>
    <cellStyle name="Итог 10 2 8 2" xfId="23835"/>
    <cellStyle name="Итог 10 2 8 3" xfId="31130"/>
    <cellStyle name="Итог 10 2 8 4" xfId="41004"/>
    <cellStyle name="Итог 10 2 9" xfId="24751"/>
    <cellStyle name="Итог 10 20" xfId="13363"/>
    <cellStyle name="Итог 10 20 2" xfId="18695"/>
    <cellStyle name="Итог 10 20 2 2" xfId="32505"/>
    <cellStyle name="Итог 10 20 2 3" xfId="42377"/>
    <cellStyle name="Итог 10 20 3" xfId="27236"/>
    <cellStyle name="Итог 10 20 4" xfId="37111"/>
    <cellStyle name="Итог 10 21" xfId="17318"/>
    <cellStyle name="Итог 10 21 2" xfId="21146"/>
    <cellStyle name="Итог 10 21 3" xfId="31129"/>
    <cellStyle name="Итог 10 21 4" xfId="41003"/>
    <cellStyle name="Итог 10 22" xfId="23834"/>
    <cellStyle name="Итог 10 23" xfId="24750"/>
    <cellStyle name="Итог 10 24" xfId="34369"/>
    <cellStyle name="Итог 10 25" xfId="34518"/>
    <cellStyle name="Итог 10 3" xfId="1615"/>
    <cellStyle name="Итог 10 3 10" xfId="34371"/>
    <cellStyle name="Итог 10 3 11" xfId="34516"/>
    <cellStyle name="Итог 10 3 2" xfId="9165"/>
    <cellStyle name="Итог 10 3 3" xfId="12015"/>
    <cellStyle name="Итог 10 3 3 2" xfId="14913"/>
    <cellStyle name="Итог 10 3 3 2 2" xfId="17127"/>
    <cellStyle name="Итог 10 3 3 2 2 2" xfId="23179"/>
    <cellStyle name="Итог 10 3 3 2 2 3" xfId="30941"/>
    <cellStyle name="Итог 10 3 3 2 2 4" xfId="40816"/>
    <cellStyle name="Итог 10 3 3 2 3" xfId="20196"/>
    <cellStyle name="Итог 10 3 3 2 3 2" xfId="34006"/>
    <cellStyle name="Итог 10 3 3 2 3 3" xfId="43874"/>
    <cellStyle name="Итог 10 3 3 2 4" xfId="28733"/>
    <cellStyle name="Итог 10 3 3 2 5" xfId="38608"/>
    <cellStyle name="Итог 10 3 3 3" xfId="14372"/>
    <cellStyle name="Итог 10 3 3 3 2" xfId="19655"/>
    <cellStyle name="Итог 10 3 3 3 2 2" xfId="33465"/>
    <cellStyle name="Итог 10 3 3 3 2 3" xfId="43334"/>
    <cellStyle name="Итог 10 3 3 3 3" xfId="28193"/>
    <cellStyle name="Итог 10 3 3 3 4" xfId="38068"/>
    <cellStyle name="Итог 10 3 3 4" xfId="20854"/>
    <cellStyle name="Итог 10 3 3 5" xfId="21410"/>
    <cellStyle name="Итог 10 3 3 6" xfId="22603"/>
    <cellStyle name="Итог 10 3 3 7" xfId="24091"/>
    <cellStyle name="Итог 10 3 3 8" xfId="25889"/>
    <cellStyle name="Итог 10 3 3 9" xfId="35764"/>
    <cellStyle name="Итог 10 3 4" xfId="11740"/>
    <cellStyle name="Итог 10 3 4 2" xfId="14638"/>
    <cellStyle name="Итог 10 3 4 2 2" xfId="19921"/>
    <cellStyle name="Итог 10 3 4 2 2 2" xfId="33731"/>
    <cellStyle name="Итог 10 3 4 2 2 3" xfId="43599"/>
    <cellStyle name="Итог 10 3 4 2 3" xfId="28458"/>
    <cellStyle name="Итог 10 3 4 2 4" xfId="38333"/>
    <cellStyle name="Итог 10 3 4 3" xfId="15871"/>
    <cellStyle name="Итог 10 3 4 3 2" xfId="22971"/>
    <cellStyle name="Итог 10 3 4 3 3" xfId="24503"/>
    <cellStyle name="Итог 10 3 4 3 4" xfId="29690"/>
    <cellStyle name="Итог 10 3 4 3 5" xfId="39565"/>
    <cellStyle name="Итог 10 3 4 4" xfId="23451"/>
    <cellStyle name="Итог 10 3 4 5" xfId="25614"/>
    <cellStyle name="Итог 10 3 4 6" xfId="35489"/>
    <cellStyle name="Итог 10 3 5" xfId="12337"/>
    <cellStyle name="Итог 10 3 5 2" xfId="17669"/>
    <cellStyle name="Итог 10 3 5 2 2" xfId="31479"/>
    <cellStyle name="Итог 10 3 5 2 3" xfId="41352"/>
    <cellStyle name="Итог 10 3 5 3" xfId="20518"/>
    <cellStyle name="Итог 10 3 5 4" xfId="26211"/>
    <cellStyle name="Итог 10 3 5 5" xfId="36086"/>
    <cellStyle name="Итог 10 3 6" xfId="13415"/>
    <cellStyle name="Итог 10 3 6 2" xfId="16166"/>
    <cellStyle name="Итог 10 3 6 2 2" xfId="29984"/>
    <cellStyle name="Итог 10 3 6 2 3" xfId="39859"/>
    <cellStyle name="Итог 10 3 6 3" xfId="18747"/>
    <cellStyle name="Итог 10 3 6 3 2" xfId="32557"/>
    <cellStyle name="Итог 10 3 6 3 3" xfId="42429"/>
    <cellStyle name="Итог 10 3 6 4" xfId="27288"/>
    <cellStyle name="Итог 10 3 6 5" xfId="37163"/>
    <cellStyle name="Итог 10 3 7" xfId="13365"/>
    <cellStyle name="Итог 10 3 7 2" xfId="18697"/>
    <cellStyle name="Итог 10 3 7 2 2" xfId="32507"/>
    <cellStyle name="Итог 10 3 7 2 3" xfId="42379"/>
    <cellStyle name="Итог 10 3 7 3" xfId="27238"/>
    <cellStyle name="Итог 10 3 7 4" xfId="37113"/>
    <cellStyle name="Итог 10 3 8" xfId="17320"/>
    <cellStyle name="Итог 10 3 8 2" xfId="23836"/>
    <cellStyle name="Итог 10 3 8 3" xfId="31131"/>
    <cellStyle name="Итог 10 3 8 4" xfId="41005"/>
    <cellStyle name="Итог 10 3 9" xfId="24752"/>
    <cellStyle name="Итог 10 4" xfId="9158"/>
    <cellStyle name="Итог 10 5" xfId="9166"/>
    <cellStyle name="Итог 10 6" xfId="9167"/>
    <cellStyle name="Итог 10 7" xfId="9168"/>
    <cellStyle name="Итог 10 8" xfId="9169"/>
    <cellStyle name="Итог 10 9" xfId="9170"/>
    <cellStyle name="Итог 11" xfId="1616"/>
    <cellStyle name="Итог 11 10" xfId="9172"/>
    <cellStyle name="Итог 11 11" xfId="9173"/>
    <cellStyle name="Итог 11 12" xfId="9174"/>
    <cellStyle name="Итог 11 13" xfId="9175"/>
    <cellStyle name="Итог 11 14" xfId="9176"/>
    <cellStyle name="Итог 11 15" xfId="11891"/>
    <cellStyle name="Итог 11 15 2" xfId="14789"/>
    <cellStyle name="Итог 11 15 2 2" xfId="17003"/>
    <cellStyle name="Итог 11 15 2 2 2" xfId="23055"/>
    <cellStyle name="Итог 11 15 2 2 3" xfId="30817"/>
    <cellStyle name="Итог 11 15 2 2 4" xfId="40692"/>
    <cellStyle name="Итог 11 15 2 3" xfId="20072"/>
    <cellStyle name="Итог 11 15 2 3 2" xfId="33882"/>
    <cellStyle name="Итог 11 15 2 3 3" xfId="43750"/>
    <cellStyle name="Итог 11 15 2 4" xfId="28609"/>
    <cellStyle name="Итог 11 15 2 5" xfId="38484"/>
    <cellStyle name="Итог 11 15 3" xfId="14445"/>
    <cellStyle name="Итог 11 15 3 2" xfId="19728"/>
    <cellStyle name="Итог 11 15 3 2 2" xfId="33538"/>
    <cellStyle name="Итог 11 15 3 2 3" xfId="43406"/>
    <cellStyle name="Итог 11 15 3 3" xfId="28265"/>
    <cellStyle name="Итог 11 15 3 4" xfId="38140"/>
    <cellStyle name="Итог 11 15 4" xfId="20730"/>
    <cellStyle name="Итог 11 15 5" xfId="21286"/>
    <cellStyle name="Итог 11 15 6" xfId="22463"/>
    <cellStyle name="Итог 11 15 7" xfId="23951"/>
    <cellStyle name="Итог 11 15 8" xfId="25765"/>
    <cellStyle name="Итог 11 15 9" xfId="35640"/>
    <cellStyle name="Итог 11 16" xfId="12115"/>
    <cellStyle name="Итог 11 16 10" xfId="35864"/>
    <cellStyle name="Итог 11 16 2" xfId="15013"/>
    <cellStyle name="Итог 11 16 2 2" xfId="20296"/>
    <cellStyle name="Итог 11 16 2 2 2" xfId="34106"/>
    <cellStyle name="Итог 11 16 2 2 3" xfId="43974"/>
    <cellStyle name="Итог 11 16 2 3" xfId="23567"/>
    <cellStyle name="Итог 11 16 2 4" xfId="28833"/>
    <cellStyle name="Итог 11 16 2 5" xfId="38708"/>
    <cellStyle name="Итог 11 16 3" xfId="20602"/>
    <cellStyle name="Итог 11 16 4" xfId="20938"/>
    <cellStyle name="Итог 11 16 5" xfId="21052"/>
    <cellStyle name="Итог 11 16 6" xfId="21494"/>
    <cellStyle name="Итог 11 16 7" xfId="22687"/>
    <cellStyle name="Итог 11 16 8" xfId="24191"/>
    <cellStyle name="Итог 11 16 9" xfId="25989"/>
    <cellStyle name="Итог 11 17" xfId="12195"/>
    <cellStyle name="Итог 11 17 10" xfId="35944"/>
    <cellStyle name="Итог 11 17 2" xfId="15093"/>
    <cellStyle name="Итог 11 17 2 2" xfId="20376"/>
    <cellStyle name="Итог 11 17 2 2 2" xfId="34186"/>
    <cellStyle name="Итог 11 17 2 2 3" xfId="44054"/>
    <cellStyle name="Итог 11 17 2 3" xfId="23647"/>
    <cellStyle name="Итог 11 17 2 4" xfId="28913"/>
    <cellStyle name="Итог 11 17 2 5" xfId="38788"/>
    <cellStyle name="Итог 11 17 3" xfId="20666"/>
    <cellStyle name="Итог 11 17 4" xfId="21002"/>
    <cellStyle name="Итог 11 17 5" xfId="21100"/>
    <cellStyle name="Итог 11 17 6" xfId="21574"/>
    <cellStyle name="Итог 11 17 7" xfId="22767"/>
    <cellStyle name="Итог 11 17 8" xfId="24271"/>
    <cellStyle name="Итог 11 17 9" xfId="26069"/>
    <cellStyle name="Итог 11 18" xfId="11741"/>
    <cellStyle name="Итог 11 18 2" xfId="14639"/>
    <cellStyle name="Итог 11 18 2 2" xfId="19922"/>
    <cellStyle name="Итог 11 18 2 2 2" xfId="33732"/>
    <cellStyle name="Итог 11 18 2 2 3" xfId="43600"/>
    <cellStyle name="Итог 11 18 2 3" xfId="28459"/>
    <cellStyle name="Итог 11 18 2 4" xfId="38334"/>
    <cellStyle name="Итог 11 18 3" xfId="15872"/>
    <cellStyle name="Итог 11 18 3 2" xfId="22812"/>
    <cellStyle name="Итог 11 18 3 3" xfId="24504"/>
    <cellStyle name="Итог 11 18 3 4" xfId="29691"/>
    <cellStyle name="Итог 11 18 3 5" xfId="39566"/>
    <cellStyle name="Итог 11 18 4" xfId="23292"/>
    <cellStyle name="Итог 11 18 5" xfId="25615"/>
    <cellStyle name="Итог 11 18 6" xfId="35490"/>
    <cellStyle name="Итог 11 19" xfId="13416"/>
    <cellStyle name="Итог 11 19 2" xfId="16167"/>
    <cellStyle name="Итог 11 19 2 2" xfId="29985"/>
    <cellStyle name="Итог 11 19 2 3" xfId="39860"/>
    <cellStyle name="Итог 11 19 3" xfId="18748"/>
    <cellStyle name="Итог 11 19 3 2" xfId="32558"/>
    <cellStyle name="Итог 11 19 3 3" xfId="42430"/>
    <cellStyle name="Итог 11 19 4" xfId="27289"/>
    <cellStyle name="Итог 11 19 5" xfId="37164"/>
    <cellStyle name="Итог 11 2" xfId="1617"/>
    <cellStyle name="Итог 11 2 10" xfId="34373"/>
    <cellStyle name="Итог 11 2 11" xfId="34514"/>
    <cellStyle name="Итог 11 2 2" xfId="9177"/>
    <cellStyle name="Итог 11 2 3" xfId="12016"/>
    <cellStyle name="Итог 11 2 3 2" xfId="14914"/>
    <cellStyle name="Итог 11 2 3 2 2" xfId="17128"/>
    <cellStyle name="Итог 11 2 3 2 2 2" xfId="23180"/>
    <cellStyle name="Итог 11 2 3 2 2 3" xfId="30942"/>
    <cellStyle name="Итог 11 2 3 2 2 4" xfId="40817"/>
    <cellStyle name="Итог 11 2 3 2 3" xfId="20197"/>
    <cellStyle name="Итог 11 2 3 2 3 2" xfId="34007"/>
    <cellStyle name="Итог 11 2 3 2 3 3" xfId="43875"/>
    <cellStyle name="Итог 11 2 3 2 4" xfId="28734"/>
    <cellStyle name="Итог 11 2 3 2 5" xfId="38609"/>
    <cellStyle name="Итог 11 2 3 3" xfId="14465"/>
    <cellStyle name="Итог 11 2 3 3 2" xfId="19748"/>
    <cellStyle name="Итог 11 2 3 3 2 2" xfId="33558"/>
    <cellStyle name="Итог 11 2 3 3 2 3" xfId="43426"/>
    <cellStyle name="Итог 11 2 3 3 3" xfId="28285"/>
    <cellStyle name="Итог 11 2 3 3 4" xfId="38160"/>
    <cellStyle name="Итог 11 2 3 4" xfId="20855"/>
    <cellStyle name="Итог 11 2 3 5" xfId="21411"/>
    <cellStyle name="Итог 11 2 3 6" xfId="22604"/>
    <cellStyle name="Итог 11 2 3 7" xfId="24092"/>
    <cellStyle name="Итог 11 2 3 8" xfId="25890"/>
    <cellStyle name="Итог 11 2 3 9" xfId="35765"/>
    <cellStyle name="Итог 11 2 4" xfId="11742"/>
    <cellStyle name="Итог 11 2 4 2" xfId="14640"/>
    <cellStyle name="Итог 11 2 4 2 2" xfId="19923"/>
    <cellStyle name="Итог 11 2 4 2 2 2" xfId="33733"/>
    <cellStyle name="Итог 11 2 4 2 2 3" xfId="43601"/>
    <cellStyle name="Итог 11 2 4 2 3" xfId="28460"/>
    <cellStyle name="Итог 11 2 4 2 4" xfId="38335"/>
    <cellStyle name="Итог 11 2 4 3" xfId="15873"/>
    <cellStyle name="Итог 11 2 4 3 2" xfId="22972"/>
    <cellStyle name="Итог 11 2 4 3 3" xfId="24505"/>
    <cellStyle name="Итог 11 2 4 3 4" xfId="29692"/>
    <cellStyle name="Итог 11 2 4 3 5" xfId="39567"/>
    <cellStyle name="Итог 11 2 4 4" xfId="23452"/>
    <cellStyle name="Итог 11 2 4 5" xfId="25616"/>
    <cellStyle name="Итог 11 2 4 6" xfId="35491"/>
    <cellStyle name="Итог 11 2 5" xfId="12338"/>
    <cellStyle name="Итог 11 2 5 2" xfId="17670"/>
    <cellStyle name="Итог 11 2 5 2 2" xfId="31480"/>
    <cellStyle name="Итог 11 2 5 2 3" xfId="41353"/>
    <cellStyle name="Итог 11 2 5 3" xfId="20519"/>
    <cellStyle name="Итог 11 2 5 4" xfId="26212"/>
    <cellStyle name="Итог 11 2 5 5" xfId="36087"/>
    <cellStyle name="Итог 11 2 6" xfId="13417"/>
    <cellStyle name="Итог 11 2 6 2" xfId="16168"/>
    <cellStyle name="Итог 11 2 6 2 2" xfId="29986"/>
    <cellStyle name="Итог 11 2 6 2 3" xfId="39861"/>
    <cellStyle name="Итог 11 2 6 3" xfId="18749"/>
    <cellStyle name="Итог 11 2 6 3 2" xfId="32559"/>
    <cellStyle name="Итог 11 2 6 3 3" xfId="42431"/>
    <cellStyle name="Итог 11 2 6 4" xfId="27290"/>
    <cellStyle name="Итог 11 2 6 5" xfId="37165"/>
    <cellStyle name="Итог 11 2 7" xfId="13367"/>
    <cellStyle name="Итог 11 2 7 2" xfId="18699"/>
    <cellStyle name="Итог 11 2 7 2 2" xfId="32509"/>
    <cellStyle name="Итог 11 2 7 2 3" xfId="42381"/>
    <cellStyle name="Итог 11 2 7 3" xfId="27240"/>
    <cellStyle name="Итог 11 2 7 4" xfId="37115"/>
    <cellStyle name="Итог 11 2 8" xfId="17322"/>
    <cellStyle name="Итог 11 2 8 2" xfId="23838"/>
    <cellStyle name="Итог 11 2 8 3" xfId="31133"/>
    <cellStyle name="Итог 11 2 8 4" xfId="41007"/>
    <cellStyle name="Итог 11 2 9" xfId="24754"/>
    <cellStyle name="Итог 11 20" xfId="13366"/>
    <cellStyle name="Итог 11 20 2" xfId="18698"/>
    <cellStyle name="Итог 11 20 2 2" xfId="32508"/>
    <cellStyle name="Итог 11 20 2 3" xfId="42380"/>
    <cellStyle name="Итог 11 20 3" xfId="27239"/>
    <cellStyle name="Итог 11 20 4" xfId="37114"/>
    <cellStyle name="Итог 11 21" xfId="17321"/>
    <cellStyle name="Итог 11 21 2" xfId="21145"/>
    <cellStyle name="Итог 11 21 3" xfId="31132"/>
    <cellStyle name="Итог 11 21 4" xfId="41006"/>
    <cellStyle name="Итог 11 22" xfId="23837"/>
    <cellStyle name="Итог 11 23" xfId="24753"/>
    <cellStyle name="Итог 11 24" xfId="34372"/>
    <cellStyle name="Итог 11 25" xfId="34515"/>
    <cellStyle name="Итог 11 3" xfId="1618"/>
    <cellStyle name="Итог 11 3 10" xfId="34374"/>
    <cellStyle name="Итог 11 3 11" xfId="34513"/>
    <cellStyle name="Итог 11 3 2" xfId="9178"/>
    <cellStyle name="Итог 11 3 3" xfId="12017"/>
    <cellStyle name="Итог 11 3 3 2" xfId="14915"/>
    <cellStyle name="Итог 11 3 3 2 2" xfId="17129"/>
    <cellStyle name="Итог 11 3 3 2 2 2" xfId="23181"/>
    <cellStyle name="Итог 11 3 3 2 2 3" xfId="30943"/>
    <cellStyle name="Итог 11 3 3 2 2 4" xfId="40818"/>
    <cellStyle name="Итог 11 3 3 2 3" xfId="20198"/>
    <cellStyle name="Итог 11 3 3 2 3 2" xfId="34008"/>
    <cellStyle name="Итог 11 3 3 2 3 3" xfId="43876"/>
    <cellStyle name="Итог 11 3 3 2 4" xfId="28735"/>
    <cellStyle name="Итог 11 3 3 2 5" xfId="38610"/>
    <cellStyle name="Итог 11 3 3 3" xfId="14466"/>
    <cellStyle name="Итог 11 3 3 3 2" xfId="19749"/>
    <cellStyle name="Итог 11 3 3 3 2 2" xfId="33559"/>
    <cellStyle name="Итог 11 3 3 3 2 3" xfId="43427"/>
    <cellStyle name="Итог 11 3 3 3 3" xfId="28286"/>
    <cellStyle name="Итог 11 3 3 3 4" xfId="38161"/>
    <cellStyle name="Итог 11 3 3 4" xfId="20856"/>
    <cellStyle name="Итог 11 3 3 5" xfId="21412"/>
    <cellStyle name="Итог 11 3 3 6" xfId="22605"/>
    <cellStyle name="Итог 11 3 3 7" xfId="24093"/>
    <cellStyle name="Итог 11 3 3 8" xfId="25891"/>
    <cellStyle name="Итог 11 3 3 9" xfId="35766"/>
    <cellStyle name="Итог 11 3 4" xfId="11743"/>
    <cellStyle name="Итог 11 3 4 2" xfId="14641"/>
    <cellStyle name="Итог 11 3 4 2 2" xfId="19924"/>
    <cellStyle name="Итог 11 3 4 2 2 2" xfId="33734"/>
    <cellStyle name="Итог 11 3 4 2 2 3" xfId="43602"/>
    <cellStyle name="Итог 11 3 4 2 3" xfId="28461"/>
    <cellStyle name="Итог 11 3 4 2 4" xfId="38336"/>
    <cellStyle name="Итог 11 3 4 3" xfId="15874"/>
    <cellStyle name="Итог 11 3 4 3 2" xfId="22973"/>
    <cellStyle name="Итог 11 3 4 3 3" xfId="24506"/>
    <cellStyle name="Итог 11 3 4 3 4" xfId="29693"/>
    <cellStyle name="Итог 11 3 4 3 5" xfId="39568"/>
    <cellStyle name="Итог 11 3 4 4" xfId="23453"/>
    <cellStyle name="Итог 11 3 4 5" xfId="25617"/>
    <cellStyle name="Итог 11 3 4 6" xfId="35492"/>
    <cellStyle name="Итог 11 3 5" xfId="12339"/>
    <cellStyle name="Итог 11 3 5 2" xfId="17671"/>
    <cellStyle name="Итог 11 3 5 2 2" xfId="31481"/>
    <cellStyle name="Итог 11 3 5 2 3" xfId="41354"/>
    <cellStyle name="Итог 11 3 5 3" xfId="20520"/>
    <cellStyle name="Итог 11 3 5 4" xfId="26213"/>
    <cellStyle name="Итог 11 3 5 5" xfId="36088"/>
    <cellStyle name="Итог 11 3 6" xfId="13418"/>
    <cellStyle name="Итог 11 3 6 2" xfId="16169"/>
    <cellStyle name="Итог 11 3 6 2 2" xfId="29987"/>
    <cellStyle name="Итог 11 3 6 2 3" xfId="39862"/>
    <cellStyle name="Итог 11 3 6 3" xfId="18750"/>
    <cellStyle name="Итог 11 3 6 3 2" xfId="32560"/>
    <cellStyle name="Итог 11 3 6 3 3" xfId="42432"/>
    <cellStyle name="Итог 11 3 6 4" xfId="27291"/>
    <cellStyle name="Итог 11 3 6 5" xfId="37166"/>
    <cellStyle name="Итог 11 3 7" xfId="13368"/>
    <cellStyle name="Итог 11 3 7 2" xfId="18700"/>
    <cellStyle name="Итог 11 3 7 2 2" xfId="32510"/>
    <cellStyle name="Итог 11 3 7 2 3" xfId="42382"/>
    <cellStyle name="Итог 11 3 7 3" xfId="27241"/>
    <cellStyle name="Итог 11 3 7 4" xfId="37116"/>
    <cellStyle name="Итог 11 3 8" xfId="17323"/>
    <cellStyle name="Итог 11 3 8 2" xfId="23839"/>
    <cellStyle name="Итог 11 3 8 3" xfId="31134"/>
    <cellStyle name="Итог 11 3 8 4" xfId="41008"/>
    <cellStyle name="Итог 11 3 9" xfId="24755"/>
    <cellStyle name="Итог 11 4" xfId="9171"/>
    <cellStyle name="Итог 11 5" xfId="9179"/>
    <cellStyle name="Итог 11 6" xfId="9180"/>
    <cellStyle name="Итог 11 7" xfId="9181"/>
    <cellStyle name="Итог 11 8" xfId="9182"/>
    <cellStyle name="Итог 11 9" xfId="9183"/>
    <cellStyle name="Итог 12" xfId="1619"/>
    <cellStyle name="Итог 12 10" xfId="9185"/>
    <cellStyle name="Итог 12 11" xfId="9186"/>
    <cellStyle name="Итог 12 12" xfId="9187"/>
    <cellStyle name="Итог 12 13" xfId="9188"/>
    <cellStyle name="Итог 12 14" xfId="9189"/>
    <cellStyle name="Итог 12 15" xfId="11892"/>
    <cellStyle name="Итог 12 15 2" xfId="14790"/>
    <cellStyle name="Итог 12 15 2 2" xfId="17004"/>
    <cellStyle name="Итог 12 15 2 2 2" xfId="23056"/>
    <cellStyle name="Итог 12 15 2 2 3" xfId="30818"/>
    <cellStyle name="Итог 12 15 2 2 4" xfId="40693"/>
    <cellStyle name="Итог 12 15 2 3" xfId="20073"/>
    <cellStyle name="Итог 12 15 2 3 2" xfId="33883"/>
    <cellStyle name="Итог 12 15 2 3 3" xfId="43751"/>
    <cellStyle name="Итог 12 15 2 4" xfId="28610"/>
    <cellStyle name="Итог 12 15 2 5" xfId="38485"/>
    <cellStyle name="Итог 12 15 3" xfId="14285"/>
    <cellStyle name="Итог 12 15 3 2" xfId="19568"/>
    <cellStyle name="Итог 12 15 3 2 2" xfId="33378"/>
    <cellStyle name="Итог 12 15 3 2 3" xfId="43247"/>
    <cellStyle name="Итог 12 15 3 3" xfId="28106"/>
    <cellStyle name="Итог 12 15 3 4" xfId="37981"/>
    <cellStyle name="Итог 12 15 4" xfId="20731"/>
    <cellStyle name="Итог 12 15 5" xfId="21287"/>
    <cellStyle name="Итог 12 15 6" xfId="22464"/>
    <cellStyle name="Итог 12 15 7" xfId="23952"/>
    <cellStyle name="Итог 12 15 8" xfId="25766"/>
    <cellStyle name="Итог 12 15 9" xfId="35641"/>
    <cellStyle name="Итог 12 16" xfId="12116"/>
    <cellStyle name="Итог 12 16 10" xfId="35865"/>
    <cellStyle name="Итог 12 16 2" xfId="15014"/>
    <cellStyle name="Итог 12 16 2 2" xfId="20297"/>
    <cellStyle name="Итог 12 16 2 2 2" xfId="34107"/>
    <cellStyle name="Итог 12 16 2 2 3" xfId="43975"/>
    <cellStyle name="Итог 12 16 2 3" xfId="23568"/>
    <cellStyle name="Итог 12 16 2 4" xfId="28834"/>
    <cellStyle name="Итог 12 16 2 5" xfId="38709"/>
    <cellStyle name="Итог 12 16 3" xfId="20603"/>
    <cellStyle name="Итог 12 16 4" xfId="20939"/>
    <cellStyle name="Итог 12 16 5" xfId="21053"/>
    <cellStyle name="Итог 12 16 6" xfId="21495"/>
    <cellStyle name="Итог 12 16 7" xfId="22688"/>
    <cellStyle name="Итог 12 16 8" xfId="24192"/>
    <cellStyle name="Итог 12 16 9" xfId="25990"/>
    <cellStyle name="Итог 12 17" xfId="12196"/>
    <cellStyle name="Итог 12 17 10" xfId="35945"/>
    <cellStyle name="Итог 12 17 2" xfId="15094"/>
    <cellStyle name="Итог 12 17 2 2" xfId="20377"/>
    <cellStyle name="Итог 12 17 2 2 2" xfId="34187"/>
    <cellStyle name="Итог 12 17 2 2 3" xfId="44055"/>
    <cellStyle name="Итог 12 17 2 3" xfId="23648"/>
    <cellStyle name="Итог 12 17 2 4" xfId="28914"/>
    <cellStyle name="Итог 12 17 2 5" xfId="38789"/>
    <cellStyle name="Итог 12 17 3" xfId="20667"/>
    <cellStyle name="Итог 12 17 4" xfId="21003"/>
    <cellStyle name="Итог 12 17 5" xfId="21101"/>
    <cellStyle name="Итог 12 17 6" xfId="21575"/>
    <cellStyle name="Итог 12 17 7" xfId="22768"/>
    <cellStyle name="Итог 12 17 8" xfId="24272"/>
    <cellStyle name="Итог 12 17 9" xfId="26070"/>
    <cellStyle name="Итог 12 18" xfId="11744"/>
    <cellStyle name="Итог 12 18 2" xfId="14642"/>
    <cellStyle name="Итог 12 18 2 2" xfId="19925"/>
    <cellStyle name="Итог 12 18 2 2 2" xfId="33735"/>
    <cellStyle name="Итог 12 18 2 2 3" xfId="43603"/>
    <cellStyle name="Итог 12 18 2 3" xfId="28462"/>
    <cellStyle name="Итог 12 18 2 4" xfId="38337"/>
    <cellStyle name="Итог 12 18 3" xfId="15875"/>
    <cellStyle name="Итог 12 18 3 2" xfId="22811"/>
    <cellStyle name="Итог 12 18 3 3" xfId="24507"/>
    <cellStyle name="Итог 12 18 3 4" xfId="29694"/>
    <cellStyle name="Итог 12 18 3 5" xfId="39569"/>
    <cellStyle name="Итог 12 18 4" xfId="23291"/>
    <cellStyle name="Итог 12 18 5" xfId="25618"/>
    <cellStyle name="Итог 12 18 6" xfId="35493"/>
    <cellStyle name="Итог 12 19" xfId="13419"/>
    <cellStyle name="Итог 12 19 2" xfId="16170"/>
    <cellStyle name="Итог 12 19 2 2" xfId="29988"/>
    <cellStyle name="Итог 12 19 2 3" xfId="39863"/>
    <cellStyle name="Итог 12 19 3" xfId="18751"/>
    <cellStyle name="Итог 12 19 3 2" xfId="32561"/>
    <cellStyle name="Итог 12 19 3 3" xfId="42433"/>
    <cellStyle name="Итог 12 19 4" xfId="27292"/>
    <cellStyle name="Итог 12 19 5" xfId="37167"/>
    <cellStyle name="Итог 12 2" xfId="1620"/>
    <cellStyle name="Итог 12 2 10" xfId="34376"/>
    <cellStyle name="Итог 12 2 11" xfId="34511"/>
    <cellStyle name="Итог 12 2 2" xfId="9190"/>
    <cellStyle name="Итог 12 2 3" xfId="12018"/>
    <cellStyle name="Итог 12 2 3 2" xfId="14916"/>
    <cellStyle name="Итог 12 2 3 2 2" xfId="17130"/>
    <cellStyle name="Итог 12 2 3 2 2 2" xfId="23182"/>
    <cellStyle name="Итог 12 2 3 2 2 3" xfId="30944"/>
    <cellStyle name="Итог 12 2 3 2 2 4" xfId="40819"/>
    <cellStyle name="Итог 12 2 3 2 3" xfId="20199"/>
    <cellStyle name="Итог 12 2 3 2 3 2" xfId="34009"/>
    <cellStyle name="Итог 12 2 3 2 3 3" xfId="43877"/>
    <cellStyle name="Итог 12 2 3 2 4" xfId="28736"/>
    <cellStyle name="Итог 12 2 3 2 5" xfId="38611"/>
    <cellStyle name="Итог 12 2 3 3" xfId="14373"/>
    <cellStyle name="Итог 12 2 3 3 2" xfId="19656"/>
    <cellStyle name="Итог 12 2 3 3 2 2" xfId="33466"/>
    <cellStyle name="Итог 12 2 3 3 2 3" xfId="43335"/>
    <cellStyle name="Итог 12 2 3 3 3" xfId="28194"/>
    <cellStyle name="Итог 12 2 3 3 4" xfId="38069"/>
    <cellStyle name="Итог 12 2 3 4" xfId="20857"/>
    <cellStyle name="Итог 12 2 3 5" xfId="21413"/>
    <cellStyle name="Итог 12 2 3 6" xfId="22606"/>
    <cellStyle name="Итог 12 2 3 7" xfId="24094"/>
    <cellStyle name="Итог 12 2 3 8" xfId="25892"/>
    <cellStyle name="Итог 12 2 3 9" xfId="35767"/>
    <cellStyle name="Итог 12 2 4" xfId="11745"/>
    <cellStyle name="Итог 12 2 4 2" xfId="14643"/>
    <cellStyle name="Итог 12 2 4 2 2" xfId="19926"/>
    <cellStyle name="Итог 12 2 4 2 2 2" xfId="33736"/>
    <cellStyle name="Итог 12 2 4 2 2 3" xfId="43604"/>
    <cellStyle name="Итог 12 2 4 2 3" xfId="28463"/>
    <cellStyle name="Итог 12 2 4 2 4" xfId="38338"/>
    <cellStyle name="Итог 12 2 4 3" xfId="15876"/>
    <cellStyle name="Итог 12 2 4 3 2" xfId="22974"/>
    <cellStyle name="Итог 12 2 4 3 3" xfId="24508"/>
    <cellStyle name="Итог 12 2 4 3 4" xfId="29695"/>
    <cellStyle name="Итог 12 2 4 3 5" xfId="39570"/>
    <cellStyle name="Итог 12 2 4 4" xfId="23454"/>
    <cellStyle name="Итог 12 2 4 5" xfId="25619"/>
    <cellStyle name="Итог 12 2 4 6" xfId="35494"/>
    <cellStyle name="Итог 12 2 5" xfId="12340"/>
    <cellStyle name="Итог 12 2 5 2" xfId="17672"/>
    <cellStyle name="Итог 12 2 5 2 2" xfId="31482"/>
    <cellStyle name="Итог 12 2 5 2 3" xfId="41355"/>
    <cellStyle name="Итог 12 2 5 3" xfId="20521"/>
    <cellStyle name="Итог 12 2 5 4" xfId="26214"/>
    <cellStyle name="Итог 12 2 5 5" xfId="36089"/>
    <cellStyle name="Итог 12 2 6" xfId="13420"/>
    <cellStyle name="Итог 12 2 6 2" xfId="16171"/>
    <cellStyle name="Итог 12 2 6 2 2" xfId="29989"/>
    <cellStyle name="Итог 12 2 6 2 3" xfId="39864"/>
    <cellStyle name="Итог 12 2 6 3" xfId="18752"/>
    <cellStyle name="Итог 12 2 6 3 2" xfId="32562"/>
    <cellStyle name="Итог 12 2 6 3 3" xfId="42434"/>
    <cellStyle name="Итог 12 2 6 4" xfId="27293"/>
    <cellStyle name="Итог 12 2 6 5" xfId="37168"/>
    <cellStyle name="Итог 12 2 7" xfId="13370"/>
    <cellStyle name="Итог 12 2 7 2" xfId="18702"/>
    <cellStyle name="Итог 12 2 7 2 2" xfId="32512"/>
    <cellStyle name="Итог 12 2 7 2 3" xfId="42384"/>
    <cellStyle name="Итог 12 2 7 3" xfId="27243"/>
    <cellStyle name="Итог 12 2 7 4" xfId="37118"/>
    <cellStyle name="Итог 12 2 8" xfId="17325"/>
    <cellStyle name="Итог 12 2 8 2" xfId="23841"/>
    <cellStyle name="Итог 12 2 8 3" xfId="31136"/>
    <cellStyle name="Итог 12 2 8 4" xfId="41010"/>
    <cellStyle name="Итог 12 2 9" xfId="24757"/>
    <cellStyle name="Итог 12 20" xfId="13369"/>
    <cellStyle name="Итог 12 20 2" xfId="18701"/>
    <cellStyle name="Итог 12 20 2 2" xfId="32511"/>
    <cellStyle name="Итог 12 20 2 3" xfId="42383"/>
    <cellStyle name="Итог 12 20 3" xfId="27242"/>
    <cellStyle name="Итог 12 20 4" xfId="37117"/>
    <cellStyle name="Итог 12 21" xfId="17324"/>
    <cellStyle name="Итог 12 21 2" xfId="21144"/>
    <cellStyle name="Итог 12 21 3" xfId="31135"/>
    <cellStyle name="Итог 12 21 4" xfId="41009"/>
    <cellStyle name="Итог 12 22" xfId="23840"/>
    <cellStyle name="Итог 12 23" xfId="24756"/>
    <cellStyle name="Итог 12 24" xfId="34375"/>
    <cellStyle name="Итог 12 25" xfId="34512"/>
    <cellStyle name="Итог 12 3" xfId="1621"/>
    <cellStyle name="Итог 12 3 10" xfId="34377"/>
    <cellStyle name="Итог 12 3 11" xfId="34510"/>
    <cellStyle name="Итог 12 3 2" xfId="9191"/>
    <cellStyle name="Итог 12 3 3" xfId="12019"/>
    <cellStyle name="Итог 12 3 3 2" xfId="14917"/>
    <cellStyle name="Итог 12 3 3 2 2" xfId="17131"/>
    <cellStyle name="Итог 12 3 3 2 2 2" xfId="23183"/>
    <cellStyle name="Итог 12 3 3 2 2 3" xfId="30945"/>
    <cellStyle name="Итог 12 3 3 2 2 4" xfId="40820"/>
    <cellStyle name="Итог 12 3 3 2 3" xfId="20200"/>
    <cellStyle name="Итог 12 3 3 2 3 2" xfId="34010"/>
    <cellStyle name="Итог 12 3 3 2 3 3" xfId="43878"/>
    <cellStyle name="Итог 12 3 3 2 4" xfId="28737"/>
    <cellStyle name="Итог 12 3 3 2 5" xfId="38612"/>
    <cellStyle name="Итог 12 3 3 3" xfId="14374"/>
    <cellStyle name="Итог 12 3 3 3 2" xfId="19657"/>
    <cellStyle name="Итог 12 3 3 3 2 2" xfId="33467"/>
    <cellStyle name="Итог 12 3 3 3 2 3" xfId="43336"/>
    <cellStyle name="Итог 12 3 3 3 3" xfId="28195"/>
    <cellStyle name="Итог 12 3 3 3 4" xfId="38070"/>
    <cellStyle name="Итог 12 3 3 4" xfId="20858"/>
    <cellStyle name="Итог 12 3 3 5" xfId="21414"/>
    <cellStyle name="Итог 12 3 3 6" xfId="22607"/>
    <cellStyle name="Итог 12 3 3 7" xfId="24095"/>
    <cellStyle name="Итог 12 3 3 8" xfId="25893"/>
    <cellStyle name="Итог 12 3 3 9" xfId="35768"/>
    <cellStyle name="Итог 12 3 4" xfId="11746"/>
    <cellStyle name="Итог 12 3 4 2" xfId="14644"/>
    <cellStyle name="Итог 12 3 4 2 2" xfId="19927"/>
    <cellStyle name="Итог 12 3 4 2 2 2" xfId="33737"/>
    <cellStyle name="Итог 12 3 4 2 2 3" xfId="43605"/>
    <cellStyle name="Итог 12 3 4 2 3" xfId="28464"/>
    <cellStyle name="Итог 12 3 4 2 4" xfId="38339"/>
    <cellStyle name="Итог 12 3 4 3" xfId="15877"/>
    <cellStyle name="Итог 12 3 4 3 2" xfId="22975"/>
    <cellStyle name="Итог 12 3 4 3 3" xfId="24509"/>
    <cellStyle name="Итог 12 3 4 3 4" xfId="29696"/>
    <cellStyle name="Итог 12 3 4 3 5" xfId="39571"/>
    <cellStyle name="Итог 12 3 4 4" xfId="23455"/>
    <cellStyle name="Итог 12 3 4 5" xfId="25620"/>
    <cellStyle name="Итог 12 3 4 6" xfId="35495"/>
    <cellStyle name="Итог 12 3 5" xfId="12341"/>
    <cellStyle name="Итог 12 3 5 2" xfId="17673"/>
    <cellStyle name="Итог 12 3 5 2 2" xfId="31483"/>
    <cellStyle name="Итог 12 3 5 2 3" xfId="41356"/>
    <cellStyle name="Итог 12 3 5 3" xfId="20522"/>
    <cellStyle name="Итог 12 3 5 4" xfId="26215"/>
    <cellStyle name="Итог 12 3 5 5" xfId="36090"/>
    <cellStyle name="Итог 12 3 6" xfId="13421"/>
    <cellStyle name="Итог 12 3 6 2" xfId="16172"/>
    <cellStyle name="Итог 12 3 6 2 2" xfId="29990"/>
    <cellStyle name="Итог 12 3 6 2 3" xfId="39865"/>
    <cellStyle name="Итог 12 3 6 3" xfId="18753"/>
    <cellStyle name="Итог 12 3 6 3 2" xfId="32563"/>
    <cellStyle name="Итог 12 3 6 3 3" xfId="42435"/>
    <cellStyle name="Итог 12 3 6 4" xfId="27294"/>
    <cellStyle name="Итог 12 3 6 5" xfId="37169"/>
    <cellStyle name="Итог 12 3 7" xfId="13371"/>
    <cellStyle name="Итог 12 3 7 2" xfId="18703"/>
    <cellStyle name="Итог 12 3 7 2 2" xfId="32513"/>
    <cellStyle name="Итог 12 3 7 2 3" xfId="42385"/>
    <cellStyle name="Итог 12 3 7 3" xfId="27244"/>
    <cellStyle name="Итог 12 3 7 4" xfId="37119"/>
    <cellStyle name="Итог 12 3 8" xfId="17326"/>
    <cellStyle name="Итог 12 3 8 2" xfId="23842"/>
    <cellStyle name="Итог 12 3 8 3" xfId="31137"/>
    <cellStyle name="Итог 12 3 8 4" xfId="41011"/>
    <cellStyle name="Итог 12 3 9" xfId="24758"/>
    <cellStyle name="Итог 12 4" xfId="9184"/>
    <cellStyle name="Итог 12 5" xfId="9192"/>
    <cellStyle name="Итог 12 6" xfId="9193"/>
    <cellStyle name="Итог 12 7" xfId="9194"/>
    <cellStyle name="Итог 12 8" xfId="9195"/>
    <cellStyle name="Итог 12 9" xfId="9196"/>
    <cellStyle name="Итог 13" xfId="1622"/>
    <cellStyle name="Итог 13 10" xfId="9198"/>
    <cellStyle name="Итог 13 11" xfId="9199"/>
    <cellStyle name="Итог 13 12" xfId="9200"/>
    <cellStyle name="Итог 13 13" xfId="9201"/>
    <cellStyle name="Итог 13 14" xfId="9202"/>
    <cellStyle name="Итог 13 15" xfId="11893"/>
    <cellStyle name="Итог 13 15 2" xfId="14791"/>
    <cellStyle name="Итог 13 15 2 2" xfId="17005"/>
    <cellStyle name="Итог 13 15 2 2 2" xfId="23057"/>
    <cellStyle name="Итог 13 15 2 2 3" xfId="30819"/>
    <cellStyle name="Итог 13 15 2 2 4" xfId="40694"/>
    <cellStyle name="Итог 13 15 2 3" xfId="20074"/>
    <cellStyle name="Итог 13 15 2 3 2" xfId="33884"/>
    <cellStyle name="Итог 13 15 2 3 3" xfId="43752"/>
    <cellStyle name="Итог 13 15 2 4" xfId="28611"/>
    <cellStyle name="Итог 13 15 2 5" xfId="38486"/>
    <cellStyle name="Итог 13 15 3" xfId="14293"/>
    <cellStyle name="Итог 13 15 3 2" xfId="19576"/>
    <cellStyle name="Итог 13 15 3 2 2" xfId="33386"/>
    <cellStyle name="Итог 13 15 3 2 3" xfId="43255"/>
    <cellStyle name="Итог 13 15 3 3" xfId="28114"/>
    <cellStyle name="Итог 13 15 3 4" xfId="37989"/>
    <cellStyle name="Итог 13 15 4" xfId="20732"/>
    <cellStyle name="Итог 13 15 5" xfId="21288"/>
    <cellStyle name="Итог 13 15 6" xfId="22465"/>
    <cellStyle name="Итог 13 15 7" xfId="23953"/>
    <cellStyle name="Итог 13 15 8" xfId="25767"/>
    <cellStyle name="Итог 13 15 9" xfId="35642"/>
    <cellStyle name="Итог 13 16" xfId="12117"/>
    <cellStyle name="Итог 13 16 10" xfId="35866"/>
    <cellStyle name="Итог 13 16 2" xfId="15015"/>
    <cellStyle name="Итог 13 16 2 2" xfId="20298"/>
    <cellStyle name="Итог 13 16 2 2 2" xfId="34108"/>
    <cellStyle name="Итог 13 16 2 2 3" xfId="43976"/>
    <cellStyle name="Итог 13 16 2 3" xfId="23569"/>
    <cellStyle name="Итог 13 16 2 4" xfId="28835"/>
    <cellStyle name="Итог 13 16 2 5" xfId="38710"/>
    <cellStyle name="Итог 13 16 3" xfId="20604"/>
    <cellStyle name="Итог 13 16 4" xfId="20940"/>
    <cellStyle name="Итог 13 16 5" xfId="21054"/>
    <cellStyle name="Итог 13 16 6" xfId="21496"/>
    <cellStyle name="Итог 13 16 7" xfId="22689"/>
    <cellStyle name="Итог 13 16 8" xfId="24193"/>
    <cellStyle name="Итог 13 16 9" xfId="25991"/>
    <cellStyle name="Итог 13 17" xfId="12197"/>
    <cellStyle name="Итог 13 17 10" xfId="35946"/>
    <cellStyle name="Итог 13 17 2" xfId="15095"/>
    <cellStyle name="Итог 13 17 2 2" xfId="20378"/>
    <cellStyle name="Итог 13 17 2 2 2" xfId="34188"/>
    <cellStyle name="Итог 13 17 2 2 3" xfId="44056"/>
    <cellStyle name="Итог 13 17 2 3" xfId="23649"/>
    <cellStyle name="Итог 13 17 2 4" xfId="28915"/>
    <cellStyle name="Итог 13 17 2 5" xfId="38790"/>
    <cellStyle name="Итог 13 17 3" xfId="20668"/>
    <cellStyle name="Итог 13 17 4" xfId="21004"/>
    <cellStyle name="Итог 13 17 5" xfId="21102"/>
    <cellStyle name="Итог 13 17 6" xfId="21576"/>
    <cellStyle name="Итог 13 17 7" xfId="22769"/>
    <cellStyle name="Итог 13 17 8" xfId="24273"/>
    <cellStyle name="Итог 13 17 9" xfId="26071"/>
    <cellStyle name="Итог 13 18" xfId="11747"/>
    <cellStyle name="Итог 13 18 2" xfId="14645"/>
    <cellStyle name="Итог 13 18 2 2" xfId="19928"/>
    <cellStyle name="Итог 13 18 2 2 2" xfId="33738"/>
    <cellStyle name="Итог 13 18 2 2 3" xfId="43606"/>
    <cellStyle name="Итог 13 18 2 3" xfId="28465"/>
    <cellStyle name="Итог 13 18 2 4" xfId="38340"/>
    <cellStyle name="Итог 13 18 3" xfId="15878"/>
    <cellStyle name="Итог 13 18 3 2" xfId="22810"/>
    <cellStyle name="Итог 13 18 3 3" xfId="24510"/>
    <cellStyle name="Итог 13 18 3 4" xfId="29697"/>
    <cellStyle name="Итог 13 18 3 5" xfId="39572"/>
    <cellStyle name="Итог 13 18 4" xfId="23290"/>
    <cellStyle name="Итог 13 18 5" xfId="25621"/>
    <cellStyle name="Итог 13 18 6" xfId="35496"/>
    <cellStyle name="Итог 13 19" xfId="13422"/>
    <cellStyle name="Итог 13 19 2" xfId="16173"/>
    <cellStyle name="Итог 13 19 2 2" xfId="29991"/>
    <cellStyle name="Итог 13 19 2 3" xfId="39866"/>
    <cellStyle name="Итог 13 19 3" xfId="18754"/>
    <cellStyle name="Итог 13 19 3 2" xfId="32564"/>
    <cellStyle name="Итог 13 19 3 3" xfId="42436"/>
    <cellStyle name="Итог 13 19 4" xfId="27295"/>
    <cellStyle name="Итог 13 19 5" xfId="37170"/>
    <cellStyle name="Итог 13 2" xfId="1623"/>
    <cellStyle name="Итог 13 2 10" xfId="34379"/>
    <cellStyle name="Итог 13 2 11" xfId="34508"/>
    <cellStyle name="Итог 13 2 2" xfId="9203"/>
    <cellStyle name="Итог 13 2 3" xfId="12020"/>
    <cellStyle name="Итог 13 2 3 2" xfId="14918"/>
    <cellStyle name="Итог 13 2 3 2 2" xfId="17132"/>
    <cellStyle name="Итог 13 2 3 2 2 2" xfId="23184"/>
    <cellStyle name="Итог 13 2 3 2 2 3" xfId="30946"/>
    <cellStyle name="Итог 13 2 3 2 2 4" xfId="40821"/>
    <cellStyle name="Итог 13 2 3 2 3" xfId="20201"/>
    <cellStyle name="Итог 13 2 3 2 3 2" xfId="34011"/>
    <cellStyle name="Итог 13 2 3 2 3 3" xfId="43879"/>
    <cellStyle name="Итог 13 2 3 2 4" xfId="28738"/>
    <cellStyle name="Итог 13 2 3 2 5" xfId="38613"/>
    <cellStyle name="Итог 13 2 3 3" xfId="14375"/>
    <cellStyle name="Итог 13 2 3 3 2" xfId="19658"/>
    <cellStyle name="Итог 13 2 3 3 2 2" xfId="33468"/>
    <cellStyle name="Итог 13 2 3 3 2 3" xfId="43337"/>
    <cellStyle name="Итог 13 2 3 3 3" xfId="28196"/>
    <cellStyle name="Итог 13 2 3 3 4" xfId="38071"/>
    <cellStyle name="Итог 13 2 3 4" xfId="20859"/>
    <cellStyle name="Итог 13 2 3 5" xfId="21415"/>
    <cellStyle name="Итог 13 2 3 6" xfId="22608"/>
    <cellStyle name="Итог 13 2 3 7" xfId="24096"/>
    <cellStyle name="Итог 13 2 3 8" xfId="25894"/>
    <cellStyle name="Итог 13 2 3 9" xfId="35769"/>
    <cellStyle name="Итог 13 2 4" xfId="11748"/>
    <cellStyle name="Итог 13 2 4 2" xfId="14646"/>
    <cellStyle name="Итог 13 2 4 2 2" xfId="19929"/>
    <cellStyle name="Итог 13 2 4 2 2 2" xfId="33739"/>
    <cellStyle name="Итог 13 2 4 2 2 3" xfId="43607"/>
    <cellStyle name="Итог 13 2 4 2 3" xfId="28466"/>
    <cellStyle name="Итог 13 2 4 2 4" xfId="38341"/>
    <cellStyle name="Итог 13 2 4 3" xfId="15879"/>
    <cellStyle name="Итог 13 2 4 3 2" xfId="22976"/>
    <cellStyle name="Итог 13 2 4 3 3" xfId="24511"/>
    <cellStyle name="Итог 13 2 4 3 4" xfId="29698"/>
    <cellStyle name="Итог 13 2 4 3 5" xfId="39573"/>
    <cellStyle name="Итог 13 2 4 4" xfId="23456"/>
    <cellStyle name="Итог 13 2 4 5" xfId="25622"/>
    <cellStyle name="Итог 13 2 4 6" xfId="35497"/>
    <cellStyle name="Итог 13 2 5" xfId="12342"/>
    <cellStyle name="Итог 13 2 5 2" xfId="17674"/>
    <cellStyle name="Итог 13 2 5 2 2" xfId="31484"/>
    <cellStyle name="Итог 13 2 5 2 3" xfId="41357"/>
    <cellStyle name="Итог 13 2 5 3" xfId="20523"/>
    <cellStyle name="Итог 13 2 5 4" xfId="26216"/>
    <cellStyle name="Итог 13 2 5 5" xfId="36091"/>
    <cellStyle name="Итог 13 2 6" xfId="13423"/>
    <cellStyle name="Итог 13 2 6 2" xfId="16174"/>
    <cellStyle name="Итог 13 2 6 2 2" xfId="29992"/>
    <cellStyle name="Итог 13 2 6 2 3" xfId="39867"/>
    <cellStyle name="Итог 13 2 6 3" xfId="18755"/>
    <cellStyle name="Итог 13 2 6 3 2" xfId="32565"/>
    <cellStyle name="Итог 13 2 6 3 3" xfId="42437"/>
    <cellStyle name="Итог 13 2 6 4" xfId="27296"/>
    <cellStyle name="Итог 13 2 6 5" xfId="37171"/>
    <cellStyle name="Итог 13 2 7" xfId="13373"/>
    <cellStyle name="Итог 13 2 7 2" xfId="18705"/>
    <cellStyle name="Итог 13 2 7 2 2" xfId="32515"/>
    <cellStyle name="Итог 13 2 7 2 3" xfId="42387"/>
    <cellStyle name="Итог 13 2 7 3" xfId="27246"/>
    <cellStyle name="Итог 13 2 7 4" xfId="37121"/>
    <cellStyle name="Итог 13 2 8" xfId="17328"/>
    <cellStyle name="Итог 13 2 8 2" xfId="23844"/>
    <cellStyle name="Итог 13 2 8 3" xfId="31139"/>
    <cellStyle name="Итог 13 2 8 4" xfId="41013"/>
    <cellStyle name="Итог 13 2 9" xfId="24760"/>
    <cellStyle name="Итог 13 20" xfId="13372"/>
    <cellStyle name="Итог 13 20 2" xfId="18704"/>
    <cellStyle name="Итог 13 20 2 2" xfId="32514"/>
    <cellStyle name="Итог 13 20 2 3" xfId="42386"/>
    <cellStyle name="Итог 13 20 3" xfId="27245"/>
    <cellStyle name="Итог 13 20 4" xfId="37120"/>
    <cellStyle name="Итог 13 21" xfId="17327"/>
    <cellStyle name="Итог 13 21 2" xfId="21143"/>
    <cellStyle name="Итог 13 21 3" xfId="31138"/>
    <cellStyle name="Итог 13 21 4" xfId="41012"/>
    <cellStyle name="Итог 13 22" xfId="23843"/>
    <cellStyle name="Итог 13 23" xfId="24759"/>
    <cellStyle name="Итог 13 24" xfId="34378"/>
    <cellStyle name="Итог 13 25" xfId="34509"/>
    <cellStyle name="Итог 13 3" xfId="1624"/>
    <cellStyle name="Итог 13 3 10" xfId="34380"/>
    <cellStyle name="Итог 13 3 11" xfId="34507"/>
    <cellStyle name="Итог 13 3 2" xfId="9204"/>
    <cellStyle name="Итог 13 3 3" xfId="12021"/>
    <cellStyle name="Итог 13 3 3 2" xfId="14919"/>
    <cellStyle name="Итог 13 3 3 2 2" xfId="17133"/>
    <cellStyle name="Итог 13 3 3 2 2 2" xfId="23185"/>
    <cellStyle name="Итог 13 3 3 2 2 3" xfId="30947"/>
    <cellStyle name="Итог 13 3 3 2 2 4" xfId="40822"/>
    <cellStyle name="Итог 13 3 3 2 3" xfId="20202"/>
    <cellStyle name="Итог 13 3 3 2 3 2" xfId="34012"/>
    <cellStyle name="Итог 13 3 3 2 3 3" xfId="43880"/>
    <cellStyle name="Итог 13 3 3 2 4" xfId="28739"/>
    <cellStyle name="Итог 13 3 3 2 5" xfId="38614"/>
    <cellStyle name="Итог 13 3 3 3" xfId="13021"/>
    <cellStyle name="Итог 13 3 3 3 2" xfId="18353"/>
    <cellStyle name="Итог 13 3 3 3 2 2" xfId="32163"/>
    <cellStyle name="Итог 13 3 3 3 2 3" xfId="42036"/>
    <cellStyle name="Итог 13 3 3 3 3" xfId="26895"/>
    <cellStyle name="Итог 13 3 3 3 4" xfId="36770"/>
    <cellStyle name="Итог 13 3 3 4" xfId="20860"/>
    <cellStyle name="Итог 13 3 3 5" xfId="21416"/>
    <cellStyle name="Итог 13 3 3 6" xfId="22609"/>
    <cellStyle name="Итог 13 3 3 7" xfId="24097"/>
    <cellStyle name="Итог 13 3 3 8" xfId="25895"/>
    <cellStyle name="Итог 13 3 3 9" xfId="35770"/>
    <cellStyle name="Итог 13 3 4" xfId="11749"/>
    <cellStyle name="Итог 13 3 4 2" xfId="14647"/>
    <cellStyle name="Итог 13 3 4 2 2" xfId="19930"/>
    <cellStyle name="Итог 13 3 4 2 2 2" xfId="33740"/>
    <cellStyle name="Итог 13 3 4 2 2 3" xfId="43608"/>
    <cellStyle name="Итог 13 3 4 2 3" xfId="28467"/>
    <cellStyle name="Итог 13 3 4 2 4" xfId="38342"/>
    <cellStyle name="Итог 13 3 4 3" xfId="15880"/>
    <cellStyle name="Итог 13 3 4 3 2" xfId="22977"/>
    <cellStyle name="Итог 13 3 4 3 3" xfId="24512"/>
    <cellStyle name="Итог 13 3 4 3 4" xfId="29699"/>
    <cellStyle name="Итог 13 3 4 3 5" xfId="39574"/>
    <cellStyle name="Итог 13 3 4 4" xfId="23457"/>
    <cellStyle name="Итог 13 3 4 5" xfId="25623"/>
    <cellStyle name="Итог 13 3 4 6" xfId="35498"/>
    <cellStyle name="Итог 13 3 5" xfId="12343"/>
    <cellStyle name="Итог 13 3 5 2" xfId="17675"/>
    <cellStyle name="Итог 13 3 5 2 2" xfId="31485"/>
    <cellStyle name="Итог 13 3 5 2 3" xfId="41358"/>
    <cellStyle name="Итог 13 3 5 3" xfId="20524"/>
    <cellStyle name="Итог 13 3 5 4" xfId="26217"/>
    <cellStyle name="Итог 13 3 5 5" xfId="36092"/>
    <cellStyle name="Итог 13 3 6" xfId="13424"/>
    <cellStyle name="Итог 13 3 6 2" xfId="16175"/>
    <cellStyle name="Итог 13 3 6 2 2" xfId="29993"/>
    <cellStyle name="Итог 13 3 6 2 3" xfId="39868"/>
    <cellStyle name="Итог 13 3 6 3" xfId="18756"/>
    <cellStyle name="Итог 13 3 6 3 2" xfId="32566"/>
    <cellStyle name="Итог 13 3 6 3 3" xfId="42438"/>
    <cellStyle name="Итог 13 3 6 4" xfId="27297"/>
    <cellStyle name="Итог 13 3 6 5" xfId="37172"/>
    <cellStyle name="Итог 13 3 7" xfId="13374"/>
    <cellStyle name="Итог 13 3 7 2" xfId="18706"/>
    <cellStyle name="Итог 13 3 7 2 2" xfId="32516"/>
    <cellStyle name="Итог 13 3 7 2 3" xfId="42388"/>
    <cellStyle name="Итог 13 3 7 3" xfId="27247"/>
    <cellStyle name="Итог 13 3 7 4" xfId="37122"/>
    <cellStyle name="Итог 13 3 8" xfId="17329"/>
    <cellStyle name="Итог 13 3 8 2" xfId="23845"/>
    <cellStyle name="Итог 13 3 8 3" xfId="31140"/>
    <cellStyle name="Итог 13 3 8 4" xfId="41014"/>
    <cellStyle name="Итог 13 3 9" xfId="24761"/>
    <cellStyle name="Итог 13 4" xfId="9197"/>
    <cellStyle name="Итог 13 5" xfId="9205"/>
    <cellStyle name="Итог 13 6" xfId="9206"/>
    <cellStyle name="Итог 13 7" xfId="9207"/>
    <cellStyle name="Итог 13 8" xfId="9208"/>
    <cellStyle name="Итог 13 9" xfId="9209"/>
    <cellStyle name="Итог 14" xfId="1625"/>
    <cellStyle name="Итог 14 10" xfId="9211"/>
    <cellStyle name="Итог 14 11" xfId="9212"/>
    <cellStyle name="Итог 14 12" xfId="9213"/>
    <cellStyle name="Итог 14 13" xfId="9214"/>
    <cellStyle name="Итог 14 14" xfId="9215"/>
    <cellStyle name="Итог 14 15" xfId="11894"/>
    <cellStyle name="Итог 14 15 2" xfId="14792"/>
    <cellStyle name="Итог 14 15 2 2" xfId="17006"/>
    <cellStyle name="Итог 14 15 2 2 2" xfId="23058"/>
    <cellStyle name="Итог 14 15 2 2 3" xfId="30820"/>
    <cellStyle name="Итог 14 15 2 2 4" xfId="40695"/>
    <cellStyle name="Итог 14 15 2 3" xfId="20075"/>
    <cellStyle name="Итог 14 15 2 3 2" xfId="33885"/>
    <cellStyle name="Итог 14 15 2 3 3" xfId="43753"/>
    <cellStyle name="Итог 14 15 2 4" xfId="28612"/>
    <cellStyle name="Итог 14 15 2 5" xfId="38487"/>
    <cellStyle name="Итог 14 15 3" xfId="14294"/>
    <cellStyle name="Итог 14 15 3 2" xfId="19577"/>
    <cellStyle name="Итог 14 15 3 2 2" xfId="33387"/>
    <cellStyle name="Итог 14 15 3 2 3" xfId="43256"/>
    <cellStyle name="Итог 14 15 3 3" xfId="28115"/>
    <cellStyle name="Итог 14 15 3 4" xfId="37990"/>
    <cellStyle name="Итог 14 15 4" xfId="20733"/>
    <cellStyle name="Итог 14 15 5" xfId="21289"/>
    <cellStyle name="Итог 14 15 6" xfId="22466"/>
    <cellStyle name="Итог 14 15 7" xfId="23954"/>
    <cellStyle name="Итог 14 15 8" xfId="25768"/>
    <cellStyle name="Итог 14 15 9" xfId="35643"/>
    <cellStyle name="Итог 14 16" xfId="12118"/>
    <cellStyle name="Итог 14 16 10" xfId="35867"/>
    <cellStyle name="Итог 14 16 2" xfId="15016"/>
    <cellStyle name="Итог 14 16 2 2" xfId="20299"/>
    <cellStyle name="Итог 14 16 2 2 2" xfId="34109"/>
    <cellStyle name="Итог 14 16 2 2 3" xfId="43977"/>
    <cellStyle name="Итог 14 16 2 3" xfId="23570"/>
    <cellStyle name="Итог 14 16 2 4" xfId="28836"/>
    <cellStyle name="Итог 14 16 2 5" xfId="38711"/>
    <cellStyle name="Итог 14 16 3" xfId="20605"/>
    <cellStyle name="Итог 14 16 4" xfId="20941"/>
    <cellStyle name="Итог 14 16 5" xfId="21055"/>
    <cellStyle name="Итог 14 16 6" xfId="21497"/>
    <cellStyle name="Итог 14 16 7" xfId="22690"/>
    <cellStyle name="Итог 14 16 8" xfId="24194"/>
    <cellStyle name="Итог 14 16 9" xfId="25992"/>
    <cellStyle name="Итог 14 17" xfId="12198"/>
    <cellStyle name="Итог 14 17 10" xfId="35947"/>
    <cellStyle name="Итог 14 17 2" xfId="15096"/>
    <cellStyle name="Итог 14 17 2 2" xfId="20379"/>
    <cellStyle name="Итог 14 17 2 2 2" xfId="34189"/>
    <cellStyle name="Итог 14 17 2 2 3" xfId="44057"/>
    <cellStyle name="Итог 14 17 2 3" xfId="23650"/>
    <cellStyle name="Итог 14 17 2 4" xfId="28916"/>
    <cellStyle name="Итог 14 17 2 5" xfId="38791"/>
    <cellStyle name="Итог 14 17 3" xfId="20669"/>
    <cellStyle name="Итог 14 17 4" xfId="21005"/>
    <cellStyle name="Итог 14 17 5" xfId="21103"/>
    <cellStyle name="Итог 14 17 6" xfId="21577"/>
    <cellStyle name="Итог 14 17 7" xfId="22770"/>
    <cellStyle name="Итог 14 17 8" xfId="24274"/>
    <cellStyle name="Итог 14 17 9" xfId="26072"/>
    <cellStyle name="Итог 14 18" xfId="11750"/>
    <cellStyle name="Итог 14 18 2" xfId="14648"/>
    <cellStyle name="Итог 14 18 2 2" xfId="19931"/>
    <cellStyle name="Итог 14 18 2 2 2" xfId="33741"/>
    <cellStyle name="Итог 14 18 2 2 3" xfId="43609"/>
    <cellStyle name="Итог 14 18 2 3" xfId="28468"/>
    <cellStyle name="Итог 14 18 2 4" xfId="38343"/>
    <cellStyle name="Итог 14 18 3" xfId="15881"/>
    <cellStyle name="Итог 14 18 3 2" xfId="22809"/>
    <cellStyle name="Итог 14 18 3 3" xfId="24513"/>
    <cellStyle name="Итог 14 18 3 4" xfId="29700"/>
    <cellStyle name="Итог 14 18 3 5" xfId="39575"/>
    <cellStyle name="Итог 14 18 4" xfId="23289"/>
    <cellStyle name="Итог 14 18 5" xfId="25624"/>
    <cellStyle name="Итог 14 18 6" xfId="35499"/>
    <cellStyle name="Итог 14 19" xfId="13425"/>
    <cellStyle name="Итог 14 19 2" xfId="16176"/>
    <cellStyle name="Итог 14 19 2 2" xfId="29994"/>
    <cellStyle name="Итог 14 19 2 3" xfId="39869"/>
    <cellStyle name="Итог 14 19 3" xfId="18757"/>
    <cellStyle name="Итог 14 19 3 2" xfId="32567"/>
    <cellStyle name="Итог 14 19 3 3" xfId="42439"/>
    <cellStyle name="Итог 14 19 4" xfId="27298"/>
    <cellStyle name="Итог 14 19 5" xfId="37173"/>
    <cellStyle name="Итог 14 2" xfId="1626"/>
    <cellStyle name="Итог 14 2 10" xfId="34382"/>
    <cellStyle name="Итог 14 2 11" xfId="34505"/>
    <cellStyle name="Итог 14 2 2" xfId="9216"/>
    <cellStyle name="Итог 14 2 3" xfId="12022"/>
    <cellStyle name="Итог 14 2 3 2" xfId="14920"/>
    <cellStyle name="Итог 14 2 3 2 2" xfId="17134"/>
    <cellStyle name="Итог 14 2 3 2 2 2" xfId="23186"/>
    <cellStyle name="Итог 14 2 3 2 2 3" xfId="30948"/>
    <cellStyle name="Итог 14 2 3 2 2 4" xfId="40823"/>
    <cellStyle name="Итог 14 2 3 2 3" xfId="20203"/>
    <cellStyle name="Итог 14 2 3 2 3 2" xfId="34013"/>
    <cellStyle name="Итог 14 2 3 2 3 3" xfId="43881"/>
    <cellStyle name="Итог 14 2 3 2 4" xfId="28740"/>
    <cellStyle name="Итог 14 2 3 2 5" xfId="38615"/>
    <cellStyle name="Итог 14 2 3 3" xfId="14377"/>
    <cellStyle name="Итог 14 2 3 3 2" xfId="19660"/>
    <cellStyle name="Итог 14 2 3 3 2 2" xfId="33470"/>
    <cellStyle name="Итог 14 2 3 3 2 3" xfId="43339"/>
    <cellStyle name="Итог 14 2 3 3 3" xfId="28198"/>
    <cellStyle name="Итог 14 2 3 3 4" xfId="38073"/>
    <cellStyle name="Итог 14 2 3 4" xfId="20861"/>
    <cellStyle name="Итог 14 2 3 5" xfId="21417"/>
    <cellStyle name="Итог 14 2 3 6" xfId="22610"/>
    <cellStyle name="Итог 14 2 3 7" xfId="24098"/>
    <cellStyle name="Итог 14 2 3 8" xfId="25896"/>
    <cellStyle name="Итог 14 2 3 9" xfId="35771"/>
    <cellStyle name="Итог 14 2 4" xfId="11751"/>
    <cellStyle name="Итог 14 2 4 2" xfId="14649"/>
    <cellStyle name="Итог 14 2 4 2 2" xfId="19932"/>
    <cellStyle name="Итог 14 2 4 2 2 2" xfId="33742"/>
    <cellStyle name="Итог 14 2 4 2 2 3" xfId="43610"/>
    <cellStyle name="Итог 14 2 4 2 3" xfId="28469"/>
    <cellStyle name="Итог 14 2 4 2 4" xfId="38344"/>
    <cellStyle name="Итог 14 2 4 3" xfId="15882"/>
    <cellStyle name="Итог 14 2 4 3 2" xfId="22978"/>
    <cellStyle name="Итог 14 2 4 3 3" xfId="24514"/>
    <cellStyle name="Итог 14 2 4 3 4" xfId="29701"/>
    <cellStyle name="Итог 14 2 4 3 5" xfId="39576"/>
    <cellStyle name="Итог 14 2 4 4" xfId="23458"/>
    <cellStyle name="Итог 14 2 4 5" xfId="25625"/>
    <cellStyle name="Итог 14 2 4 6" xfId="35500"/>
    <cellStyle name="Итог 14 2 5" xfId="12344"/>
    <cellStyle name="Итог 14 2 5 2" xfId="17676"/>
    <cellStyle name="Итог 14 2 5 2 2" xfId="31486"/>
    <cellStyle name="Итог 14 2 5 2 3" xfId="41359"/>
    <cellStyle name="Итог 14 2 5 3" xfId="20525"/>
    <cellStyle name="Итог 14 2 5 4" xfId="26218"/>
    <cellStyle name="Итог 14 2 5 5" xfId="36093"/>
    <cellStyle name="Итог 14 2 6" xfId="13426"/>
    <cellStyle name="Итог 14 2 6 2" xfId="16177"/>
    <cellStyle name="Итог 14 2 6 2 2" xfId="29995"/>
    <cellStyle name="Итог 14 2 6 2 3" xfId="39870"/>
    <cellStyle name="Итог 14 2 6 3" xfId="18758"/>
    <cellStyle name="Итог 14 2 6 3 2" xfId="32568"/>
    <cellStyle name="Итог 14 2 6 3 3" xfId="42440"/>
    <cellStyle name="Итог 14 2 6 4" xfId="27299"/>
    <cellStyle name="Итог 14 2 6 5" xfId="37174"/>
    <cellStyle name="Итог 14 2 7" xfId="13376"/>
    <cellStyle name="Итог 14 2 7 2" xfId="18708"/>
    <cellStyle name="Итог 14 2 7 2 2" xfId="32518"/>
    <cellStyle name="Итог 14 2 7 2 3" xfId="42390"/>
    <cellStyle name="Итог 14 2 7 3" xfId="27249"/>
    <cellStyle name="Итог 14 2 7 4" xfId="37124"/>
    <cellStyle name="Итог 14 2 8" xfId="17331"/>
    <cellStyle name="Итог 14 2 8 2" xfId="23847"/>
    <cellStyle name="Итог 14 2 8 3" xfId="31142"/>
    <cellStyle name="Итог 14 2 8 4" xfId="41016"/>
    <cellStyle name="Итог 14 2 9" xfId="24763"/>
    <cellStyle name="Итог 14 20" xfId="13375"/>
    <cellStyle name="Итог 14 20 2" xfId="18707"/>
    <cellStyle name="Итог 14 20 2 2" xfId="32517"/>
    <cellStyle name="Итог 14 20 2 3" xfId="42389"/>
    <cellStyle name="Итог 14 20 3" xfId="27248"/>
    <cellStyle name="Итог 14 20 4" xfId="37123"/>
    <cellStyle name="Итог 14 21" xfId="17330"/>
    <cellStyle name="Итог 14 21 2" xfId="21142"/>
    <cellStyle name="Итог 14 21 3" xfId="31141"/>
    <cellStyle name="Итог 14 21 4" xfId="41015"/>
    <cellStyle name="Итог 14 22" xfId="23846"/>
    <cellStyle name="Итог 14 23" xfId="24762"/>
    <cellStyle name="Итог 14 24" xfId="34381"/>
    <cellStyle name="Итог 14 25" xfId="34506"/>
    <cellStyle name="Итог 14 3" xfId="1627"/>
    <cellStyle name="Итог 14 3 10" xfId="34383"/>
    <cellStyle name="Итог 14 3 11" xfId="34504"/>
    <cellStyle name="Итог 14 3 2" xfId="9217"/>
    <cellStyle name="Итог 14 3 3" xfId="12023"/>
    <cellStyle name="Итог 14 3 3 2" xfId="14921"/>
    <cellStyle name="Итог 14 3 3 2 2" xfId="17135"/>
    <cellStyle name="Итог 14 3 3 2 2 2" xfId="23187"/>
    <cellStyle name="Итог 14 3 3 2 2 3" xfId="30949"/>
    <cellStyle name="Итог 14 3 3 2 2 4" xfId="40824"/>
    <cellStyle name="Итог 14 3 3 2 3" xfId="20204"/>
    <cellStyle name="Итог 14 3 3 2 3 2" xfId="34014"/>
    <cellStyle name="Итог 14 3 3 2 3 3" xfId="43882"/>
    <cellStyle name="Итог 14 3 3 2 4" xfId="28741"/>
    <cellStyle name="Итог 14 3 3 2 5" xfId="38616"/>
    <cellStyle name="Итог 14 3 3 3" xfId="14467"/>
    <cellStyle name="Итог 14 3 3 3 2" xfId="19750"/>
    <cellStyle name="Итог 14 3 3 3 2 2" xfId="33560"/>
    <cellStyle name="Итог 14 3 3 3 2 3" xfId="43428"/>
    <cellStyle name="Итог 14 3 3 3 3" xfId="28287"/>
    <cellStyle name="Итог 14 3 3 3 4" xfId="38162"/>
    <cellStyle name="Итог 14 3 3 4" xfId="20862"/>
    <cellStyle name="Итог 14 3 3 5" xfId="21418"/>
    <cellStyle name="Итог 14 3 3 6" xfId="22611"/>
    <cellStyle name="Итог 14 3 3 7" xfId="24099"/>
    <cellStyle name="Итог 14 3 3 8" xfId="25897"/>
    <cellStyle name="Итог 14 3 3 9" xfId="35772"/>
    <cellStyle name="Итог 14 3 4" xfId="11752"/>
    <cellStyle name="Итог 14 3 4 2" xfId="14650"/>
    <cellStyle name="Итог 14 3 4 2 2" xfId="19933"/>
    <cellStyle name="Итог 14 3 4 2 2 2" xfId="33743"/>
    <cellStyle name="Итог 14 3 4 2 2 3" xfId="43611"/>
    <cellStyle name="Итог 14 3 4 2 3" xfId="28470"/>
    <cellStyle name="Итог 14 3 4 2 4" xfId="38345"/>
    <cellStyle name="Итог 14 3 4 3" xfId="15883"/>
    <cellStyle name="Итог 14 3 4 3 2" xfId="22979"/>
    <cellStyle name="Итог 14 3 4 3 3" xfId="24515"/>
    <cellStyle name="Итог 14 3 4 3 4" xfId="29702"/>
    <cellStyle name="Итог 14 3 4 3 5" xfId="39577"/>
    <cellStyle name="Итог 14 3 4 4" xfId="23459"/>
    <cellStyle name="Итог 14 3 4 5" xfId="25626"/>
    <cellStyle name="Итог 14 3 4 6" xfId="35501"/>
    <cellStyle name="Итог 14 3 5" xfId="12345"/>
    <cellStyle name="Итог 14 3 5 2" xfId="17677"/>
    <cellStyle name="Итог 14 3 5 2 2" xfId="31487"/>
    <cellStyle name="Итог 14 3 5 2 3" xfId="41360"/>
    <cellStyle name="Итог 14 3 5 3" xfId="20526"/>
    <cellStyle name="Итог 14 3 5 4" xfId="26219"/>
    <cellStyle name="Итог 14 3 5 5" xfId="36094"/>
    <cellStyle name="Итог 14 3 6" xfId="13427"/>
    <cellStyle name="Итог 14 3 6 2" xfId="16178"/>
    <cellStyle name="Итог 14 3 6 2 2" xfId="29996"/>
    <cellStyle name="Итог 14 3 6 2 3" xfId="39871"/>
    <cellStyle name="Итог 14 3 6 3" xfId="18759"/>
    <cellStyle name="Итог 14 3 6 3 2" xfId="32569"/>
    <cellStyle name="Итог 14 3 6 3 3" xfId="42441"/>
    <cellStyle name="Итог 14 3 6 4" xfId="27300"/>
    <cellStyle name="Итог 14 3 6 5" xfId="37175"/>
    <cellStyle name="Итог 14 3 7" xfId="13377"/>
    <cellStyle name="Итог 14 3 7 2" xfId="18709"/>
    <cellStyle name="Итог 14 3 7 2 2" xfId="32519"/>
    <cellStyle name="Итог 14 3 7 2 3" xfId="42391"/>
    <cellStyle name="Итог 14 3 7 3" xfId="27250"/>
    <cellStyle name="Итог 14 3 7 4" xfId="37125"/>
    <cellStyle name="Итог 14 3 8" xfId="17332"/>
    <cellStyle name="Итог 14 3 8 2" xfId="23848"/>
    <cellStyle name="Итог 14 3 8 3" xfId="31143"/>
    <cellStyle name="Итог 14 3 8 4" xfId="41017"/>
    <cellStyle name="Итог 14 3 9" xfId="24764"/>
    <cellStyle name="Итог 14 4" xfId="9210"/>
    <cellStyle name="Итог 14 5" xfId="9218"/>
    <cellStyle name="Итог 14 6" xfId="9219"/>
    <cellStyle name="Итог 14 7" xfId="9220"/>
    <cellStyle name="Итог 14 8" xfId="9221"/>
    <cellStyle name="Итог 14 9" xfId="9222"/>
    <cellStyle name="Итог 15" xfId="1628"/>
    <cellStyle name="Итог 15 10" xfId="9224"/>
    <cellStyle name="Итог 15 11" xfId="9225"/>
    <cellStyle name="Итог 15 12" xfId="9226"/>
    <cellStyle name="Итог 15 13" xfId="9227"/>
    <cellStyle name="Итог 15 14" xfId="9228"/>
    <cellStyle name="Итог 15 15" xfId="11895"/>
    <cellStyle name="Итог 15 15 2" xfId="14793"/>
    <cellStyle name="Итог 15 15 2 2" xfId="17007"/>
    <cellStyle name="Итог 15 15 2 2 2" xfId="23059"/>
    <cellStyle name="Итог 15 15 2 2 3" xfId="30821"/>
    <cellStyle name="Итог 15 15 2 2 4" xfId="40696"/>
    <cellStyle name="Итог 15 15 2 3" xfId="20076"/>
    <cellStyle name="Итог 15 15 2 3 2" xfId="33886"/>
    <cellStyle name="Итог 15 15 2 3 3" xfId="43754"/>
    <cellStyle name="Итог 15 15 2 4" xfId="28613"/>
    <cellStyle name="Итог 15 15 2 5" xfId="38488"/>
    <cellStyle name="Итог 15 15 3" xfId="14295"/>
    <cellStyle name="Итог 15 15 3 2" xfId="19578"/>
    <cellStyle name="Итог 15 15 3 2 2" xfId="33388"/>
    <cellStyle name="Итог 15 15 3 2 3" xfId="43257"/>
    <cellStyle name="Итог 15 15 3 3" xfId="28116"/>
    <cellStyle name="Итог 15 15 3 4" xfId="37991"/>
    <cellStyle name="Итог 15 15 4" xfId="20734"/>
    <cellStyle name="Итог 15 15 5" xfId="21290"/>
    <cellStyle name="Итог 15 15 6" xfId="22467"/>
    <cellStyle name="Итог 15 15 7" xfId="23955"/>
    <cellStyle name="Итог 15 15 8" xfId="25769"/>
    <cellStyle name="Итог 15 15 9" xfId="35644"/>
    <cellStyle name="Итог 15 16" xfId="12119"/>
    <cellStyle name="Итог 15 16 10" xfId="35868"/>
    <cellStyle name="Итог 15 16 2" xfId="15017"/>
    <cellStyle name="Итог 15 16 2 2" xfId="20300"/>
    <cellStyle name="Итог 15 16 2 2 2" xfId="34110"/>
    <cellStyle name="Итог 15 16 2 2 3" xfId="43978"/>
    <cellStyle name="Итог 15 16 2 3" xfId="23571"/>
    <cellStyle name="Итог 15 16 2 4" xfId="28837"/>
    <cellStyle name="Итог 15 16 2 5" xfId="38712"/>
    <cellStyle name="Итог 15 16 3" xfId="20606"/>
    <cellStyle name="Итог 15 16 4" xfId="20942"/>
    <cellStyle name="Итог 15 16 5" xfId="21056"/>
    <cellStyle name="Итог 15 16 6" xfId="21498"/>
    <cellStyle name="Итог 15 16 7" xfId="22691"/>
    <cellStyle name="Итог 15 16 8" xfId="24195"/>
    <cellStyle name="Итог 15 16 9" xfId="25993"/>
    <cellStyle name="Итог 15 17" xfId="12199"/>
    <cellStyle name="Итог 15 17 10" xfId="35948"/>
    <cellStyle name="Итог 15 17 2" xfId="15097"/>
    <cellStyle name="Итог 15 17 2 2" xfId="20380"/>
    <cellStyle name="Итог 15 17 2 2 2" xfId="34190"/>
    <cellStyle name="Итог 15 17 2 2 3" xfId="44058"/>
    <cellStyle name="Итог 15 17 2 3" xfId="23651"/>
    <cellStyle name="Итог 15 17 2 4" xfId="28917"/>
    <cellStyle name="Итог 15 17 2 5" xfId="38792"/>
    <cellStyle name="Итог 15 17 3" xfId="20670"/>
    <cellStyle name="Итог 15 17 4" xfId="21006"/>
    <cellStyle name="Итог 15 17 5" xfId="21104"/>
    <cellStyle name="Итог 15 17 6" xfId="21578"/>
    <cellStyle name="Итог 15 17 7" xfId="22771"/>
    <cellStyle name="Итог 15 17 8" xfId="24275"/>
    <cellStyle name="Итог 15 17 9" xfId="26073"/>
    <cellStyle name="Итог 15 18" xfId="11753"/>
    <cellStyle name="Итог 15 18 2" xfId="14651"/>
    <cellStyle name="Итог 15 18 2 2" xfId="19934"/>
    <cellStyle name="Итог 15 18 2 2 2" xfId="33744"/>
    <cellStyle name="Итог 15 18 2 2 3" xfId="43612"/>
    <cellStyle name="Итог 15 18 2 3" xfId="28471"/>
    <cellStyle name="Итог 15 18 2 4" xfId="38346"/>
    <cellStyle name="Итог 15 18 3" xfId="15884"/>
    <cellStyle name="Итог 15 18 3 2" xfId="22808"/>
    <cellStyle name="Итог 15 18 3 3" xfId="24516"/>
    <cellStyle name="Итог 15 18 3 4" xfId="29703"/>
    <cellStyle name="Итог 15 18 3 5" xfId="39578"/>
    <cellStyle name="Итог 15 18 4" xfId="23288"/>
    <cellStyle name="Итог 15 18 5" xfId="25627"/>
    <cellStyle name="Итог 15 18 6" xfId="35502"/>
    <cellStyle name="Итог 15 19" xfId="13428"/>
    <cellStyle name="Итог 15 19 2" xfId="16179"/>
    <cellStyle name="Итог 15 19 2 2" xfId="29997"/>
    <cellStyle name="Итог 15 19 2 3" xfId="39872"/>
    <cellStyle name="Итог 15 19 3" xfId="18760"/>
    <cellStyle name="Итог 15 19 3 2" xfId="32570"/>
    <cellStyle name="Итог 15 19 3 3" xfId="42442"/>
    <cellStyle name="Итог 15 19 4" xfId="27301"/>
    <cellStyle name="Итог 15 19 5" xfId="37176"/>
    <cellStyle name="Итог 15 2" xfId="1629"/>
    <cellStyle name="Итог 15 2 10" xfId="34385"/>
    <cellStyle name="Итог 15 2 11" xfId="34502"/>
    <cellStyle name="Итог 15 2 2" xfId="9229"/>
    <cellStyle name="Итог 15 2 3" xfId="12024"/>
    <cellStyle name="Итог 15 2 3 2" xfId="14922"/>
    <cellStyle name="Итог 15 2 3 2 2" xfId="17136"/>
    <cellStyle name="Итог 15 2 3 2 2 2" xfId="23188"/>
    <cellStyle name="Итог 15 2 3 2 2 3" xfId="30950"/>
    <cellStyle name="Итог 15 2 3 2 2 4" xfId="40825"/>
    <cellStyle name="Итог 15 2 3 2 3" xfId="20205"/>
    <cellStyle name="Итог 15 2 3 2 3 2" xfId="34015"/>
    <cellStyle name="Итог 15 2 3 2 3 3" xfId="43883"/>
    <cellStyle name="Итог 15 2 3 2 4" xfId="28742"/>
    <cellStyle name="Итог 15 2 3 2 5" xfId="38617"/>
    <cellStyle name="Итог 15 2 3 3" xfId="14378"/>
    <cellStyle name="Итог 15 2 3 3 2" xfId="19661"/>
    <cellStyle name="Итог 15 2 3 3 2 2" xfId="33471"/>
    <cellStyle name="Итог 15 2 3 3 2 3" xfId="43340"/>
    <cellStyle name="Итог 15 2 3 3 3" xfId="28199"/>
    <cellStyle name="Итог 15 2 3 3 4" xfId="38074"/>
    <cellStyle name="Итог 15 2 3 4" xfId="20863"/>
    <cellStyle name="Итог 15 2 3 5" xfId="21419"/>
    <cellStyle name="Итог 15 2 3 6" xfId="22612"/>
    <cellStyle name="Итог 15 2 3 7" xfId="24100"/>
    <cellStyle name="Итог 15 2 3 8" xfId="25898"/>
    <cellStyle name="Итог 15 2 3 9" xfId="35773"/>
    <cellStyle name="Итог 15 2 4" xfId="11754"/>
    <cellStyle name="Итог 15 2 4 2" xfId="14652"/>
    <cellStyle name="Итог 15 2 4 2 2" xfId="19935"/>
    <cellStyle name="Итог 15 2 4 2 2 2" xfId="33745"/>
    <cellStyle name="Итог 15 2 4 2 2 3" xfId="43613"/>
    <cellStyle name="Итог 15 2 4 2 3" xfId="28472"/>
    <cellStyle name="Итог 15 2 4 2 4" xfId="38347"/>
    <cellStyle name="Итог 15 2 4 3" xfId="15885"/>
    <cellStyle name="Итог 15 2 4 3 2" xfId="22980"/>
    <cellStyle name="Итог 15 2 4 3 3" xfId="24517"/>
    <cellStyle name="Итог 15 2 4 3 4" xfId="29704"/>
    <cellStyle name="Итог 15 2 4 3 5" xfId="39579"/>
    <cellStyle name="Итог 15 2 4 4" xfId="23460"/>
    <cellStyle name="Итог 15 2 4 5" xfId="25628"/>
    <cellStyle name="Итог 15 2 4 6" xfId="35503"/>
    <cellStyle name="Итог 15 2 5" xfId="12346"/>
    <cellStyle name="Итог 15 2 5 2" xfId="17678"/>
    <cellStyle name="Итог 15 2 5 2 2" xfId="31488"/>
    <cellStyle name="Итог 15 2 5 2 3" xfId="41361"/>
    <cellStyle name="Итог 15 2 5 3" xfId="20527"/>
    <cellStyle name="Итог 15 2 5 4" xfId="26220"/>
    <cellStyle name="Итог 15 2 5 5" xfId="36095"/>
    <cellStyle name="Итог 15 2 6" xfId="13429"/>
    <cellStyle name="Итог 15 2 6 2" xfId="16180"/>
    <cellStyle name="Итог 15 2 6 2 2" xfId="29998"/>
    <cellStyle name="Итог 15 2 6 2 3" xfId="39873"/>
    <cellStyle name="Итог 15 2 6 3" xfId="18761"/>
    <cellStyle name="Итог 15 2 6 3 2" xfId="32571"/>
    <cellStyle name="Итог 15 2 6 3 3" xfId="42443"/>
    <cellStyle name="Итог 15 2 6 4" xfId="27302"/>
    <cellStyle name="Итог 15 2 6 5" xfId="37177"/>
    <cellStyle name="Итог 15 2 7" xfId="13379"/>
    <cellStyle name="Итог 15 2 7 2" xfId="18711"/>
    <cellStyle name="Итог 15 2 7 2 2" xfId="32521"/>
    <cellStyle name="Итог 15 2 7 2 3" xfId="42393"/>
    <cellStyle name="Итог 15 2 7 3" xfId="27252"/>
    <cellStyle name="Итог 15 2 7 4" xfId="37127"/>
    <cellStyle name="Итог 15 2 8" xfId="17334"/>
    <cellStyle name="Итог 15 2 8 2" xfId="23850"/>
    <cellStyle name="Итог 15 2 8 3" xfId="31145"/>
    <cellStyle name="Итог 15 2 8 4" xfId="41019"/>
    <cellStyle name="Итог 15 2 9" xfId="24766"/>
    <cellStyle name="Итог 15 20" xfId="13378"/>
    <cellStyle name="Итог 15 20 2" xfId="18710"/>
    <cellStyle name="Итог 15 20 2 2" xfId="32520"/>
    <cellStyle name="Итог 15 20 2 3" xfId="42392"/>
    <cellStyle name="Итог 15 20 3" xfId="27251"/>
    <cellStyle name="Итог 15 20 4" xfId="37126"/>
    <cellStyle name="Итог 15 21" xfId="17333"/>
    <cellStyle name="Итог 15 21 2" xfId="21141"/>
    <cellStyle name="Итог 15 21 3" xfId="31144"/>
    <cellStyle name="Итог 15 21 4" xfId="41018"/>
    <cellStyle name="Итог 15 22" xfId="23849"/>
    <cellStyle name="Итог 15 23" xfId="24765"/>
    <cellStyle name="Итог 15 24" xfId="34384"/>
    <cellStyle name="Итог 15 25" xfId="34503"/>
    <cellStyle name="Итог 15 3" xfId="1630"/>
    <cellStyle name="Итог 15 3 10" xfId="34386"/>
    <cellStyle name="Итог 15 3 11" xfId="34501"/>
    <cellStyle name="Итог 15 3 2" xfId="9230"/>
    <cellStyle name="Итог 15 3 3" xfId="12025"/>
    <cellStyle name="Итог 15 3 3 2" xfId="14923"/>
    <cellStyle name="Итог 15 3 3 2 2" xfId="17137"/>
    <cellStyle name="Итог 15 3 3 2 2 2" xfId="23189"/>
    <cellStyle name="Итог 15 3 3 2 2 3" xfId="30951"/>
    <cellStyle name="Итог 15 3 3 2 2 4" xfId="40826"/>
    <cellStyle name="Итог 15 3 3 2 3" xfId="20206"/>
    <cellStyle name="Итог 15 3 3 2 3 2" xfId="34016"/>
    <cellStyle name="Итог 15 3 3 2 3 3" xfId="43884"/>
    <cellStyle name="Итог 15 3 3 2 4" xfId="28743"/>
    <cellStyle name="Итог 15 3 3 2 5" xfId="38618"/>
    <cellStyle name="Итог 15 3 3 3" xfId="14379"/>
    <cellStyle name="Итог 15 3 3 3 2" xfId="19662"/>
    <cellStyle name="Итог 15 3 3 3 2 2" xfId="33472"/>
    <cellStyle name="Итог 15 3 3 3 2 3" xfId="43341"/>
    <cellStyle name="Итог 15 3 3 3 3" xfId="28200"/>
    <cellStyle name="Итог 15 3 3 3 4" xfId="38075"/>
    <cellStyle name="Итог 15 3 3 4" xfId="20864"/>
    <cellStyle name="Итог 15 3 3 5" xfId="21420"/>
    <cellStyle name="Итог 15 3 3 6" xfId="22613"/>
    <cellStyle name="Итог 15 3 3 7" xfId="24101"/>
    <cellStyle name="Итог 15 3 3 8" xfId="25899"/>
    <cellStyle name="Итог 15 3 3 9" xfId="35774"/>
    <cellStyle name="Итог 15 3 4" xfId="11755"/>
    <cellStyle name="Итог 15 3 4 2" xfId="14653"/>
    <cellStyle name="Итог 15 3 4 2 2" xfId="19936"/>
    <cellStyle name="Итог 15 3 4 2 2 2" xfId="33746"/>
    <cellStyle name="Итог 15 3 4 2 2 3" xfId="43614"/>
    <cellStyle name="Итог 15 3 4 2 3" xfId="28473"/>
    <cellStyle name="Итог 15 3 4 2 4" xfId="38348"/>
    <cellStyle name="Итог 15 3 4 3" xfId="15886"/>
    <cellStyle name="Итог 15 3 4 3 2" xfId="22981"/>
    <cellStyle name="Итог 15 3 4 3 3" xfId="24518"/>
    <cellStyle name="Итог 15 3 4 3 4" xfId="29705"/>
    <cellStyle name="Итог 15 3 4 3 5" xfId="39580"/>
    <cellStyle name="Итог 15 3 4 4" xfId="23461"/>
    <cellStyle name="Итог 15 3 4 5" xfId="25629"/>
    <cellStyle name="Итог 15 3 4 6" xfId="35504"/>
    <cellStyle name="Итог 15 3 5" xfId="12347"/>
    <cellStyle name="Итог 15 3 5 2" xfId="17679"/>
    <cellStyle name="Итог 15 3 5 2 2" xfId="31489"/>
    <cellStyle name="Итог 15 3 5 2 3" xfId="41362"/>
    <cellStyle name="Итог 15 3 5 3" xfId="20528"/>
    <cellStyle name="Итог 15 3 5 4" xfId="26221"/>
    <cellStyle name="Итог 15 3 5 5" xfId="36096"/>
    <cellStyle name="Итог 15 3 6" xfId="13430"/>
    <cellStyle name="Итог 15 3 6 2" xfId="16181"/>
    <cellStyle name="Итог 15 3 6 2 2" xfId="29999"/>
    <cellStyle name="Итог 15 3 6 2 3" xfId="39874"/>
    <cellStyle name="Итог 15 3 6 3" xfId="18762"/>
    <cellStyle name="Итог 15 3 6 3 2" xfId="32572"/>
    <cellStyle name="Итог 15 3 6 3 3" xfId="42444"/>
    <cellStyle name="Итог 15 3 6 4" xfId="27303"/>
    <cellStyle name="Итог 15 3 6 5" xfId="37178"/>
    <cellStyle name="Итог 15 3 7" xfId="13380"/>
    <cellStyle name="Итог 15 3 7 2" xfId="18712"/>
    <cellStyle name="Итог 15 3 7 2 2" xfId="32522"/>
    <cellStyle name="Итог 15 3 7 2 3" xfId="42394"/>
    <cellStyle name="Итог 15 3 7 3" xfId="27253"/>
    <cellStyle name="Итог 15 3 7 4" xfId="37128"/>
    <cellStyle name="Итог 15 3 8" xfId="17335"/>
    <cellStyle name="Итог 15 3 8 2" xfId="23851"/>
    <cellStyle name="Итог 15 3 8 3" xfId="31146"/>
    <cellStyle name="Итог 15 3 8 4" xfId="41020"/>
    <cellStyle name="Итог 15 3 9" xfId="24767"/>
    <cellStyle name="Итог 15 4" xfId="9223"/>
    <cellStyle name="Итог 15 5" xfId="9231"/>
    <cellStyle name="Итог 15 6" xfId="9232"/>
    <cellStyle name="Итог 15 7" xfId="9233"/>
    <cellStyle name="Итог 15 8" xfId="9234"/>
    <cellStyle name="Итог 15 9" xfId="9235"/>
    <cellStyle name="Итог 16" xfId="1631"/>
    <cellStyle name="Итог 16 10" xfId="9237"/>
    <cellStyle name="Итог 16 11" xfId="9238"/>
    <cellStyle name="Итог 16 12" xfId="9239"/>
    <cellStyle name="Итог 16 13" xfId="9240"/>
    <cellStyle name="Итог 16 14" xfId="9241"/>
    <cellStyle name="Итог 16 15" xfId="11896"/>
    <cellStyle name="Итог 16 15 2" xfId="14794"/>
    <cellStyle name="Итог 16 15 2 2" xfId="17008"/>
    <cellStyle name="Итог 16 15 2 2 2" xfId="23060"/>
    <cellStyle name="Итог 16 15 2 2 3" xfId="30822"/>
    <cellStyle name="Итог 16 15 2 2 4" xfId="40697"/>
    <cellStyle name="Итог 16 15 2 3" xfId="20077"/>
    <cellStyle name="Итог 16 15 2 3 2" xfId="33887"/>
    <cellStyle name="Итог 16 15 2 3 3" xfId="43755"/>
    <cellStyle name="Итог 16 15 2 4" xfId="28614"/>
    <cellStyle name="Итог 16 15 2 5" xfId="38489"/>
    <cellStyle name="Итог 16 15 3" xfId="14296"/>
    <cellStyle name="Итог 16 15 3 2" xfId="19579"/>
    <cellStyle name="Итог 16 15 3 2 2" xfId="33389"/>
    <cellStyle name="Итог 16 15 3 2 3" xfId="43258"/>
    <cellStyle name="Итог 16 15 3 3" xfId="28117"/>
    <cellStyle name="Итог 16 15 3 4" xfId="37992"/>
    <cellStyle name="Итог 16 15 4" xfId="20735"/>
    <cellStyle name="Итог 16 15 5" xfId="21291"/>
    <cellStyle name="Итог 16 15 6" xfId="22468"/>
    <cellStyle name="Итог 16 15 7" xfId="23956"/>
    <cellStyle name="Итог 16 15 8" xfId="25770"/>
    <cellStyle name="Итог 16 15 9" xfId="35645"/>
    <cellStyle name="Итог 16 16" xfId="12120"/>
    <cellStyle name="Итог 16 16 10" xfId="35869"/>
    <cellStyle name="Итог 16 16 2" xfId="15018"/>
    <cellStyle name="Итог 16 16 2 2" xfId="20301"/>
    <cellStyle name="Итог 16 16 2 2 2" xfId="34111"/>
    <cellStyle name="Итог 16 16 2 2 3" xfId="43979"/>
    <cellStyle name="Итог 16 16 2 3" xfId="23572"/>
    <cellStyle name="Итог 16 16 2 4" xfId="28838"/>
    <cellStyle name="Итог 16 16 2 5" xfId="38713"/>
    <cellStyle name="Итог 16 16 3" xfId="20607"/>
    <cellStyle name="Итог 16 16 4" xfId="20943"/>
    <cellStyle name="Итог 16 16 5" xfId="21057"/>
    <cellStyle name="Итог 16 16 6" xfId="21499"/>
    <cellStyle name="Итог 16 16 7" xfId="22692"/>
    <cellStyle name="Итог 16 16 8" xfId="24196"/>
    <cellStyle name="Итог 16 16 9" xfId="25994"/>
    <cellStyle name="Итог 16 17" xfId="12200"/>
    <cellStyle name="Итог 16 17 10" xfId="35949"/>
    <cellStyle name="Итог 16 17 2" xfId="15098"/>
    <cellStyle name="Итог 16 17 2 2" xfId="20381"/>
    <cellStyle name="Итог 16 17 2 2 2" xfId="34191"/>
    <cellStyle name="Итог 16 17 2 2 3" xfId="44059"/>
    <cellStyle name="Итог 16 17 2 3" xfId="23652"/>
    <cellStyle name="Итог 16 17 2 4" xfId="28918"/>
    <cellStyle name="Итог 16 17 2 5" xfId="38793"/>
    <cellStyle name="Итог 16 17 3" xfId="20671"/>
    <cellStyle name="Итог 16 17 4" xfId="21007"/>
    <cellStyle name="Итог 16 17 5" xfId="21105"/>
    <cellStyle name="Итог 16 17 6" xfId="21579"/>
    <cellStyle name="Итог 16 17 7" xfId="22772"/>
    <cellStyle name="Итог 16 17 8" xfId="24276"/>
    <cellStyle name="Итог 16 17 9" xfId="26074"/>
    <cellStyle name="Итог 16 18" xfId="11756"/>
    <cellStyle name="Итог 16 18 2" xfId="14654"/>
    <cellStyle name="Итог 16 18 2 2" xfId="19937"/>
    <cellStyle name="Итог 16 18 2 2 2" xfId="33747"/>
    <cellStyle name="Итог 16 18 2 2 3" xfId="43615"/>
    <cellStyle name="Итог 16 18 2 3" xfId="28474"/>
    <cellStyle name="Итог 16 18 2 4" xfId="38349"/>
    <cellStyle name="Итог 16 18 3" xfId="15887"/>
    <cellStyle name="Итог 16 18 3 2" xfId="22807"/>
    <cellStyle name="Итог 16 18 3 3" xfId="24519"/>
    <cellStyle name="Итог 16 18 3 4" xfId="29706"/>
    <cellStyle name="Итог 16 18 3 5" xfId="39581"/>
    <cellStyle name="Итог 16 18 4" xfId="23287"/>
    <cellStyle name="Итог 16 18 5" xfId="25630"/>
    <cellStyle name="Итог 16 18 6" xfId="35505"/>
    <cellStyle name="Итог 16 19" xfId="13431"/>
    <cellStyle name="Итог 16 19 2" xfId="16182"/>
    <cellStyle name="Итог 16 19 2 2" xfId="30000"/>
    <cellStyle name="Итог 16 19 2 3" xfId="39875"/>
    <cellStyle name="Итог 16 19 3" xfId="18763"/>
    <cellStyle name="Итог 16 19 3 2" xfId="32573"/>
    <cellStyle name="Итог 16 19 3 3" xfId="42445"/>
    <cellStyle name="Итог 16 19 4" xfId="27304"/>
    <cellStyle name="Итог 16 19 5" xfId="37179"/>
    <cellStyle name="Итог 16 2" xfId="1632"/>
    <cellStyle name="Итог 16 2 10" xfId="34388"/>
    <cellStyle name="Итог 16 2 11" xfId="34499"/>
    <cellStyle name="Итог 16 2 2" xfId="9242"/>
    <cellStyle name="Итог 16 2 3" xfId="12026"/>
    <cellStyle name="Итог 16 2 3 2" xfId="14924"/>
    <cellStyle name="Итог 16 2 3 2 2" xfId="17138"/>
    <cellStyle name="Итог 16 2 3 2 2 2" xfId="23190"/>
    <cellStyle name="Итог 16 2 3 2 2 3" xfId="30952"/>
    <cellStyle name="Итог 16 2 3 2 2 4" xfId="40827"/>
    <cellStyle name="Итог 16 2 3 2 3" xfId="20207"/>
    <cellStyle name="Итог 16 2 3 2 3 2" xfId="34017"/>
    <cellStyle name="Итог 16 2 3 2 3 3" xfId="43885"/>
    <cellStyle name="Итог 16 2 3 2 4" xfId="28744"/>
    <cellStyle name="Итог 16 2 3 2 5" xfId="38619"/>
    <cellStyle name="Итог 16 2 3 3" xfId="14380"/>
    <cellStyle name="Итог 16 2 3 3 2" xfId="19663"/>
    <cellStyle name="Итог 16 2 3 3 2 2" xfId="33473"/>
    <cellStyle name="Итог 16 2 3 3 2 3" xfId="43342"/>
    <cellStyle name="Итог 16 2 3 3 3" xfId="28201"/>
    <cellStyle name="Итог 16 2 3 3 4" xfId="38076"/>
    <cellStyle name="Итог 16 2 3 4" xfId="20865"/>
    <cellStyle name="Итог 16 2 3 5" xfId="21421"/>
    <cellStyle name="Итог 16 2 3 6" xfId="22614"/>
    <cellStyle name="Итог 16 2 3 7" xfId="24102"/>
    <cellStyle name="Итог 16 2 3 8" xfId="25900"/>
    <cellStyle name="Итог 16 2 3 9" xfId="35775"/>
    <cellStyle name="Итог 16 2 4" xfId="11757"/>
    <cellStyle name="Итог 16 2 4 2" xfId="14655"/>
    <cellStyle name="Итог 16 2 4 2 2" xfId="19938"/>
    <cellStyle name="Итог 16 2 4 2 2 2" xfId="33748"/>
    <cellStyle name="Итог 16 2 4 2 2 3" xfId="43616"/>
    <cellStyle name="Итог 16 2 4 2 3" xfId="28475"/>
    <cellStyle name="Итог 16 2 4 2 4" xfId="38350"/>
    <cellStyle name="Итог 16 2 4 3" xfId="15888"/>
    <cellStyle name="Итог 16 2 4 3 2" xfId="22982"/>
    <cellStyle name="Итог 16 2 4 3 3" xfId="24520"/>
    <cellStyle name="Итог 16 2 4 3 4" xfId="29707"/>
    <cellStyle name="Итог 16 2 4 3 5" xfId="39582"/>
    <cellStyle name="Итог 16 2 4 4" xfId="23462"/>
    <cellStyle name="Итог 16 2 4 5" xfId="25631"/>
    <cellStyle name="Итог 16 2 4 6" xfId="35506"/>
    <cellStyle name="Итог 16 2 5" xfId="12348"/>
    <cellStyle name="Итог 16 2 5 2" xfId="17680"/>
    <cellStyle name="Итог 16 2 5 2 2" xfId="31490"/>
    <cellStyle name="Итог 16 2 5 2 3" xfId="41363"/>
    <cellStyle name="Итог 16 2 5 3" xfId="20529"/>
    <cellStyle name="Итог 16 2 5 4" xfId="26222"/>
    <cellStyle name="Итог 16 2 5 5" xfId="36097"/>
    <cellStyle name="Итог 16 2 6" xfId="13432"/>
    <cellStyle name="Итог 16 2 6 2" xfId="16183"/>
    <cellStyle name="Итог 16 2 6 2 2" xfId="30001"/>
    <cellStyle name="Итог 16 2 6 2 3" xfId="39876"/>
    <cellStyle name="Итог 16 2 6 3" xfId="18764"/>
    <cellStyle name="Итог 16 2 6 3 2" xfId="32574"/>
    <cellStyle name="Итог 16 2 6 3 3" xfId="42446"/>
    <cellStyle name="Итог 16 2 6 4" xfId="27305"/>
    <cellStyle name="Итог 16 2 6 5" xfId="37180"/>
    <cellStyle name="Итог 16 2 7" xfId="13382"/>
    <cellStyle name="Итог 16 2 7 2" xfId="18714"/>
    <cellStyle name="Итог 16 2 7 2 2" xfId="32524"/>
    <cellStyle name="Итог 16 2 7 2 3" xfId="42396"/>
    <cellStyle name="Итог 16 2 7 3" xfId="27255"/>
    <cellStyle name="Итог 16 2 7 4" xfId="37130"/>
    <cellStyle name="Итог 16 2 8" xfId="17337"/>
    <cellStyle name="Итог 16 2 8 2" xfId="23853"/>
    <cellStyle name="Итог 16 2 8 3" xfId="31148"/>
    <cellStyle name="Итог 16 2 8 4" xfId="41022"/>
    <cellStyle name="Итог 16 2 9" xfId="24769"/>
    <cellStyle name="Итог 16 20" xfId="13381"/>
    <cellStyle name="Итог 16 20 2" xfId="18713"/>
    <cellStyle name="Итог 16 20 2 2" xfId="32523"/>
    <cellStyle name="Итог 16 20 2 3" xfId="42395"/>
    <cellStyle name="Итог 16 20 3" xfId="27254"/>
    <cellStyle name="Итог 16 20 4" xfId="37129"/>
    <cellStyle name="Итог 16 21" xfId="17336"/>
    <cellStyle name="Итог 16 21 2" xfId="21140"/>
    <cellStyle name="Итог 16 21 3" xfId="31147"/>
    <cellStyle name="Итог 16 21 4" xfId="41021"/>
    <cellStyle name="Итог 16 22" xfId="23852"/>
    <cellStyle name="Итог 16 23" xfId="24768"/>
    <cellStyle name="Итог 16 24" xfId="34387"/>
    <cellStyle name="Итог 16 25" xfId="34500"/>
    <cellStyle name="Итог 16 3" xfId="1633"/>
    <cellStyle name="Итог 16 3 10" xfId="34389"/>
    <cellStyle name="Итог 16 3 11" xfId="34498"/>
    <cellStyle name="Итог 16 3 2" xfId="9243"/>
    <cellStyle name="Итог 16 3 3" xfId="12027"/>
    <cellStyle name="Итог 16 3 3 2" xfId="14925"/>
    <cellStyle name="Итог 16 3 3 2 2" xfId="17139"/>
    <cellStyle name="Итог 16 3 3 2 2 2" xfId="23191"/>
    <cellStyle name="Итог 16 3 3 2 2 3" xfId="30953"/>
    <cellStyle name="Итог 16 3 3 2 2 4" xfId="40828"/>
    <cellStyle name="Итог 16 3 3 2 3" xfId="20208"/>
    <cellStyle name="Итог 16 3 3 2 3 2" xfId="34018"/>
    <cellStyle name="Итог 16 3 3 2 3 3" xfId="43886"/>
    <cellStyle name="Итог 16 3 3 2 4" xfId="28745"/>
    <cellStyle name="Итог 16 3 3 2 5" xfId="38620"/>
    <cellStyle name="Итог 16 3 3 3" xfId="14381"/>
    <cellStyle name="Итог 16 3 3 3 2" xfId="19664"/>
    <cellStyle name="Итог 16 3 3 3 2 2" xfId="33474"/>
    <cellStyle name="Итог 16 3 3 3 2 3" xfId="43343"/>
    <cellStyle name="Итог 16 3 3 3 3" xfId="28202"/>
    <cellStyle name="Итог 16 3 3 3 4" xfId="38077"/>
    <cellStyle name="Итог 16 3 3 4" xfId="20866"/>
    <cellStyle name="Итог 16 3 3 5" xfId="21422"/>
    <cellStyle name="Итог 16 3 3 6" xfId="22615"/>
    <cellStyle name="Итог 16 3 3 7" xfId="24103"/>
    <cellStyle name="Итог 16 3 3 8" xfId="25901"/>
    <cellStyle name="Итог 16 3 3 9" xfId="35776"/>
    <cellStyle name="Итог 16 3 4" xfId="11758"/>
    <cellStyle name="Итог 16 3 4 2" xfId="14656"/>
    <cellStyle name="Итог 16 3 4 2 2" xfId="19939"/>
    <cellStyle name="Итог 16 3 4 2 2 2" xfId="33749"/>
    <cellStyle name="Итог 16 3 4 2 2 3" xfId="43617"/>
    <cellStyle name="Итог 16 3 4 2 3" xfId="28476"/>
    <cellStyle name="Итог 16 3 4 2 4" xfId="38351"/>
    <cellStyle name="Итог 16 3 4 3" xfId="15889"/>
    <cellStyle name="Итог 16 3 4 3 2" xfId="22983"/>
    <cellStyle name="Итог 16 3 4 3 3" xfId="24521"/>
    <cellStyle name="Итог 16 3 4 3 4" xfId="29708"/>
    <cellStyle name="Итог 16 3 4 3 5" xfId="39583"/>
    <cellStyle name="Итог 16 3 4 4" xfId="23463"/>
    <cellStyle name="Итог 16 3 4 5" xfId="25632"/>
    <cellStyle name="Итог 16 3 4 6" xfId="35507"/>
    <cellStyle name="Итог 16 3 5" xfId="12349"/>
    <cellStyle name="Итог 16 3 5 2" xfId="17681"/>
    <cellStyle name="Итог 16 3 5 2 2" xfId="31491"/>
    <cellStyle name="Итог 16 3 5 2 3" xfId="41364"/>
    <cellStyle name="Итог 16 3 5 3" xfId="20530"/>
    <cellStyle name="Итог 16 3 5 4" xfId="26223"/>
    <cellStyle name="Итог 16 3 5 5" xfId="36098"/>
    <cellStyle name="Итог 16 3 6" xfId="13433"/>
    <cellStyle name="Итог 16 3 6 2" xfId="16184"/>
    <cellStyle name="Итог 16 3 6 2 2" xfId="30002"/>
    <cellStyle name="Итог 16 3 6 2 3" xfId="39877"/>
    <cellStyle name="Итог 16 3 6 3" xfId="18765"/>
    <cellStyle name="Итог 16 3 6 3 2" xfId="32575"/>
    <cellStyle name="Итог 16 3 6 3 3" xfId="42447"/>
    <cellStyle name="Итог 16 3 6 4" xfId="27306"/>
    <cellStyle name="Итог 16 3 6 5" xfId="37181"/>
    <cellStyle name="Итог 16 3 7" xfId="13383"/>
    <cellStyle name="Итог 16 3 7 2" xfId="18715"/>
    <cellStyle name="Итог 16 3 7 2 2" xfId="32525"/>
    <cellStyle name="Итог 16 3 7 2 3" xfId="42397"/>
    <cellStyle name="Итог 16 3 7 3" xfId="27256"/>
    <cellStyle name="Итог 16 3 7 4" xfId="37131"/>
    <cellStyle name="Итог 16 3 8" xfId="17338"/>
    <cellStyle name="Итог 16 3 8 2" xfId="23854"/>
    <cellStyle name="Итог 16 3 8 3" xfId="31149"/>
    <cellStyle name="Итог 16 3 8 4" xfId="41023"/>
    <cellStyle name="Итог 16 3 9" xfId="24770"/>
    <cellStyle name="Итог 16 4" xfId="9236"/>
    <cellStyle name="Итог 16 5" xfId="9244"/>
    <cellStyle name="Итог 16 6" xfId="9245"/>
    <cellStyle name="Итог 16 7" xfId="9246"/>
    <cellStyle name="Итог 16 8" xfId="9247"/>
    <cellStyle name="Итог 16 9" xfId="9248"/>
    <cellStyle name="Итог 17" xfId="1634"/>
    <cellStyle name="Итог 17 10" xfId="9250"/>
    <cellStyle name="Итог 17 11" xfId="9251"/>
    <cellStyle name="Итог 17 12" xfId="9252"/>
    <cellStyle name="Итог 17 13" xfId="9253"/>
    <cellStyle name="Итог 17 14" xfId="9254"/>
    <cellStyle name="Итог 17 15" xfId="11897"/>
    <cellStyle name="Итог 17 15 2" xfId="14795"/>
    <cellStyle name="Итог 17 15 2 2" xfId="17009"/>
    <cellStyle name="Итог 17 15 2 2 2" xfId="23061"/>
    <cellStyle name="Итог 17 15 2 2 3" xfId="30823"/>
    <cellStyle name="Итог 17 15 2 2 4" xfId="40698"/>
    <cellStyle name="Итог 17 15 2 3" xfId="20078"/>
    <cellStyle name="Итог 17 15 2 3 2" xfId="33888"/>
    <cellStyle name="Итог 17 15 2 3 3" xfId="43756"/>
    <cellStyle name="Итог 17 15 2 4" xfId="28615"/>
    <cellStyle name="Итог 17 15 2 5" xfId="38490"/>
    <cellStyle name="Итог 17 15 3" xfId="14446"/>
    <cellStyle name="Итог 17 15 3 2" xfId="19729"/>
    <cellStyle name="Итог 17 15 3 2 2" xfId="33539"/>
    <cellStyle name="Итог 17 15 3 2 3" xfId="43407"/>
    <cellStyle name="Итог 17 15 3 3" xfId="28266"/>
    <cellStyle name="Итог 17 15 3 4" xfId="38141"/>
    <cellStyle name="Итог 17 15 4" xfId="20736"/>
    <cellStyle name="Итог 17 15 5" xfId="21292"/>
    <cellStyle name="Итог 17 15 6" xfId="22469"/>
    <cellStyle name="Итог 17 15 7" xfId="23957"/>
    <cellStyle name="Итог 17 15 8" xfId="25771"/>
    <cellStyle name="Итог 17 15 9" xfId="35646"/>
    <cellStyle name="Итог 17 16" xfId="12121"/>
    <cellStyle name="Итог 17 16 10" xfId="35870"/>
    <cellStyle name="Итог 17 16 2" xfId="15019"/>
    <cellStyle name="Итог 17 16 2 2" xfId="20302"/>
    <cellStyle name="Итог 17 16 2 2 2" xfId="34112"/>
    <cellStyle name="Итог 17 16 2 2 3" xfId="43980"/>
    <cellStyle name="Итог 17 16 2 3" xfId="23573"/>
    <cellStyle name="Итог 17 16 2 4" xfId="28839"/>
    <cellStyle name="Итог 17 16 2 5" xfId="38714"/>
    <cellStyle name="Итог 17 16 3" xfId="20608"/>
    <cellStyle name="Итог 17 16 4" xfId="20944"/>
    <cellStyle name="Итог 17 16 5" xfId="21058"/>
    <cellStyle name="Итог 17 16 6" xfId="21500"/>
    <cellStyle name="Итог 17 16 7" xfId="22693"/>
    <cellStyle name="Итог 17 16 8" xfId="24197"/>
    <cellStyle name="Итог 17 16 9" xfId="25995"/>
    <cellStyle name="Итог 17 17" xfId="12201"/>
    <cellStyle name="Итог 17 17 10" xfId="35950"/>
    <cellStyle name="Итог 17 17 2" xfId="15099"/>
    <cellStyle name="Итог 17 17 2 2" xfId="20382"/>
    <cellStyle name="Итог 17 17 2 2 2" xfId="34192"/>
    <cellStyle name="Итог 17 17 2 2 3" xfId="44060"/>
    <cellStyle name="Итог 17 17 2 3" xfId="23653"/>
    <cellStyle name="Итог 17 17 2 4" xfId="28919"/>
    <cellStyle name="Итог 17 17 2 5" xfId="38794"/>
    <cellStyle name="Итог 17 17 3" xfId="20672"/>
    <cellStyle name="Итог 17 17 4" xfId="21008"/>
    <cellStyle name="Итог 17 17 5" xfId="21106"/>
    <cellStyle name="Итог 17 17 6" xfId="21580"/>
    <cellStyle name="Итог 17 17 7" xfId="22773"/>
    <cellStyle name="Итог 17 17 8" xfId="24277"/>
    <cellStyle name="Итог 17 17 9" xfId="26075"/>
    <cellStyle name="Итог 17 18" xfId="11759"/>
    <cellStyle name="Итог 17 18 2" xfId="14657"/>
    <cellStyle name="Итог 17 18 2 2" xfId="19940"/>
    <cellStyle name="Итог 17 18 2 2 2" xfId="33750"/>
    <cellStyle name="Итог 17 18 2 2 3" xfId="43618"/>
    <cellStyle name="Итог 17 18 2 3" xfId="28477"/>
    <cellStyle name="Итог 17 18 2 4" xfId="38352"/>
    <cellStyle name="Итог 17 18 3" xfId="15890"/>
    <cellStyle name="Итог 17 18 3 2" xfId="22806"/>
    <cellStyle name="Итог 17 18 3 3" xfId="24522"/>
    <cellStyle name="Итог 17 18 3 4" xfId="29709"/>
    <cellStyle name="Итог 17 18 3 5" xfId="39584"/>
    <cellStyle name="Итог 17 18 4" xfId="23286"/>
    <cellStyle name="Итог 17 18 5" xfId="25633"/>
    <cellStyle name="Итог 17 18 6" xfId="35508"/>
    <cellStyle name="Итог 17 19" xfId="13434"/>
    <cellStyle name="Итог 17 19 2" xfId="16185"/>
    <cellStyle name="Итог 17 19 2 2" xfId="30003"/>
    <cellStyle name="Итог 17 19 2 3" xfId="39878"/>
    <cellStyle name="Итог 17 19 3" xfId="18766"/>
    <cellStyle name="Итог 17 19 3 2" xfId="32576"/>
    <cellStyle name="Итог 17 19 3 3" xfId="42448"/>
    <cellStyle name="Итог 17 19 4" xfId="27307"/>
    <cellStyle name="Итог 17 19 5" xfId="37182"/>
    <cellStyle name="Итог 17 2" xfId="1635"/>
    <cellStyle name="Итог 17 2 10" xfId="34391"/>
    <cellStyle name="Итог 17 2 11" xfId="34496"/>
    <cellStyle name="Итог 17 2 2" xfId="9255"/>
    <cellStyle name="Итог 17 2 3" xfId="12028"/>
    <cellStyle name="Итог 17 2 3 2" xfId="14926"/>
    <cellStyle name="Итог 17 2 3 2 2" xfId="17140"/>
    <cellStyle name="Итог 17 2 3 2 2 2" xfId="23192"/>
    <cellStyle name="Итог 17 2 3 2 2 3" xfId="30954"/>
    <cellStyle name="Итог 17 2 3 2 2 4" xfId="40829"/>
    <cellStyle name="Итог 17 2 3 2 3" xfId="20209"/>
    <cellStyle name="Итог 17 2 3 2 3 2" xfId="34019"/>
    <cellStyle name="Итог 17 2 3 2 3 3" xfId="43887"/>
    <cellStyle name="Итог 17 2 3 2 4" xfId="28746"/>
    <cellStyle name="Итог 17 2 3 2 5" xfId="38621"/>
    <cellStyle name="Итог 17 2 3 3" xfId="13020"/>
    <cellStyle name="Итог 17 2 3 3 2" xfId="18352"/>
    <cellStyle name="Итог 17 2 3 3 2 2" xfId="32162"/>
    <cellStyle name="Итог 17 2 3 3 2 3" xfId="42035"/>
    <cellStyle name="Итог 17 2 3 3 3" xfId="26894"/>
    <cellStyle name="Итог 17 2 3 3 4" xfId="36769"/>
    <cellStyle name="Итог 17 2 3 4" xfId="20867"/>
    <cellStyle name="Итог 17 2 3 5" xfId="21423"/>
    <cellStyle name="Итог 17 2 3 6" xfId="22616"/>
    <cellStyle name="Итог 17 2 3 7" xfId="24104"/>
    <cellStyle name="Итог 17 2 3 8" xfId="25902"/>
    <cellStyle name="Итог 17 2 3 9" xfId="35777"/>
    <cellStyle name="Итог 17 2 4" xfId="11760"/>
    <cellStyle name="Итог 17 2 4 2" xfId="14658"/>
    <cellStyle name="Итог 17 2 4 2 2" xfId="19941"/>
    <cellStyle name="Итог 17 2 4 2 2 2" xfId="33751"/>
    <cellStyle name="Итог 17 2 4 2 2 3" xfId="43619"/>
    <cellStyle name="Итог 17 2 4 2 3" xfId="28478"/>
    <cellStyle name="Итог 17 2 4 2 4" xfId="38353"/>
    <cellStyle name="Итог 17 2 4 3" xfId="15891"/>
    <cellStyle name="Итог 17 2 4 3 2" xfId="22984"/>
    <cellStyle name="Итог 17 2 4 3 3" xfId="24523"/>
    <cellStyle name="Итог 17 2 4 3 4" xfId="29710"/>
    <cellStyle name="Итог 17 2 4 3 5" xfId="39585"/>
    <cellStyle name="Итог 17 2 4 4" xfId="23464"/>
    <cellStyle name="Итог 17 2 4 5" xfId="25634"/>
    <cellStyle name="Итог 17 2 4 6" xfId="35509"/>
    <cellStyle name="Итог 17 2 5" xfId="12350"/>
    <cellStyle name="Итог 17 2 5 2" xfId="17682"/>
    <cellStyle name="Итог 17 2 5 2 2" xfId="31492"/>
    <cellStyle name="Итог 17 2 5 2 3" xfId="41365"/>
    <cellStyle name="Итог 17 2 5 3" xfId="20531"/>
    <cellStyle name="Итог 17 2 5 4" xfId="26224"/>
    <cellStyle name="Итог 17 2 5 5" xfId="36099"/>
    <cellStyle name="Итог 17 2 6" xfId="13435"/>
    <cellStyle name="Итог 17 2 6 2" xfId="16186"/>
    <cellStyle name="Итог 17 2 6 2 2" xfId="30004"/>
    <cellStyle name="Итог 17 2 6 2 3" xfId="39879"/>
    <cellStyle name="Итог 17 2 6 3" xfId="18767"/>
    <cellStyle name="Итог 17 2 6 3 2" xfId="32577"/>
    <cellStyle name="Итог 17 2 6 3 3" xfId="42449"/>
    <cellStyle name="Итог 17 2 6 4" xfId="27308"/>
    <cellStyle name="Итог 17 2 6 5" xfId="37183"/>
    <cellStyle name="Итог 17 2 7" xfId="13385"/>
    <cellStyle name="Итог 17 2 7 2" xfId="18717"/>
    <cellStyle name="Итог 17 2 7 2 2" xfId="32527"/>
    <cellStyle name="Итог 17 2 7 2 3" xfId="42399"/>
    <cellStyle name="Итог 17 2 7 3" xfId="27258"/>
    <cellStyle name="Итог 17 2 7 4" xfId="37133"/>
    <cellStyle name="Итог 17 2 8" xfId="17340"/>
    <cellStyle name="Итог 17 2 8 2" xfId="23856"/>
    <cellStyle name="Итог 17 2 8 3" xfId="31151"/>
    <cellStyle name="Итог 17 2 8 4" xfId="41025"/>
    <cellStyle name="Итог 17 2 9" xfId="24772"/>
    <cellStyle name="Итог 17 20" xfId="13384"/>
    <cellStyle name="Итог 17 20 2" xfId="18716"/>
    <cellStyle name="Итог 17 20 2 2" xfId="32526"/>
    <cellStyle name="Итог 17 20 2 3" xfId="42398"/>
    <cellStyle name="Итог 17 20 3" xfId="27257"/>
    <cellStyle name="Итог 17 20 4" xfId="37132"/>
    <cellStyle name="Итог 17 21" xfId="17339"/>
    <cellStyle name="Итог 17 21 2" xfId="21139"/>
    <cellStyle name="Итог 17 21 3" xfId="31150"/>
    <cellStyle name="Итог 17 21 4" xfId="41024"/>
    <cellStyle name="Итог 17 22" xfId="23855"/>
    <cellStyle name="Итог 17 23" xfId="24771"/>
    <cellStyle name="Итог 17 24" xfId="34390"/>
    <cellStyle name="Итог 17 25" xfId="34497"/>
    <cellStyle name="Итог 17 3" xfId="1636"/>
    <cellStyle name="Итог 17 3 10" xfId="34392"/>
    <cellStyle name="Итог 17 3 11" xfId="34495"/>
    <cellStyle name="Итог 17 3 2" xfId="9256"/>
    <cellStyle name="Итог 17 3 3" xfId="12029"/>
    <cellStyle name="Итог 17 3 3 2" xfId="14927"/>
    <cellStyle name="Итог 17 3 3 2 2" xfId="17141"/>
    <cellStyle name="Итог 17 3 3 2 2 2" xfId="23193"/>
    <cellStyle name="Итог 17 3 3 2 2 3" xfId="30955"/>
    <cellStyle name="Итог 17 3 3 2 2 4" xfId="40830"/>
    <cellStyle name="Итог 17 3 3 2 3" xfId="20210"/>
    <cellStyle name="Итог 17 3 3 2 3 2" xfId="34020"/>
    <cellStyle name="Итог 17 3 3 2 3 3" xfId="43888"/>
    <cellStyle name="Итог 17 3 3 2 4" xfId="28747"/>
    <cellStyle name="Итог 17 3 3 2 5" xfId="38622"/>
    <cellStyle name="Итог 17 3 3 3" xfId="14382"/>
    <cellStyle name="Итог 17 3 3 3 2" xfId="19665"/>
    <cellStyle name="Итог 17 3 3 3 2 2" xfId="33475"/>
    <cellStyle name="Итог 17 3 3 3 2 3" xfId="43344"/>
    <cellStyle name="Итог 17 3 3 3 3" xfId="28203"/>
    <cellStyle name="Итог 17 3 3 3 4" xfId="38078"/>
    <cellStyle name="Итог 17 3 3 4" xfId="20868"/>
    <cellStyle name="Итог 17 3 3 5" xfId="21424"/>
    <cellStyle name="Итог 17 3 3 6" xfId="22617"/>
    <cellStyle name="Итог 17 3 3 7" xfId="24105"/>
    <cellStyle name="Итог 17 3 3 8" xfId="25903"/>
    <cellStyle name="Итог 17 3 3 9" xfId="35778"/>
    <cellStyle name="Итог 17 3 4" xfId="11761"/>
    <cellStyle name="Итог 17 3 4 2" xfId="14659"/>
    <cellStyle name="Итог 17 3 4 2 2" xfId="19942"/>
    <cellStyle name="Итог 17 3 4 2 2 2" xfId="33752"/>
    <cellStyle name="Итог 17 3 4 2 2 3" xfId="43620"/>
    <cellStyle name="Итог 17 3 4 2 3" xfId="28479"/>
    <cellStyle name="Итог 17 3 4 2 4" xfId="38354"/>
    <cellStyle name="Итог 17 3 4 3" xfId="15892"/>
    <cellStyle name="Итог 17 3 4 3 2" xfId="22985"/>
    <cellStyle name="Итог 17 3 4 3 3" xfId="24524"/>
    <cellStyle name="Итог 17 3 4 3 4" xfId="29711"/>
    <cellStyle name="Итог 17 3 4 3 5" xfId="39586"/>
    <cellStyle name="Итог 17 3 4 4" xfId="23465"/>
    <cellStyle name="Итог 17 3 4 5" xfId="25635"/>
    <cellStyle name="Итог 17 3 4 6" xfId="35510"/>
    <cellStyle name="Итог 17 3 5" xfId="12351"/>
    <cellStyle name="Итог 17 3 5 2" xfId="17683"/>
    <cellStyle name="Итог 17 3 5 2 2" xfId="31493"/>
    <cellStyle name="Итог 17 3 5 2 3" xfId="41366"/>
    <cellStyle name="Итог 17 3 5 3" xfId="20532"/>
    <cellStyle name="Итог 17 3 5 4" xfId="26225"/>
    <cellStyle name="Итог 17 3 5 5" xfId="36100"/>
    <cellStyle name="Итог 17 3 6" xfId="13436"/>
    <cellStyle name="Итог 17 3 6 2" xfId="16187"/>
    <cellStyle name="Итог 17 3 6 2 2" xfId="30005"/>
    <cellStyle name="Итог 17 3 6 2 3" xfId="39880"/>
    <cellStyle name="Итог 17 3 6 3" xfId="18768"/>
    <cellStyle name="Итог 17 3 6 3 2" xfId="32578"/>
    <cellStyle name="Итог 17 3 6 3 3" xfId="42450"/>
    <cellStyle name="Итог 17 3 6 4" xfId="27309"/>
    <cellStyle name="Итог 17 3 6 5" xfId="37184"/>
    <cellStyle name="Итог 17 3 7" xfId="13386"/>
    <cellStyle name="Итог 17 3 7 2" xfId="18718"/>
    <cellStyle name="Итог 17 3 7 2 2" xfId="32528"/>
    <cellStyle name="Итог 17 3 7 2 3" xfId="42400"/>
    <cellStyle name="Итог 17 3 7 3" xfId="27259"/>
    <cellStyle name="Итог 17 3 7 4" xfId="37134"/>
    <cellStyle name="Итог 17 3 8" xfId="17341"/>
    <cellStyle name="Итог 17 3 8 2" xfId="23857"/>
    <cellStyle name="Итог 17 3 8 3" xfId="31152"/>
    <cellStyle name="Итог 17 3 8 4" xfId="41026"/>
    <cellStyle name="Итог 17 3 9" xfId="24773"/>
    <cellStyle name="Итог 17 4" xfId="9249"/>
    <cellStyle name="Итог 17 5" xfId="9257"/>
    <cellStyle name="Итог 17 6" xfId="9258"/>
    <cellStyle name="Итог 17 7" xfId="9259"/>
    <cellStyle name="Итог 17 8" xfId="9260"/>
    <cellStyle name="Итог 17 9" xfId="9261"/>
    <cellStyle name="Итог 18" xfId="1637"/>
    <cellStyle name="Итог 18 10" xfId="24774"/>
    <cellStyle name="Итог 18 11" xfId="34393"/>
    <cellStyle name="Итог 18 12" xfId="34494"/>
    <cellStyle name="Итог 18 2" xfId="1638"/>
    <cellStyle name="Итог 18 2 10" xfId="34720"/>
    <cellStyle name="Итог 18 2 2" xfId="9263"/>
    <cellStyle name="Итог 18 2 3" xfId="12031"/>
    <cellStyle name="Итог 18 2 3 2" xfId="14929"/>
    <cellStyle name="Итог 18 2 3 2 2" xfId="17143"/>
    <cellStyle name="Итог 18 2 3 2 2 2" xfId="23195"/>
    <cellStyle name="Итог 18 2 3 2 2 3" xfId="30957"/>
    <cellStyle name="Итог 18 2 3 2 2 4" xfId="40832"/>
    <cellStyle name="Итог 18 2 3 2 3" xfId="20212"/>
    <cellStyle name="Итог 18 2 3 2 3 2" xfId="34022"/>
    <cellStyle name="Итог 18 2 3 2 3 3" xfId="43890"/>
    <cellStyle name="Итог 18 2 3 2 4" xfId="28749"/>
    <cellStyle name="Итог 18 2 3 2 5" xfId="38624"/>
    <cellStyle name="Итог 18 2 3 3" xfId="14468"/>
    <cellStyle name="Итог 18 2 3 3 2" xfId="19751"/>
    <cellStyle name="Итог 18 2 3 3 2 2" xfId="33561"/>
    <cellStyle name="Итог 18 2 3 3 2 3" xfId="43429"/>
    <cellStyle name="Итог 18 2 3 3 3" xfId="28288"/>
    <cellStyle name="Итог 18 2 3 3 4" xfId="38163"/>
    <cellStyle name="Итог 18 2 3 4" xfId="20870"/>
    <cellStyle name="Итог 18 2 3 5" xfId="21426"/>
    <cellStyle name="Итог 18 2 3 6" xfId="22619"/>
    <cellStyle name="Итог 18 2 3 7" xfId="24107"/>
    <cellStyle name="Итог 18 2 3 8" xfId="25905"/>
    <cellStyle name="Итог 18 2 3 9" xfId="35780"/>
    <cellStyle name="Итог 18 2 4" xfId="11763"/>
    <cellStyle name="Итог 18 2 4 2" xfId="14661"/>
    <cellStyle name="Итог 18 2 4 2 2" xfId="19944"/>
    <cellStyle name="Итог 18 2 4 2 2 2" xfId="33754"/>
    <cellStyle name="Итог 18 2 4 2 2 3" xfId="43622"/>
    <cellStyle name="Итог 18 2 4 2 3" xfId="28481"/>
    <cellStyle name="Итог 18 2 4 2 4" xfId="38356"/>
    <cellStyle name="Итог 18 2 4 3" xfId="15894"/>
    <cellStyle name="Итог 18 2 4 3 2" xfId="22987"/>
    <cellStyle name="Итог 18 2 4 3 3" xfId="24526"/>
    <cellStyle name="Итог 18 2 4 3 4" xfId="29713"/>
    <cellStyle name="Итог 18 2 4 3 5" xfId="39588"/>
    <cellStyle name="Итог 18 2 4 4" xfId="23467"/>
    <cellStyle name="Итог 18 2 4 5" xfId="25637"/>
    <cellStyle name="Итог 18 2 4 6" xfId="35512"/>
    <cellStyle name="Итог 18 2 5" xfId="12227"/>
    <cellStyle name="Итог 18 2 5 2" xfId="17559"/>
    <cellStyle name="Итог 18 2 5 2 2" xfId="31369"/>
    <cellStyle name="Итог 18 2 5 2 3" xfId="41242"/>
    <cellStyle name="Итог 18 2 5 3" xfId="20534"/>
    <cellStyle name="Итог 18 2 5 4" xfId="26101"/>
    <cellStyle name="Итог 18 2 5 5" xfId="35976"/>
    <cellStyle name="Итог 18 2 6" xfId="13014"/>
    <cellStyle name="Итог 18 2 6 2" xfId="15995"/>
    <cellStyle name="Итог 18 2 6 2 2" xfId="29814"/>
    <cellStyle name="Итог 18 2 6 2 3" xfId="39689"/>
    <cellStyle name="Итог 18 2 6 3" xfId="18346"/>
    <cellStyle name="Итог 18 2 6 3 2" xfId="32156"/>
    <cellStyle name="Итог 18 2 6 3 3" xfId="42029"/>
    <cellStyle name="Итог 18 2 6 4" xfId="26888"/>
    <cellStyle name="Итог 18 2 6 5" xfId="36763"/>
    <cellStyle name="Итог 18 2 7" xfId="21235"/>
    <cellStyle name="Итог 18 2 8" xfId="23859"/>
    <cellStyle name="Итог 18 2 9" xfId="24775"/>
    <cellStyle name="Итог 18 3" xfId="9262"/>
    <cellStyle name="Итог 18 4" xfId="12030"/>
    <cellStyle name="Итог 18 4 2" xfId="14928"/>
    <cellStyle name="Итог 18 4 2 2" xfId="17142"/>
    <cellStyle name="Итог 18 4 2 2 2" xfId="23194"/>
    <cellStyle name="Итог 18 4 2 2 3" xfId="30956"/>
    <cellStyle name="Итог 18 4 2 2 4" xfId="40831"/>
    <cellStyle name="Итог 18 4 2 3" xfId="20211"/>
    <cellStyle name="Итог 18 4 2 3 2" xfId="34021"/>
    <cellStyle name="Итог 18 4 2 3 3" xfId="43889"/>
    <cellStyle name="Итог 18 4 2 4" xfId="28748"/>
    <cellStyle name="Итог 18 4 2 5" xfId="38623"/>
    <cellStyle name="Итог 18 4 3" xfId="13625"/>
    <cellStyle name="Итог 18 4 3 2" xfId="18908"/>
    <cellStyle name="Итог 18 4 3 2 2" xfId="32718"/>
    <cellStyle name="Итог 18 4 3 2 3" xfId="42588"/>
    <cellStyle name="Итог 18 4 3 3" xfId="27447"/>
    <cellStyle name="Итог 18 4 3 4" xfId="37322"/>
    <cellStyle name="Итог 18 4 4" xfId="20869"/>
    <cellStyle name="Итог 18 4 5" xfId="21425"/>
    <cellStyle name="Итог 18 4 6" xfId="22618"/>
    <cellStyle name="Итог 18 4 7" xfId="24106"/>
    <cellStyle name="Итог 18 4 8" xfId="25904"/>
    <cellStyle name="Итог 18 4 9" xfId="35779"/>
    <cellStyle name="Итог 18 5" xfId="11762"/>
    <cellStyle name="Итог 18 5 2" xfId="14660"/>
    <cellStyle name="Итог 18 5 2 2" xfId="19943"/>
    <cellStyle name="Итог 18 5 2 2 2" xfId="33753"/>
    <cellStyle name="Итог 18 5 2 2 3" xfId="43621"/>
    <cellStyle name="Итог 18 5 2 3" xfId="28480"/>
    <cellStyle name="Итог 18 5 2 4" xfId="38355"/>
    <cellStyle name="Итог 18 5 3" xfId="15893"/>
    <cellStyle name="Итог 18 5 3 2" xfId="22986"/>
    <cellStyle name="Итог 18 5 3 3" xfId="24525"/>
    <cellStyle name="Итог 18 5 3 4" xfId="29712"/>
    <cellStyle name="Итог 18 5 3 5" xfId="39587"/>
    <cellStyle name="Итог 18 5 4" xfId="23466"/>
    <cellStyle name="Итог 18 5 5" xfId="25636"/>
    <cellStyle name="Итог 18 5 6" xfId="35511"/>
    <cellStyle name="Итог 18 6" xfId="12352"/>
    <cellStyle name="Итог 18 6 2" xfId="17684"/>
    <cellStyle name="Итог 18 6 2 2" xfId="31494"/>
    <cellStyle name="Итог 18 6 2 3" xfId="41367"/>
    <cellStyle name="Итог 18 6 3" xfId="20533"/>
    <cellStyle name="Итог 18 6 4" xfId="26226"/>
    <cellStyle name="Итог 18 6 5" xfId="36101"/>
    <cellStyle name="Итог 18 7" xfId="13437"/>
    <cellStyle name="Итог 18 7 2" xfId="16188"/>
    <cellStyle name="Итог 18 7 2 2" xfId="30006"/>
    <cellStyle name="Итог 18 7 2 3" xfId="39881"/>
    <cellStyle name="Итог 18 7 3" xfId="18769"/>
    <cellStyle name="Итог 18 7 3 2" xfId="32579"/>
    <cellStyle name="Итог 18 7 3 3" xfId="42451"/>
    <cellStyle name="Итог 18 7 4" xfId="27310"/>
    <cellStyle name="Итог 18 7 5" xfId="37185"/>
    <cellStyle name="Итог 18 8" xfId="13387"/>
    <cellStyle name="Итог 18 8 2" xfId="18719"/>
    <cellStyle name="Итог 18 8 2 2" xfId="32529"/>
    <cellStyle name="Итог 18 8 2 3" xfId="42401"/>
    <cellStyle name="Итог 18 8 3" xfId="27260"/>
    <cellStyle name="Итог 18 8 4" xfId="37135"/>
    <cellStyle name="Итог 18 9" xfId="17342"/>
    <cellStyle name="Итог 18 9 2" xfId="23858"/>
    <cellStyle name="Итог 18 9 3" xfId="31153"/>
    <cellStyle name="Итог 18 9 4" xfId="41027"/>
    <cellStyle name="Итог 19" xfId="1639"/>
    <cellStyle name="Итог 19 10" xfId="24776"/>
    <cellStyle name="Итог 19 11" xfId="34394"/>
    <cellStyle name="Итог 19 12" xfId="34493"/>
    <cellStyle name="Итог 19 2" xfId="1640"/>
    <cellStyle name="Итог 19 2 10" xfId="34719"/>
    <cellStyle name="Итог 19 2 2" xfId="9265"/>
    <cellStyle name="Итог 19 2 3" xfId="12033"/>
    <cellStyle name="Итог 19 2 3 2" xfId="14931"/>
    <cellStyle name="Итог 19 2 3 2 2" xfId="17145"/>
    <cellStyle name="Итог 19 2 3 2 2 2" xfId="23197"/>
    <cellStyle name="Итог 19 2 3 2 2 3" xfId="30959"/>
    <cellStyle name="Итог 19 2 3 2 2 4" xfId="40834"/>
    <cellStyle name="Итог 19 2 3 2 3" xfId="20214"/>
    <cellStyle name="Итог 19 2 3 2 3 2" xfId="34024"/>
    <cellStyle name="Итог 19 2 3 2 3 3" xfId="43892"/>
    <cellStyle name="Итог 19 2 3 2 4" xfId="28751"/>
    <cellStyle name="Итог 19 2 3 2 5" xfId="38626"/>
    <cellStyle name="Итог 19 2 3 3" xfId="14383"/>
    <cellStyle name="Итог 19 2 3 3 2" xfId="19666"/>
    <cellStyle name="Итог 19 2 3 3 2 2" xfId="33476"/>
    <cellStyle name="Итог 19 2 3 3 2 3" xfId="43345"/>
    <cellStyle name="Итог 19 2 3 3 3" xfId="28204"/>
    <cellStyle name="Итог 19 2 3 3 4" xfId="38079"/>
    <cellStyle name="Итог 19 2 3 4" xfId="20872"/>
    <cellStyle name="Итог 19 2 3 5" xfId="21428"/>
    <cellStyle name="Итог 19 2 3 6" xfId="22621"/>
    <cellStyle name="Итог 19 2 3 7" xfId="24109"/>
    <cellStyle name="Итог 19 2 3 8" xfId="25907"/>
    <cellStyle name="Итог 19 2 3 9" xfId="35782"/>
    <cellStyle name="Итог 19 2 4" xfId="11765"/>
    <cellStyle name="Итог 19 2 4 2" xfId="14663"/>
    <cellStyle name="Итог 19 2 4 2 2" xfId="19946"/>
    <cellStyle name="Итог 19 2 4 2 2 2" xfId="33756"/>
    <cellStyle name="Итог 19 2 4 2 2 3" xfId="43624"/>
    <cellStyle name="Итог 19 2 4 2 3" xfId="28483"/>
    <cellStyle name="Итог 19 2 4 2 4" xfId="38358"/>
    <cellStyle name="Итог 19 2 4 3" xfId="15896"/>
    <cellStyle name="Итог 19 2 4 3 2" xfId="22989"/>
    <cellStyle name="Итог 19 2 4 3 3" xfId="24528"/>
    <cellStyle name="Итог 19 2 4 3 4" xfId="29715"/>
    <cellStyle name="Итог 19 2 4 3 5" xfId="39590"/>
    <cellStyle name="Итог 19 2 4 4" xfId="23469"/>
    <cellStyle name="Итог 19 2 4 5" xfId="25639"/>
    <cellStyle name="Итог 19 2 4 6" xfId="35514"/>
    <cellStyle name="Итог 19 2 5" xfId="12226"/>
    <cellStyle name="Итог 19 2 5 2" xfId="17558"/>
    <cellStyle name="Итог 19 2 5 2 2" xfId="31368"/>
    <cellStyle name="Итог 19 2 5 2 3" xfId="41241"/>
    <cellStyle name="Итог 19 2 5 3" xfId="20536"/>
    <cellStyle name="Итог 19 2 5 4" xfId="26100"/>
    <cellStyle name="Итог 19 2 5 5" xfId="35975"/>
    <cellStyle name="Итог 19 2 6" xfId="13012"/>
    <cellStyle name="Итог 19 2 6 2" xfId="15993"/>
    <cellStyle name="Итог 19 2 6 2 2" xfId="29812"/>
    <cellStyle name="Итог 19 2 6 2 3" xfId="39687"/>
    <cellStyle name="Итог 19 2 6 3" xfId="18344"/>
    <cellStyle name="Итог 19 2 6 3 2" xfId="32154"/>
    <cellStyle name="Итог 19 2 6 3 3" xfId="42027"/>
    <cellStyle name="Итог 19 2 6 4" xfId="26886"/>
    <cellStyle name="Итог 19 2 6 5" xfId="36761"/>
    <cellStyle name="Итог 19 2 7" xfId="21236"/>
    <cellStyle name="Итог 19 2 8" xfId="23861"/>
    <cellStyle name="Итог 19 2 9" xfId="24777"/>
    <cellStyle name="Итог 19 3" xfId="9264"/>
    <cellStyle name="Итог 19 4" xfId="12032"/>
    <cellStyle name="Итог 19 4 2" xfId="14930"/>
    <cellStyle name="Итог 19 4 2 2" xfId="17144"/>
    <cellStyle name="Итог 19 4 2 2 2" xfId="23196"/>
    <cellStyle name="Итог 19 4 2 2 3" xfId="30958"/>
    <cellStyle name="Итог 19 4 2 2 4" xfId="40833"/>
    <cellStyle name="Итог 19 4 2 3" xfId="20213"/>
    <cellStyle name="Итог 19 4 2 3 2" xfId="34023"/>
    <cellStyle name="Итог 19 4 2 3 3" xfId="43891"/>
    <cellStyle name="Итог 19 4 2 4" xfId="28750"/>
    <cellStyle name="Итог 19 4 2 5" xfId="38625"/>
    <cellStyle name="Итог 19 4 3" xfId="13019"/>
    <cellStyle name="Итог 19 4 3 2" xfId="18351"/>
    <cellStyle name="Итог 19 4 3 2 2" xfId="32161"/>
    <cellStyle name="Итог 19 4 3 2 3" xfId="42034"/>
    <cellStyle name="Итог 19 4 3 3" xfId="26893"/>
    <cellStyle name="Итог 19 4 3 4" xfId="36768"/>
    <cellStyle name="Итог 19 4 4" xfId="20871"/>
    <cellStyle name="Итог 19 4 5" xfId="21427"/>
    <cellStyle name="Итог 19 4 6" xfId="22620"/>
    <cellStyle name="Итог 19 4 7" xfId="24108"/>
    <cellStyle name="Итог 19 4 8" xfId="25906"/>
    <cellStyle name="Итог 19 4 9" xfId="35781"/>
    <cellStyle name="Итог 19 5" xfId="11764"/>
    <cellStyle name="Итог 19 5 2" xfId="14662"/>
    <cellStyle name="Итог 19 5 2 2" xfId="19945"/>
    <cellStyle name="Итог 19 5 2 2 2" xfId="33755"/>
    <cellStyle name="Итог 19 5 2 2 3" xfId="43623"/>
    <cellStyle name="Итог 19 5 2 3" xfId="28482"/>
    <cellStyle name="Итог 19 5 2 4" xfId="38357"/>
    <cellStyle name="Итог 19 5 3" xfId="15895"/>
    <cellStyle name="Итог 19 5 3 2" xfId="22988"/>
    <cellStyle name="Итог 19 5 3 3" xfId="24527"/>
    <cellStyle name="Итог 19 5 3 4" xfId="29714"/>
    <cellStyle name="Итог 19 5 3 5" xfId="39589"/>
    <cellStyle name="Итог 19 5 4" xfId="23468"/>
    <cellStyle name="Итог 19 5 5" xfId="25638"/>
    <cellStyle name="Итог 19 5 6" xfId="35513"/>
    <cellStyle name="Итог 19 6" xfId="12353"/>
    <cellStyle name="Итог 19 6 2" xfId="17685"/>
    <cellStyle name="Итог 19 6 2 2" xfId="31495"/>
    <cellStyle name="Итог 19 6 2 3" xfId="41368"/>
    <cellStyle name="Итог 19 6 3" xfId="20535"/>
    <cellStyle name="Итог 19 6 4" xfId="26227"/>
    <cellStyle name="Итог 19 6 5" xfId="36102"/>
    <cellStyle name="Итог 19 7" xfId="13438"/>
    <cellStyle name="Итог 19 7 2" xfId="16189"/>
    <cellStyle name="Итог 19 7 2 2" xfId="30007"/>
    <cellStyle name="Итог 19 7 2 3" xfId="39882"/>
    <cellStyle name="Итог 19 7 3" xfId="18770"/>
    <cellStyle name="Итог 19 7 3 2" xfId="32580"/>
    <cellStyle name="Итог 19 7 3 3" xfId="42452"/>
    <cellStyle name="Итог 19 7 4" xfId="27311"/>
    <cellStyle name="Итог 19 7 5" xfId="37186"/>
    <cellStyle name="Итог 19 8" xfId="13388"/>
    <cellStyle name="Итог 19 8 2" xfId="18720"/>
    <cellStyle name="Итог 19 8 2 2" xfId="32530"/>
    <cellStyle name="Итог 19 8 2 3" xfId="42402"/>
    <cellStyle name="Итог 19 8 3" xfId="27261"/>
    <cellStyle name="Итог 19 8 4" xfId="37136"/>
    <cellStyle name="Итог 19 9" xfId="17343"/>
    <cellStyle name="Итог 19 9 2" xfId="23860"/>
    <cellStyle name="Итог 19 9 3" xfId="31154"/>
    <cellStyle name="Итог 19 9 4" xfId="41028"/>
    <cellStyle name="Итог 2" xfId="1641"/>
    <cellStyle name="Итог 2 10" xfId="9267"/>
    <cellStyle name="Итог 2 11" xfId="9268"/>
    <cellStyle name="Итог 2 12" xfId="9269"/>
    <cellStyle name="Итог 2 13" xfId="9270"/>
    <cellStyle name="Итог 2 14" xfId="9271"/>
    <cellStyle name="Итог 2 15" xfId="11898"/>
    <cellStyle name="Итог 2 15 2" xfId="14796"/>
    <cellStyle name="Итог 2 15 2 2" xfId="17010"/>
    <cellStyle name="Итог 2 15 2 2 2" xfId="23062"/>
    <cellStyle name="Итог 2 15 2 2 3" xfId="30824"/>
    <cellStyle name="Итог 2 15 2 2 4" xfId="40699"/>
    <cellStyle name="Итог 2 15 2 3" xfId="20079"/>
    <cellStyle name="Итог 2 15 2 3 2" xfId="33889"/>
    <cellStyle name="Итог 2 15 2 3 3" xfId="43757"/>
    <cellStyle name="Итог 2 15 2 4" xfId="28616"/>
    <cellStyle name="Итог 2 15 2 5" xfId="38491"/>
    <cellStyle name="Итог 2 15 3" xfId="14297"/>
    <cellStyle name="Итог 2 15 3 2" xfId="19580"/>
    <cellStyle name="Итог 2 15 3 2 2" xfId="33390"/>
    <cellStyle name="Итог 2 15 3 2 3" xfId="43259"/>
    <cellStyle name="Итог 2 15 3 3" xfId="28118"/>
    <cellStyle name="Итог 2 15 3 4" xfId="37993"/>
    <cellStyle name="Итог 2 15 4" xfId="20737"/>
    <cellStyle name="Итог 2 15 5" xfId="21293"/>
    <cellStyle name="Итог 2 15 6" xfId="22470"/>
    <cellStyle name="Итог 2 15 7" xfId="23958"/>
    <cellStyle name="Итог 2 15 8" xfId="25772"/>
    <cellStyle name="Итог 2 15 9" xfId="35647"/>
    <cellStyle name="Итог 2 16" xfId="12122"/>
    <cellStyle name="Итог 2 16 10" xfId="35871"/>
    <cellStyle name="Итог 2 16 2" xfId="15020"/>
    <cellStyle name="Итог 2 16 2 2" xfId="20303"/>
    <cellStyle name="Итог 2 16 2 2 2" xfId="34113"/>
    <cellStyle name="Итог 2 16 2 2 3" xfId="43981"/>
    <cellStyle name="Итог 2 16 2 3" xfId="23574"/>
    <cellStyle name="Итог 2 16 2 4" xfId="28840"/>
    <cellStyle name="Итог 2 16 2 5" xfId="38715"/>
    <cellStyle name="Итог 2 16 3" xfId="20609"/>
    <cellStyle name="Итог 2 16 4" xfId="20945"/>
    <cellStyle name="Итог 2 16 5" xfId="21059"/>
    <cellStyle name="Итог 2 16 6" xfId="21501"/>
    <cellStyle name="Итог 2 16 7" xfId="22694"/>
    <cellStyle name="Итог 2 16 8" xfId="24198"/>
    <cellStyle name="Итог 2 16 9" xfId="25996"/>
    <cellStyle name="Итог 2 17" xfId="12202"/>
    <cellStyle name="Итог 2 17 10" xfId="35951"/>
    <cellStyle name="Итог 2 17 2" xfId="15100"/>
    <cellStyle name="Итог 2 17 2 2" xfId="20383"/>
    <cellStyle name="Итог 2 17 2 2 2" xfId="34193"/>
    <cellStyle name="Итог 2 17 2 2 3" xfId="44061"/>
    <cellStyle name="Итог 2 17 2 3" xfId="23654"/>
    <cellStyle name="Итог 2 17 2 4" xfId="28920"/>
    <cellStyle name="Итог 2 17 2 5" xfId="38795"/>
    <cellStyle name="Итог 2 17 3" xfId="20673"/>
    <cellStyle name="Итог 2 17 4" xfId="21009"/>
    <cellStyle name="Итог 2 17 5" xfId="21107"/>
    <cellStyle name="Итог 2 17 6" xfId="21581"/>
    <cellStyle name="Итог 2 17 7" xfId="22774"/>
    <cellStyle name="Итог 2 17 8" xfId="24278"/>
    <cellStyle name="Итог 2 17 9" xfId="26076"/>
    <cellStyle name="Итог 2 18" xfId="11766"/>
    <cellStyle name="Итог 2 18 2" xfId="14664"/>
    <cellStyle name="Итог 2 18 2 2" xfId="19947"/>
    <cellStyle name="Итог 2 18 2 2 2" xfId="33757"/>
    <cellStyle name="Итог 2 18 2 2 3" xfId="43625"/>
    <cellStyle name="Итог 2 18 2 3" xfId="28484"/>
    <cellStyle name="Итог 2 18 2 4" xfId="38359"/>
    <cellStyle name="Итог 2 18 3" xfId="15897"/>
    <cellStyle name="Итог 2 18 3 2" xfId="22805"/>
    <cellStyle name="Итог 2 18 3 3" xfId="24529"/>
    <cellStyle name="Итог 2 18 3 4" xfId="29716"/>
    <cellStyle name="Итог 2 18 3 5" xfId="39591"/>
    <cellStyle name="Итог 2 18 4" xfId="23285"/>
    <cellStyle name="Итог 2 18 5" xfId="25640"/>
    <cellStyle name="Итог 2 18 6" xfId="35515"/>
    <cellStyle name="Итог 2 19" xfId="13439"/>
    <cellStyle name="Итог 2 19 2" xfId="16190"/>
    <cellStyle name="Итог 2 19 2 2" xfId="30008"/>
    <cellStyle name="Итог 2 19 2 3" xfId="39883"/>
    <cellStyle name="Итог 2 19 3" xfId="18771"/>
    <cellStyle name="Итог 2 19 3 2" xfId="32581"/>
    <cellStyle name="Итог 2 19 3 3" xfId="42453"/>
    <cellStyle name="Итог 2 19 4" xfId="27312"/>
    <cellStyle name="Итог 2 19 5" xfId="37187"/>
    <cellStyle name="Итог 2 2" xfId="1642"/>
    <cellStyle name="Итог 2 2 10" xfId="34396"/>
    <cellStyle name="Итог 2 2 11" xfId="34491"/>
    <cellStyle name="Итог 2 2 2" xfId="9272"/>
    <cellStyle name="Итог 2 2 3" xfId="12034"/>
    <cellStyle name="Итог 2 2 3 2" xfId="14932"/>
    <cellStyle name="Итог 2 2 3 2 2" xfId="17146"/>
    <cellStyle name="Итог 2 2 3 2 2 2" xfId="23198"/>
    <cellStyle name="Итог 2 2 3 2 2 3" xfId="30960"/>
    <cellStyle name="Итог 2 2 3 2 2 4" xfId="40835"/>
    <cellStyle name="Итог 2 2 3 2 3" xfId="20215"/>
    <cellStyle name="Итог 2 2 3 2 3 2" xfId="34025"/>
    <cellStyle name="Итог 2 2 3 2 3 3" xfId="43893"/>
    <cellStyle name="Итог 2 2 3 2 4" xfId="28752"/>
    <cellStyle name="Итог 2 2 3 2 5" xfId="38627"/>
    <cellStyle name="Итог 2 2 3 3" xfId="14376"/>
    <cellStyle name="Итог 2 2 3 3 2" xfId="19659"/>
    <cellStyle name="Итог 2 2 3 3 2 2" xfId="33469"/>
    <cellStyle name="Итог 2 2 3 3 2 3" xfId="43338"/>
    <cellStyle name="Итог 2 2 3 3 3" xfId="28197"/>
    <cellStyle name="Итог 2 2 3 3 4" xfId="38072"/>
    <cellStyle name="Итог 2 2 3 4" xfId="20873"/>
    <cellStyle name="Итог 2 2 3 5" xfId="21429"/>
    <cellStyle name="Итог 2 2 3 6" xfId="22622"/>
    <cellStyle name="Итог 2 2 3 7" xfId="24110"/>
    <cellStyle name="Итог 2 2 3 8" xfId="25908"/>
    <cellStyle name="Итог 2 2 3 9" xfId="35783"/>
    <cellStyle name="Итог 2 2 4" xfId="11767"/>
    <cellStyle name="Итог 2 2 4 2" xfId="14665"/>
    <cellStyle name="Итог 2 2 4 2 2" xfId="19948"/>
    <cellStyle name="Итог 2 2 4 2 2 2" xfId="33758"/>
    <cellStyle name="Итог 2 2 4 2 2 3" xfId="43626"/>
    <cellStyle name="Итог 2 2 4 2 3" xfId="28485"/>
    <cellStyle name="Итог 2 2 4 2 4" xfId="38360"/>
    <cellStyle name="Итог 2 2 4 3" xfId="15898"/>
    <cellStyle name="Итог 2 2 4 3 2" xfId="22990"/>
    <cellStyle name="Итог 2 2 4 3 3" xfId="24530"/>
    <cellStyle name="Итог 2 2 4 3 4" xfId="29717"/>
    <cellStyle name="Итог 2 2 4 3 5" xfId="39592"/>
    <cellStyle name="Итог 2 2 4 4" xfId="23470"/>
    <cellStyle name="Итог 2 2 4 5" xfId="25641"/>
    <cellStyle name="Итог 2 2 4 6" xfId="35516"/>
    <cellStyle name="Итог 2 2 5" xfId="12354"/>
    <cellStyle name="Итог 2 2 5 2" xfId="17686"/>
    <cellStyle name="Итог 2 2 5 2 2" xfId="31496"/>
    <cellStyle name="Итог 2 2 5 2 3" xfId="41369"/>
    <cellStyle name="Итог 2 2 5 3" xfId="20537"/>
    <cellStyle name="Итог 2 2 5 4" xfId="26228"/>
    <cellStyle name="Итог 2 2 5 5" xfId="36103"/>
    <cellStyle name="Итог 2 2 6" xfId="13440"/>
    <cellStyle name="Итог 2 2 6 2" xfId="16191"/>
    <cellStyle name="Итог 2 2 6 2 2" xfId="30009"/>
    <cellStyle name="Итог 2 2 6 2 3" xfId="39884"/>
    <cellStyle name="Итог 2 2 6 3" xfId="18772"/>
    <cellStyle name="Итог 2 2 6 3 2" xfId="32582"/>
    <cellStyle name="Итог 2 2 6 3 3" xfId="42454"/>
    <cellStyle name="Итог 2 2 6 4" xfId="27313"/>
    <cellStyle name="Итог 2 2 6 5" xfId="37188"/>
    <cellStyle name="Итог 2 2 7" xfId="13390"/>
    <cellStyle name="Итог 2 2 7 2" xfId="18722"/>
    <cellStyle name="Итог 2 2 7 2 2" xfId="32532"/>
    <cellStyle name="Итог 2 2 7 2 3" xfId="42404"/>
    <cellStyle name="Итог 2 2 7 3" xfId="27263"/>
    <cellStyle name="Итог 2 2 7 4" xfId="37138"/>
    <cellStyle name="Итог 2 2 8" xfId="17345"/>
    <cellStyle name="Итог 2 2 8 2" xfId="23863"/>
    <cellStyle name="Итог 2 2 8 3" xfId="31156"/>
    <cellStyle name="Итог 2 2 8 4" xfId="41030"/>
    <cellStyle name="Итог 2 2 9" xfId="24779"/>
    <cellStyle name="Итог 2 20" xfId="13389"/>
    <cellStyle name="Итог 2 20 2" xfId="18721"/>
    <cellStyle name="Итог 2 20 2 2" xfId="32531"/>
    <cellStyle name="Итог 2 20 2 3" xfId="42403"/>
    <cellStyle name="Итог 2 20 3" xfId="27262"/>
    <cellStyle name="Итог 2 20 4" xfId="37137"/>
    <cellStyle name="Итог 2 21" xfId="17344"/>
    <cellStyle name="Итог 2 21 2" xfId="21138"/>
    <cellStyle name="Итог 2 21 3" xfId="31155"/>
    <cellStyle name="Итог 2 21 4" xfId="41029"/>
    <cellStyle name="Итог 2 22" xfId="23862"/>
    <cellStyle name="Итог 2 23" xfId="24778"/>
    <cellStyle name="Итог 2 24" xfId="34395"/>
    <cellStyle name="Итог 2 25" xfId="34492"/>
    <cellStyle name="Итог 2 3" xfId="1643"/>
    <cellStyle name="Итог 2 3 10" xfId="34397"/>
    <cellStyle name="Итог 2 3 11" xfId="34490"/>
    <cellStyle name="Итог 2 3 2" xfId="9273"/>
    <cellStyle name="Итог 2 3 3" xfId="12035"/>
    <cellStyle name="Итог 2 3 3 2" xfId="14933"/>
    <cellStyle name="Итог 2 3 3 2 2" xfId="17147"/>
    <cellStyle name="Итог 2 3 3 2 2 2" xfId="23199"/>
    <cellStyle name="Итог 2 3 3 2 2 3" xfId="30961"/>
    <cellStyle name="Итог 2 3 3 2 2 4" xfId="40836"/>
    <cellStyle name="Итог 2 3 3 2 3" xfId="20216"/>
    <cellStyle name="Итог 2 3 3 2 3 2" xfId="34026"/>
    <cellStyle name="Итог 2 3 3 2 3 3" xfId="43894"/>
    <cellStyle name="Итог 2 3 3 2 4" xfId="28753"/>
    <cellStyle name="Итог 2 3 3 2 5" xfId="38628"/>
    <cellStyle name="Итог 2 3 3 3" xfId="14384"/>
    <cellStyle name="Итог 2 3 3 3 2" xfId="19667"/>
    <cellStyle name="Итог 2 3 3 3 2 2" xfId="33477"/>
    <cellStyle name="Итог 2 3 3 3 2 3" xfId="43346"/>
    <cellStyle name="Итог 2 3 3 3 3" xfId="28205"/>
    <cellStyle name="Итог 2 3 3 3 4" xfId="38080"/>
    <cellStyle name="Итог 2 3 3 4" xfId="20874"/>
    <cellStyle name="Итог 2 3 3 5" xfId="21430"/>
    <cellStyle name="Итог 2 3 3 6" xfId="22623"/>
    <cellStyle name="Итог 2 3 3 7" xfId="24111"/>
    <cellStyle name="Итог 2 3 3 8" xfId="25909"/>
    <cellStyle name="Итог 2 3 3 9" xfId="35784"/>
    <cellStyle name="Итог 2 3 4" xfId="11768"/>
    <cellStyle name="Итог 2 3 4 2" xfId="14666"/>
    <cellStyle name="Итог 2 3 4 2 2" xfId="19949"/>
    <cellStyle name="Итог 2 3 4 2 2 2" xfId="33759"/>
    <cellStyle name="Итог 2 3 4 2 2 3" xfId="43627"/>
    <cellStyle name="Итог 2 3 4 2 3" xfId="28486"/>
    <cellStyle name="Итог 2 3 4 2 4" xfId="38361"/>
    <cellStyle name="Итог 2 3 4 3" xfId="15899"/>
    <cellStyle name="Итог 2 3 4 3 2" xfId="22991"/>
    <cellStyle name="Итог 2 3 4 3 3" xfId="24531"/>
    <cellStyle name="Итог 2 3 4 3 4" xfId="29718"/>
    <cellStyle name="Итог 2 3 4 3 5" xfId="39593"/>
    <cellStyle name="Итог 2 3 4 4" xfId="23471"/>
    <cellStyle name="Итог 2 3 4 5" xfId="25642"/>
    <cellStyle name="Итог 2 3 4 6" xfId="35517"/>
    <cellStyle name="Итог 2 3 5" xfId="12355"/>
    <cellStyle name="Итог 2 3 5 2" xfId="17687"/>
    <cellStyle name="Итог 2 3 5 2 2" xfId="31497"/>
    <cellStyle name="Итог 2 3 5 2 3" xfId="41370"/>
    <cellStyle name="Итог 2 3 5 3" xfId="20538"/>
    <cellStyle name="Итог 2 3 5 4" xfId="26229"/>
    <cellStyle name="Итог 2 3 5 5" xfId="36104"/>
    <cellStyle name="Итог 2 3 6" xfId="13441"/>
    <cellStyle name="Итог 2 3 6 2" xfId="16192"/>
    <cellStyle name="Итог 2 3 6 2 2" xfId="30010"/>
    <cellStyle name="Итог 2 3 6 2 3" xfId="39885"/>
    <cellStyle name="Итог 2 3 6 3" xfId="18773"/>
    <cellStyle name="Итог 2 3 6 3 2" xfId="32583"/>
    <cellStyle name="Итог 2 3 6 3 3" xfId="42455"/>
    <cellStyle name="Итог 2 3 6 4" xfId="27314"/>
    <cellStyle name="Итог 2 3 6 5" xfId="37189"/>
    <cellStyle name="Итог 2 3 7" xfId="13391"/>
    <cellStyle name="Итог 2 3 7 2" xfId="18723"/>
    <cellStyle name="Итог 2 3 7 2 2" xfId="32533"/>
    <cellStyle name="Итог 2 3 7 2 3" xfId="42405"/>
    <cellStyle name="Итог 2 3 7 3" xfId="27264"/>
    <cellStyle name="Итог 2 3 7 4" xfId="37139"/>
    <cellStyle name="Итог 2 3 8" xfId="17346"/>
    <cellStyle name="Итог 2 3 8 2" xfId="23864"/>
    <cellStyle name="Итог 2 3 8 3" xfId="31157"/>
    <cellStyle name="Итог 2 3 8 4" xfId="41031"/>
    <cellStyle name="Итог 2 3 9" xfId="24780"/>
    <cellStyle name="Итог 2 4" xfId="9266"/>
    <cellStyle name="Итог 2 5" xfId="9274"/>
    <cellStyle name="Итог 2 6" xfId="9275"/>
    <cellStyle name="Итог 2 7" xfId="9276"/>
    <cellStyle name="Итог 2 8" xfId="9277"/>
    <cellStyle name="Итог 2 9" xfId="9278"/>
    <cellStyle name="Итог 3" xfId="1644"/>
    <cellStyle name="Итог 3 10" xfId="9280"/>
    <cellStyle name="Итог 3 11" xfId="9281"/>
    <cellStyle name="Итог 3 12" xfId="9282"/>
    <cellStyle name="Итог 3 13" xfId="9283"/>
    <cellStyle name="Итог 3 14" xfId="9284"/>
    <cellStyle name="Итог 3 15" xfId="11899"/>
    <cellStyle name="Итог 3 15 2" xfId="14797"/>
    <cellStyle name="Итог 3 15 2 2" xfId="17011"/>
    <cellStyle name="Итог 3 15 2 2 2" xfId="23063"/>
    <cellStyle name="Итог 3 15 2 2 3" xfId="30825"/>
    <cellStyle name="Итог 3 15 2 2 4" xfId="40700"/>
    <cellStyle name="Итог 3 15 2 3" xfId="20080"/>
    <cellStyle name="Итог 3 15 2 3 2" xfId="33890"/>
    <cellStyle name="Итог 3 15 2 3 3" xfId="43758"/>
    <cellStyle name="Итог 3 15 2 4" xfId="28617"/>
    <cellStyle name="Итог 3 15 2 5" xfId="38492"/>
    <cellStyle name="Итог 3 15 3" xfId="13039"/>
    <cellStyle name="Итог 3 15 3 2" xfId="18371"/>
    <cellStyle name="Итог 3 15 3 2 2" xfId="32181"/>
    <cellStyle name="Итог 3 15 3 2 3" xfId="42054"/>
    <cellStyle name="Итог 3 15 3 3" xfId="26913"/>
    <cellStyle name="Итог 3 15 3 4" xfId="36788"/>
    <cellStyle name="Итог 3 15 4" xfId="20738"/>
    <cellStyle name="Итог 3 15 5" xfId="21294"/>
    <cellStyle name="Итог 3 15 6" xfId="22471"/>
    <cellStyle name="Итог 3 15 7" xfId="23959"/>
    <cellStyle name="Итог 3 15 8" xfId="25773"/>
    <cellStyle name="Итог 3 15 9" xfId="35648"/>
    <cellStyle name="Итог 3 16" xfId="12123"/>
    <cellStyle name="Итог 3 16 10" xfId="35872"/>
    <cellStyle name="Итог 3 16 2" xfId="15021"/>
    <cellStyle name="Итог 3 16 2 2" xfId="20304"/>
    <cellStyle name="Итог 3 16 2 2 2" xfId="34114"/>
    <cellStyle name="Итог 3 16 2 2 3" xfId="43982"/>
    <cellStyle name="Итог 3 16 2 3" xfId="23575"/>
    <cellStyle name="Итог 3 16 2 4" xfId="28841"/>
    <cellStyle name="Итог 3 16 2 5" xfId="38716"/>
    <cellStyle name="Итог 3 16 3" xfId="20610"/>
    <cellStyle name="Итог 3 16 4" xfId="20946"/>
    <cellStyle name="Итог 3 16 5" xfId="21060"/>
    <cellStyle name="Итог 3 16 6" xfId="21502"/>
    <cellStyle name="Итог 3 16 7" xfId="22695"/>
    <cellStyle name="Итог 3 16 8" xfId="24199"/>
    <cellStyle name="Итог 3 16 9" xfId="25997"/>
    <cellStyle name="Итог 3 17" xfId="12203"/>
    <cellStyle name="Итог 3 17 10" xfId="35952"/>
    <cellStyle name="Итог 3 17 2" xfId="15101"/>
    <cellStyle name="Итог 3 17 2 2" xfId="20384"/>
    <cellStyle name="Итог 3 17 2 2 2" xfId="34194"/>
    <cellStyle name="Итог 3 17 2 2 3" xfId="44062"/>
    <cellStyle name="Итог 3 17 2 3" xfId="23655"/>
    <cellStyle name="Итог 3 17 2 4" xfId="28921"/>
    <cellStyle name="Итог 3 17 2 5" xfId="38796"/>
    <cellStyle name="Итог 3 17 3" xfId="20674"/>
    <cellStyle name="Итог 3 17 4" xfId="21010"/>
    <cellStyle name="Итог 3 17 5" xfId="21108"/>
    <cellStyle name="Итог 3 17 6" xfId="21582"/>
    <cellStyle name="Итог 3 17 7" xfId="22775"/>
    <cellStyle name="Итог 3 17 8" xfId="24279"/>
    <cellStyle name="Итог 3 17 9" xfId="26077"/>
    <cellStyle name="Итог 3 18" xfId="11769"/>
    <cellStyle name="Итог 3 18 2" xfId="14667"/>
    <cellStyle name="Итог 3 18 2 2" xfId="19950"/>
    <cellStyle name="Итог 3 18 2 2 2" xfId="33760"/>
    <cellStyle name="Итог 3 18 2 2 3" xfId="43628"/>
    <cellStyle name="Итог 3 18 2 3" xfId="28487"/>
    <cellStyle name="Итог 3 18 2 4" xfId="38362"/>
    <cellStyle name="Итог 3 18 3" xfId="15900"/>
    <cellStyle name="Итог 3 18 3 2" xfId="22804"/>
    <cellStyle name="Итог 3 18 3 3" xfId="24532"/>
    <cellStyle name="Итог 3 18 3 4" xfId="29719"/>
    <cellStyle name="Итог 3 18 3 5" xfId="39594"/>
    <cellStyle name="Итог 3 18 4" xfId="23284"/>
    <cellStyle name="Итог 3 18 5" xfId="25643"/>
    <cellStyle name="Итог 3 18 6" xfId="35518"/>
    <cellStyle name="Итог 3 19" xfId="13442"/>
    <cellStyle name="Итог 3 19 2" xfId="16193"/>
    <cellStyle name="Итог 3 19 2 2" xfId="30011"/>
    <cellStyle name="Итог 3 19 2 3" xfId="39886"/>
    <cellStyle name="Итог 3 19 3" xfId="18774"/>
    <cellStyle name="Итог 3 19 3 2" xfId="32584"/>
    <cellStyle name="Итог 3 19 3 3" xfId="42456"/>
    <cellStyle name="Итог 3 19 4" xfId="27315"/>
    <cellStyle name="Итог 3 19 5" xfId="37190"/>
    <cellStyle name="Итог 3 2" xfId="1645"/>
    <cellStyle name="Итог 3 2 10" xfId="34399"/>
    <cellStyle name="Итог 3 2 11" xfId="34488"/>
    <cellStyle name="Итог 3 2 2" xfId="9285"/>
    <cellStyle name="Итог 3 2 3" xfId="12036"/>
    <cellStyle name="Итог 3 2 3 2" xfId="14934"/>
    <cellStyle name="Итог 3 2 3 2 2" xfId="17148"/>
    <cellStyle name="Итог 3 2 3 2 2 2" xfId="23200"/>
    <cellStyle name="Итог 3 2 3 2 2 3" xfId="30962"/>
    <cellStyle name="Итог 3 2 3 2 2 4" xfId="40837"/>
    <cellStyle name="Итог 3 2 3 2 3" xfId="20217"/>
    <cellStyle name="Итог 3 2 3 2 3 2" xfId="34027"/>
    <cellStyle name="Итог 3 2 3 2 3 3" xfId="43895"/>
    <cellStyle name="Итог 3 2 3 2 4" xfId="28754"/>
    <cellStyle name="Итог 3 2 3 2 5" xfId="38629"/>
    <cellStyle name="Итог 3 2 3 3" xfId="14385"/>
    <cellStyle name="Итог 3 2 3 3 2" xfId="19668"/>
    <cellStyle name="Итог 3 2 3 3 2 2" xfId="33478"/>
    <cellStyle name="Итог 3 2 3 3 2 3" xfId="43347"/>
    <cellStyle name="Итог 3 2 3 3 3" xfId="28206"/>
    <cellStyle name="Итог 3 2 3 3 4" xfId="38081"/>
    <cellStyle name="Итог 3 2 3 4" xfId="20875"/>
    <cellStyle name="Итог 3 2 3 5" xfId="21431"/>
    <cellStyle name="Итог 3 2 3 6" xfId="22624"/>
    <cellStyle name="Итог 3 2 3 7" xfId="24112"/>
    <cellStyle name="Итог 3 2 3 8" xfId="25910"/>
    <cellStyle name="Итог 3 2 3 9" xfId="35785"/>
    <cellStyle name="Итог 3 2 4" xfId="11770"/>
    <cellStyle name="Итог 3 2 4 2" xfId="14668"/>
    <cellStyle name="Итог 3 2 4 2 2" xfId="19951"/>
    <cellStyle name="Итог 3 2 4 2 2 2" xfId="33761"/>
    <cellStyle name="Итог 3 2 4 2 2 3" xfId="43629"/>
    <cellStyle name="Итог 3 2 4 2 3" xfId="28488"/>
    <cellStyle name="Итог 3 2 4 2 4" xfId="38363"/>
    <cellStyle name="Итог 3 2 4 3" xfId="15901"/>
    <cellStyle name="Итог 3 2 4 3 2" xfId="22992"/>
    <cellStyle name="Итог 3 2 4 3 3" xfId="24533"/>
    <cellStyle name="Итог 3 2 4 3 4" xfId="29720"/>
    <cellStyle name="Итог 3 2 4 3 5" xfId="39595"/>
    <cellStyle name="Итог 3 2 4 4" xfId="23472"/>
    <cellStyle name="Итог 3 2 4 5" xfId="25644"/>
    <cellStyle name="Итог 3 2 4 6" xfId="35519"/>
    <cellStyle name="Итог 3 2 5" xfId="12356"/>
    <cellStyle name="Итог 3 2 5 2" xfId="17688"/>
    <cellStyle name="Итог 3 2 5 2 2" xfId="31498"/>
    <cellStyle name="Итог 3 2 5 2 3" xfId="41371"/>
    <cellStyle name="Итог 3 2 5 3" xfId="20539"/>
    <cellStyle name="Итог 3 2 5 4" xfId="26230"/>
    <cellStyle name="Итог 3 2 5 5" xfId="36105"/>
    <cellStyle name="Итог 3 2 6" xfId="13443"/>
    <cellStyle name="Итог 3 2 6 2" xfId="16194"/>
    <cellStyle name="Итог 3 2 6 2 2" xfId="30012"/>
    <cellStyle name="Итог 3 2 6 2 3" xfId="39887"/>
    <cellStyle name="Итог 3 2 6 3" xfId="18775"/>
    <cellStyle name="Итог 3 2 6 3 2" xfId="32585"/>
    <cellStyle name="Итог 3 2 6 3 3" xfId="42457"/>
    <cellStyle name="Итог 3 2 6 4" xfId="27316"/>
    <cellStyle name="Итог 3 2 6 5" xfId="37191"/>
    <cellStyle name="Итог 3 2 7" xfId="13393"/>
    <cellStyle name="Итог 3 2 7 2" xfId="18725"/>
    <cellStyle name="Итог 3 2 7 2 2" xfId="32535"/>
    <cellStyle name="Итог 3 2 7 2 3" xfId="42407"/>
    <cellStyle name="Итог 3 2 7 3" xfId="27266"/>
    <cellStyle name="Итог 3 2 7 4" xfId="37141"/>
    <cellStyle name="Итог 3 2 8" xfId="17348"/>
    <cellStyle name="Итог 3 2 8 2" xfId="23866"/>
    <cellStyle name="Итог 3 2 8 3" xfId="31159"/>
    <cellStyle name="Итог 3 2 8 4" xfId="41033"/>
    <cellStyle name="Итог 3 2 9" xfId="24782"/>
    <cellStyle name="Итог 3 20" xfId="13392"/>
    <cellStyle name="Итог 3 20 2" xfId="18724"/>
    <cellStyle name="Итог 3 20 2 2" xfId="32534"/>
    <cellStyle name="Итог 3 20 2 3" xfId="42406"/>
    <cellStyle name="Итог 3 20 3" xfId="27265"/>
    <cellStyle name="Итог 3 20 4" xfId="37140"/>
    <cellStyle name="Итог 3 21" xfId="17347"/>
    <cellStyle name="Итог 3 21 2" xfId="21137"/>
    <cellStyle name="Итог 3 21 3" xfId="31158"/>
    <cellStyle name="Итог 3 21 4" xfId="41032"/>
    <cellStyle name="Итог 3 22" xfId="23865"/>
    <cellStyle name="Итог 3 23" xfId="24781"/>
    <cellStyle name="Итог 3 24" xfId="34398"/>
    <cellStyle name="Итог 3 25" xfId="34489"/>
    <cellStyle name="Итог 3 3" xfId="1646"/>
    <cellStyle name="Итог 3 3 10" xfId="34400"/>
    <cellStyle name="Итог 3 3 11" xfId="34487"/>
    <cellStyle name="Итог 3 3 2" xfId="9286"/>
    <cellStyle name="Итог 3 3 3" xfId="12037"/>
    <cellStyle name="Итог 3 3 3 2" xfId="14935"/>
    <cellStyle name="Итог 3 3 3 2 2" xfId="17149"/>
    <cellStyle name="Итог 3 3 3 2 2 2" xfId="23201"/>
    <cellStyle name="Итог 3 3 3 2 2 3" xfId="30963"/>
    <cellStyle name="Итог 3 3 3 2 2 4" xfId="40838"/>
    <cellStyle name="Итог 3 3 3 2 3" xfId="20218"/>
    <cellStyle name="Итог 3 3 3 2 3 2" xfId="34028"/>
    <cellStyle name="Итог 3 3 3 2 3 3" xfId="43896"/>
    <cellStyle name="Итог 3 3 3 2 4" xfId="28755"/>
    <cellStyle name="Итог 3 3 3 2 5" xfId="38630"/>
    <cellStyle name="Итог 3 3 3 3" xfId="14469"/>
    <cellStyle name="Итог 3 3 3 3 2" xfId="19752"/>
    <cellStyle name="Итог 3 3 3 3 2 2" xfId="33562"/>
    <cellStyle name="Итог 3 3 3 3 2 3" xfId="43430"/>
    <cellStyle name="Итог 3 3 3 3 3" xfId="28289"/>
    <cellStyle name="Итог 3 3 3 3 4" xfId="38164"/>
    <cellStyle name="Итог 3 3 3 4" xfId="20876"/>
    <cellStyle name="Итог 3 3 3 5" xfId="21432"/>
    <cellStyle name="Итог 3 3 3 6" xfId="22625"/>
    <cellStyle name="Итог 3 3 3 7" xfId="24113"/>
    <cellStyle name="Итог 3 3 3 8" xfId="25911"/>
    <cellStyle name="Итог 3 3 3 9" xfId="35786"/>
    <cellStyle name="Итог 3 3 4" xfId="11771"/>
    <cellStyle name="Итог 3 3 4 2" xfId="14669"/>
    <cellStyle name="Итог 3 3 4 2 2" xfId="19952"/>
    <cellStyle name="Итог 3 3 4 2 2 2" xfId="33762"/>
    <cellStyle name="Итог 3 3 4 2 2 3" xfId="43630"/>
    <cellStyle name="Итог 3 3 4 2 3" xfId="28489"/>
    <cellStyle name="Итог 3 3 4 2 4" xfId="38364"/>
    <cellStyle name="Итог 3 3 4 3" xfId="15902"/>
    <cellStyle name="Итог 3 3 4 3 2" xfId="22993"/>
    <cellStyle name="Итог 3 3 4 3 3" xfId="24534"/>
    <cellStyle name="Итог 3 3 4 3 4" xfId="29721"/>
    <cellStyle name="Итог 3 3 4 3 5" xfId="39596"/>
    <cellStyle name="Итог 3 3 4 4" xfId="23473"/>
    <cellStyle name="Итог 3 3 4 5" xfId="25645"/>
    <cellStyle name="Итог 3 3 4 6" xfId="35520"/>
    <cellStyle name="Итог 3 3 5" xfId="12357"/>
    <cellStyle name="Итог 3 3 5 2" xfId="17689"/>
    <cellStyle name="Итог 3 3 5 2 2" xfId="31499"/>
    <cellStyle name="Итог 3 3 5 2 3" xfId="41372"/>
    <cellStyle name="Итог 3 3 5 3" xfId="20540"/>
    <cellStyle name="Итог 3 3 5 4" xfId="26231"/>
    <cellStyle name="Итог 3 3 5 5" xfId="36106"/>
    <cellStyle name="Итог 3 3 6" xfId="13444"/>
    <cellStyle name="Итог 3 3 6 2" xfId="16195"/>
    <cellStyle name="Итог 3 3 6 2 2" xfId="30013"/>
    <cellStyle name="Итог 3 3 6 2 3" xfId="39888"/>
    <cellStyle name="Итог 3 3 6 3" xfId="18776"/>
    <cellStyle name="Итог 3 3 6 3 2" xfId="32586"/>
    <cellStyle name="Итог 3 3 6 3 3" xfId="42458"/>
    <cellStyle name="Итог 3 3 6 4" xfId="27317"/>
    <cellStyle name="Итог 3 3 6 5" xfId="37192"/>
    <cellStyle name="Итог 3 3 7" xfId="13394"/>
    <cellStyle name="Итог 3 3 7 2" xfId="18726"/>
    <cellStyle name="Итог 3 3 7 2 2" xfId="32536"/>
    <cellStyle name="Итог 3 3 7 2 3" xfId="42408"/>
    <cellStyle name="Итог 3 3 7 3" xfId="27267"/>
    <cellStyle name="Итог 3 3 7 4" xfId="37142"/>
    <cellStyle name="Итог 3 3 8" xfId="17349"/>
    <cellStyle name="Итог 3 3 8 2" xfId="23867"/>
    <cellStyle name="Итог 3 3 8 3" xfId="31160"/>
    <cellStyle name="Итог 3 3 8 4" xfId="41034"/>
    <cellStyle name="Итог 3 3 9" xfId="24783"/>
    <cellStyle name="Итог 3 4" xfId="9279"/>
    <cellStyle name="Итог 3 5" xfId="9287"/>
    <cellStyle name="Итог 3 6" xfId="9288"/>
    <cellStyle name="Итог 3 7" xfId="9289"/>
    <cellStyle name="Итог 3 8" xfId="9290"/>
    <cellStyle name="Итог 3 9" xfId="9291"/>
    <cellStyle name="Итог 4" xfId="1647"/>
    <cellStyle name="Итог 4 10" xfId="9293"/>
    <cellStyle name="Итог 4 11" xfId="9294"/>
    <cellStyle name="Итог 4 12" xfId="9295"/>
    <cellStyle name="Итог 4 13" xfId="9296"/>
    <cellStyle name="Итог 4 14" xfId="9297"/>
    <cellStyle name="Итог 4 15" xfId="11900"/>
    <cellStyle name="Итог 4 15 2" xfId="14798"/>
    <cellStyle name="Итог 4 15 2 2" xfId="17012"/>
    <cellStyle name="Итог 4 15 2 2 2" xfId="23064"/>
    <cellStyle name="Итог 4 15 2 2 3" xfId="30826"/>
    <cellStyle name="Итог 4 15 2 2 4" xfId="40701"/>
    <cellStyle name="Итог 4 15 2 3" xfId="20081"/>
    <cellStyle name="Итог 4 15 2 3 2" xfId="33891"/>
    <cellStyle name="Итог 4 15 2 3 3" xfId="43759"/>
    <cellStyle name="Итог 4 15 2 4" xfId="28618"/>
    <cellStyle name="Итог 4 15 2 5" xfId="38493"/>
    <cellStyle name="Итог 4 15 3" xfId="14299"/>
    <cellStyle name="Итог 4 15 3 2" xfId="19582"/>
    <cellStyle name="Итог 4 15 3 2 2" xfId="33392"/>
    <cellStyle name="Итог 4 15 3 2 3" xfId="43261"/>
    <cellStyle name="Итог 4 15 3 3" xfId="28120"/>
    <cellStyle name="Итог 4 15 3 4" xfId="37995"/>
    <cellStyle name="Итог 4 15 4" xfId="20739"/>
    <cellStyle name="Итог 4 15 5" xfId="21295"/>
    <cellStyle name="Итог 4 15 6" xfId="22472"/>
    <cellStyle name="Итог 4 15 7" xfId="23960"/>
    <cellStyle name="Итог 4 15 8" xfId="25774"/>
    <cellStyle name="Итог 4 15 9" xfId="35649"/>
    <cellStyle name="Итог 4 16" xfId="12124"/>
    <cellStyle name="Итог 4 16 10" xfId="35873"/>
    <cellStyle name="Итог 4 16 2" xfId="15022"/>
    <cellStyle name="Итог 4 16 2 2" xfId="20305"/>
    <cellStyle name="Итог 4 16 2 2 2" xfId="34115"/>
    <cellStyle name="Итог 4 16 2 2 3" xfId="43983"/>
    <cellStyle name="Итог 4 16 2 3" xfId="23576"/>
    <cellStyle name="Итог 4 16 2 4" xfId="28842"/>
    <cellStyle name="Итог 4 16 2 5" xfId="38717"/>
    <cellStyle name="Итог 4 16 3" xfId="20611"/>
    <cellStyle name="Итог 4 16 4" xfId="20947"/>
    <cellStyle name="Итог 4 16 5" xfId="21061"/>
    <cellStyle name="Итог 4 16 6" xfId="21503"/>
    <cellStyle name="Итог 4 16 7" xfId="22696"/>
    <cellStyle name="Итог 4 16 8" xfId="24200"/>
    <cellStyle name="Итог 4 16 9" xfId="25998"/>
    <cellStyle name="Итог 4 17" xfId="12204"/>
    <cellStyle name="Итог 4 17 10" xfId="35953"/>
    <cellStyle name="Итог 4 17 2" xfId="15102"/>
    <cellStyle name="Итог 4 17 2 2" xfId="20385"/>
    <cellStyle name="Итог 4 17 2 2 2" xfId="34195"/>
    <cellStyle name="Итог 4 17 2 2 3" xfId="44063"/>
    <cellStyle name="Итог 4 17 2 3" xfId="23656"/>
    <cellStyle name="Итог 4 17 2 4" xfId="28922"/>
    <cellStyle name="Итог 4 17 2 5" xfId="38797"/>
    <cellStyle name="Итог 4 17 3" xfId="20675"/>
    <cellStyle name="Итог 4 17 4" xfId="21011"/>
    <cellStyle name="Итог 4 17 5" xfId="21109"/>
    <cellStyle name="Итог 4 17 6" xfId="21583"/>
    <cellStyle name="Итог 4 17 7" xfId="22776"/>
    <cellStyle name="Итог 4 17 8" xfId="24280"/>
    <cellStyle name="Итог 4 17 9" xfId="26078"/>
    <cellStyle name="Итог 4 18" xfId="11772"/>
    <cellStyle name="Итог 4 18 2" xfId="14670"/>
    <cellStyle name="Итог 4 18 2 2" xfId="19953"/>
    <cellStyle name="Итог 4 18 2 2 2" xfId="33763"/>
    <cellStyle name="Итог 4 18 2 2 3" xfId="43631"/>
    <cellStyle name="Итог 4 18 2 3" xfId="28490"/>
    <cellStyle name="Итог 4 18 2 4" xfId="38365"/>
    <cellStyle name="Итог 4 18 3" xfId="15903"/>
    <cellStyle name="Итог 4 18 3 2" xfId="22803"/>
    <cellStyle name="Итог 4 18 3 3" xfId="24535"/>
    <cellStyle name="Итог 4 18 3 4" xfId="29722"/>
    <cellStyle name="Итог 4 18 3 5" xfId="39597"/>
    <cellStyle name="Итог 4 18 4" xfId="23283"/>
    <cellStyle name="Итог 4 18 5" xfId="25646"/>
    <cellStyle name="Итог 4 18 6" xfId="35521"/>
    <cellStyle name="Итог 4 19" xfId="13445"/>
    <cellStyle name="Итог 4 19 2" xfId="16196"/>
    <cellStyle name="Итог 4 19 2 2" xfId="30014"/>
    <cellStyle name="Итог 4 19 2 3" xfId="39889"/>
    <cellStyle name="Итог 4 19 3" xfId="18777"/>
    <cellStyle name="Итог 4 19 3 2" xfId="32587"/>
    <cellStyle name="Итог 4 19 3 3" xfId="42459"/>
    <cellStyle name="Итог 4 19 4" xfId="27318"/>
    <cellStyle name="Итог 4 19 5" xfId="37193"/>
    <cellStyle name="Итог 4 2" xfId="1648"/>
    <cellStyle name="Итог 4 2 10" xfId="34402"/>
    <cellStyle name="Итог 4 2 11" xfId="34485"/>
    <cellStyle name="Итог 4 2 2" xfId="9298"/>
    <cellStyle name="Итог 4 2 3" xfId="12038"/>
    <cellStyle name="Итог 4 2 3 2" xfId="14936"/>
    <cellStyle name="Итог 4 2 3 2 2" xfId="17150"/>
    <cellStyle name="Итог 4 2 3 2 2 2" xfId="23202"/>
    <cellStyle name="Итог 4 2 3 2 2 3" xfId="30964"/>
    <cellStyle name="Итог 4 2 3 2 2 4" xfId="40839"/>
    <cellStyle name="Итог 4 2 3 2 3" xfId="20219"/>
    <cellStyle name="Итог 4 2 3 2 3 2" xfId="34029"/>
    <cellStyle name="Итог 4 2 3 2 3 3" xfId="43897"/>
    <cellStyle name="Итог 4 2 3 2 4" xfId="28756"/>
    <cellStyle name="Итог 4 2 3 2 5" xfId="38631"/>
    <cellStyle name="Итог 4 2 3 3" xfId="14386"/>
    <cellStyle name="Итог 4 2 3 3 2" xfId="19669"/>
    <cellStyle name="Итог 4 2 3 3 2 2" xfId="33479"/>
    <cellStyle name="Итог 4 2 3 3 2 3" xfId="43348"/>
    <cellStyle name="Итог 4 2 3 3 3" xfId="28207"/>
    <cellStyle name="Итог 4 2 3 3 4" xfId="38082"/>
    <cellStyle name="Итог 4 2 3 4" xfId="20877"/>
    <cellStyle name="Итог 4 2 3 5" xfId="21433"/>
    <cellStyle name="Итог 4 2 3 6" xfId="22626"/>
    <cellStyle name="Итог 4 2 3 7" xfId="24114"/>
    <cellStyle name="Итог 4 2 3 8" xfId="25912"/>
    <cellStyle name="Итог 4 2 3 9" xfId="35787"/>
    <cellStyle name="Итог 4 2 4" xfId="11773"/>
    <cellStyle name="Итог 4 2 4 2" xfId="14671"/>
    <cellStyle name="Итог 4 2 4 2 2" xfId="19954"/>
    <cellStyle name="Итог 4 2 4 2 2 2" xfId="33764"/>
    <cellStyle name="Итог 4 2 4 2 2 3" xfId="43632"/>
    <cellStyle name="Итог 4 2 4 2 3" xfId="28491"/>
    <cellStyle name="Итог 4 2 4 2 4" xfId="38366"/>
    <cellStyle name="Итог 4 2 4 3" xfId="15904"/>
    <cellStyle name="Итог 4 2 4 3 2" xfId="22994"/>
    <cellStyle name="Итог 4 2 4 3 3" xfId="24536"/>
    <cellStyle name="Итог 4 2 4 3 4" xfId="29723"/>
    <cellStyle name="Итог 4 2 4 3 5" xfId="39598"/>
    <cellStyle name="Итог 4 2 4 4" xfId="23474"/>
    <cellStyle name="Итог 4 2 4 5" xfId="25647"/>
    <cellStyle name="Итог 4 2 4 6" xfId="35522"/>
    <cellStyle name="Итог 4 2 5" xfId="12358"/>
    <cellStyle name="Итог 4 2 5 2" xfId="17690"/>
    <cellStyle name="Итог 4 2 5 2 2" xfId="31500"/>
    <cellStyle name="Итог 4 2 5 2 3" xfId="41373"/>
    <cellStyle name="Итог 4 2 5 3" xfId="20541"/>
    <cellStyle name="Итог 4 2 5 4" xfId="26232"/>
    <cellStyle name="Итог 4 2 5 5" xfId="36107"/>
    <cellStyle name="Итог 4 2 6" xfId="13446"/>
    <cellStyle name="Итог 4 2 6 2" xfId="16197"/>
    <cellStyle name="Итог 4 2 6 2 2" xfId="30015"/>
    <cellStyle name="Итог 4 2 6 2 3" xfId="39890"/>
    <cellStyle name="Итог 4 2 6 3" xfId="18778"/>
    <cellStyle name="Итог 4 2 6 3 2" xfId="32588"/>
    <cellStyle name="Итог 4 2 6 3 3" xfId="42460"/>
    <cellStyle name="Итог 4 2 6 4" xfId="27319"/>
    <cellStyle name="Итог 4 2 6 5" xfId="37194"/>
    <cellStyle name="Итог 4 2 7" xfId="13396"/>
    <cellStyle name="Итог 4 2 7 2" xfId="18728"/>
    <cellStyle name="Итог 4 2 7 2 2" xfId="32538"/>
    <cellStyle name="Итог 4 2 7 2 3" xfId="42410"/>
    <cellStyle name="Итог 4 2 7 3" xfId="27269"/>
    <cellStyle name="Итог 4 2 7 4" xfId="37144"/>
    <cellStyle name="Итог 4 2 8" xfId="17351"/>
    <cellStyle name="Итог 4 2 8 2" xfId="23869"/>
    <cellStyle name="Итог 4 2 8 3" xfId="31162"/>
    <cellStyle name="Итог 4 2 8 4" xfId="41036"/>
    <cellStyle name="Итог 4 2 9" xfId="24785"/>
    <cellStyle name="Итог 4 20" xfId="13395"/>
    <cellStyle name="Итог 4 20 2" xfId="18727"/>
    <cellStyle name="Итог 4 20 2 2" xfId="32537"/>
    <cellStyle name="Итог 4 20 2 3" xfId="42409"/>
    <cellStyle name="Итог 4 20 3" xfId="27268"/>
    <cellStyle name="Итог 4 20 4" xfId="37143"/>
    <cellStyle name="Итог 4 21" xfId="17350"/>
    <cellStyle name="Итог 4 21 2" xfId="21136"/>
    <cellStyle name="Итог 4 21 3" xfId="31161"/>
    <cellStyle name="Итог 4 21 4" xfId="41035"/>
    <cellStyle name="Итог 4 22" xfId="23868"/>
    <cellStyle name="Итог 4 23" xfId="24784"/>
    <cellStyle name="Итог 4 24" xfId="34401"/>
    <cellStyle name="Итог 4 25" xfId="34486"/>
    <cellStyle name="Итог 4 3" xfId="1649"/>
    <cellStyle name="Итог 4 3 10" xfId="34403"/>
    <cellStyle name="Итог 4 3 11" xfId="34484"/>
    <cellStyle name="Итог 4 3 2" xfId="9299"/>
    <cellStyle name="Итог 4 3 3" xfId="12039"/>
    <cellStyle name="Итог 4 3 3 2" xfId="14937"/>
    <cellStyle name="Итог 4 3 3 2 2" xfId="17151"/>
    <cellStyle name="Итог 4 3 3 2 2 2" xfId="23203"/>
    <cellStyle name="Итог 4 3 3 2 2 3" xfId="30965"/>
    <cellStyle name="Итог 4 3 3 2 2 4" xfId="40840"/>
    <cellStyle name="Итог 4 3 3 2 3" xfId="20220"/>
    <cellStyle name="Итог 4 3 3 2 3 2" xfId="34030"/>
    <cellStyle name="Итог 4 3 3 2 3 3" xfId="43898"/>
    <cellStyle name="Итог 4 3 3 2 4" xfId="28757"/>
    <cellStyle name="Итог 4 3 3 2 5" xfId="38632"/>
    <cellStyle name="Итог 4 3 3 3" xfId="14387"/>
    <cellStyle name="Итог 4 3 3 3 2" xfId="19670"/>
    <cellStyle name="Итог 4 3 3 3 2 2" xfId="33480"/>
    <cellStyle name="Итог 4 3 3 3 2 3" xfId="43349"/>
    <cellStyle name="Итог 4 3 3 3 3" xfId="28208"/>
    <cellStyle name="Итог 4 3 3 3 4" xfId="38083"/>
    <cellStyle name="Итог 4 3 3 4" xfId="20878"/>
    <cellStyle name="Итог 4 3 3 5" xfId="21434"/>
    <cellStyle name="Итог 4 3 3 6" xfId="22627"/>
    <cellStyle name="Итог 4 3 3 7" xfId="24115"/>
    <cellStyle name="Итог 4 3 3 8" xfId="25913"/>
    <cellStyle name="Итог 4 3 3 9" xfId="35788"/>
    <cellStyle name="Итог 4 3 4" xfId="11774"/>
    <cellStyle name="Итог 4 3 4 2" xfId="14672"/>
    <cellStyle name="Итог 4 3 4 2 2" xfId="19955"/>
    <cellStyle name="Итог 4 3 4 2 2 2" xfId="33765"/>
    <cellStyle name="Итог 4 3 4 2 2 3" xfId="43633"/>
    <cellStyle name="Итог 4 3 4 2 3" xfId="28492"/>
    <cellStyle name="Итог 4 3 4 2 4" xfId="38367"/>
    <cellStyle name="Итог 4 3 4 3" xfId="15905"/>
    <cellStyle name="Итог 4 3 4 3 2" xfId="22995"/>
    <cellStyle name="Итог 4 3 4 3 3" xfId="24537"/>
    <cellStyle name="Итог 4 3 4 3 4" xfId="29724"/>
    <cellStyle name="Итог 4 3 4 3 5" xfId="39599"/>
    <cellStyle name="Итог 4 3 4 4" xfId="23475"/>
    <cellStyle name="Итог 4 3 4 5" xfId="25648"/>
    <cellStyle name="Итог 4 3 4 6" xfId="35523"/>
    <cellStyle name="Итог 4 3 5" xfId="12359"/>
    <cellStyle name="Итог 4 3 5 2" xfId="17691"/>
    <cellStyle name="Итог 4 3 5 2 2" xfId="31501"/>
    <cellStyle name="Итог 4 3 5 2 3" xfId="41374"/>
    <cellStyle name="Итог 4 3 5 3" xfId="20542"/>
    <cellStyle name="Итог 4 3 5 4" xfId="26233"/>
    <cellStyle name="Итог 4 3 5 5" xfId="36108"/>
    <cellStyle name="Итог 4 3 6" xfId="13447"/>
    <cellStyle name="Итог 4 3 6 2" xfId="16198"/>
    <cellStyle name="Итог 4 3 6 2 2" xfId="30016"/>
    <cellStyle name="Итог 4 3 6 2 3" xfId="39891"/>
    <cellStyle name="Итог 4 3 6 3" xfId="18779"/>
    <cellStyle name="Итог 4 3 6 3 2" xfId="32589"/>
    <cellStyle name="Итог 4 3 6 3 3" xfId="42461"/>
    <cellStyle name="Итог 4 3 6 4" xfId="27320"/>
    <cellStyle name="Итог 4 3 6 5" xfId="37195"/>
    <cellStyle name="Итог 4 3 7" xfId="13397"/>
    <cellStyle name="Итог 4 3 7 2" xfId="18729"/>
    <cellStyle name="Итог 4 3 7 2 2" xfId="32539"/>
    <cellStyle name="Итог 4 3 7 2 3" xfId="42411"/>
    <cellStyle name="Итог 4 3 7 3" xfId="27270"/>
    <cellStyle name="Итог 4 3 7 4" xfId="37145"/>
    <cellStyle name="Итог 4 3 8" xfId="17352"/>
    <cellStyle name="Итог 4 3 8 2" xfId="23870"/>
    <cellStyle name="Итог 4 3 8 3" xfId="31163"/>
    <cellStyle name="Итог 4 3 8 4" xfId="41037"/>
    <cellStyle name="Итог 4 3 9" xfId="24786"/>
    <cellStyle name="Итог 4 4" xfId="9292"/>
    <cellStyle name="Итог 4 5" xfId="9300"/>
    <cellStyle name="Итог 4 6" xfId="9301"/>
    <cellStyle name="Итог 4 7" xfId="9302"/>
    <cellStyle name="Итог 4 8" xfId="9303"/>
    <cellStyle name="Итог 4 9" xfId="9304"/>
    <cellStyle name="Итог 5" xfId="1650"/>
    <cellStyle name="Итог 5 10" xfId="9306"/>
    <cellStyle name="Итог 5 11" xfId="9307"/>
    <cellStyle name="Итог 5 12" xfId="9308"/>
    <cellStyle name="Итог 5 13" xfId="9309"/>
    <cellStyle name="Итог 5 14" xfId="9310"/>
    <cellStyle name="Итог 5 15" xfId="11901"/>
    <cellStyle name="Итог 5 15 2" xfId="14799"/>
    <cellStyle name="Итог 5 15 2 2" xfId="17013"/>
    <cellStyle name="Итог 5 15 2 2 2" xfId="23065"/>
    <cellStyle name="Итог 5 15 2 2 3" xfId="30827"/>
    <cellStyle name="Итог 5 15 2 2 4" xfId="40702"/>
    <cellStyle name="Итог 5 15 2 3" xfId="20082"/>
    <cellStyle name="Итог 5 15 2 3 2" xfId="33892"/>
    <cellStyle name="Итог 5 15 2 3 3" xfId="43760"/>
    <cellStyle name="Итог 5 15 2 4" xfId="28619"/>
    <cellStyle name="Итог 5 15 2 5" xfId="38494"/>
    <cellStyle name="Итог 5 15 3" xfId="14300"/>
    <cellStyle name="Итог 5 15 3 2" xfId="19583"/>
    <cellStyle name="Итог 5 15 3 2 2" xfId="33393"/>
    <cellStyle name="Итог 5 15 3 2 3" xfId="43262"/>
    <cellStyle name="Итог 5 15 3 3" xfId="28121"/>
    <cellStyle name="Итог 5 15 3 4" xfId="37996"/>
    <cellStyle name="Итог 5 15 4" xfId="20740"/>
    <cellStyle name="Итог 5 15 5" xfId="21296"/>
    <cellStyle name="Итог 5 15 6" xfId="22473"/>
    <cellStyle name="Итог 5 15 7" xfId="23961"/>
    <cellStyle name="Итог 5 15 8" xfId="25775"/>
    <cellStyle name="Итог 5 15 9" xfId="35650"/>
    <cellStyle name="Итог 5 16" xfId="12125"/>
    <cellStyle name="Итог 5 16 10" xfId="35874"/>
    <cellStyle name="Итог 5 16 2" xfId="15023"/>
    <cellStyle name="Итог 5 16 2 2" xfId="20306"/>
    <cellStyle name="Итог 5 16 2 2 2" xfId="34116"/>
    <cellStyle name="Итог 5 16 2 2 3" xfId="43984"/>
    <cellStyle name="Итог 5 16 2 3" xfId="23577"/>
    <cellStyle name="Итог 5 16 2 4" xfId="28843"/>
    <cellStyle name="Итог 5 16 2 5" xfId="38718"/>
    <cellStyle name="Итог 5 16 3" xfId="20612"/>
    <cellStyle name="Итог 5 16 4" xfId="20948"/>
    <cellStyle name="Итог 5 16 5" xfId="21062"/>
    <cellStyle name="Итог 5 16 6" xfId="21504"/>
    <cellStyle name="Итог 5 16 7" xfId="22697"/>
    <cellStyle name="Итог 5 16 8" xfId="24201"/>
    <cellStyle name="Итог 5 16 9" xfId="25999"/>
    <cellStyle name="Итог 5 17" xfId="12205"/>
    <cellStyle name="Итог 5 17 10" xfId="35954"/>
    <cellStyle name="Итог 5 17 2" xfId="15103"/>
    <cellStyle name="Итог 5 17 2 2" xfId="20386"/>
    <cellStyle name="Итог 5 17 2 2 2" xfId="34196"/>
    <cellStyle name="Итог 5 17 2 2 3" xfId="44064"/>
    <cellStyle name="Итог 5 17 2 3" xfId="23657"/>
    <cellStyle name="Итог 5 17 2 4" xfId="28923"/>
    <cellStyle name="Итог 5 17 2 5" xfId="38798"/>
    <cellStyle name="Итог 5 17 3" xfId="20676"/>
    <cellStyle name="Итог 5 17 4" xfId="21012"/>
    <cellStyle name="Итог 5 17 5" xfId="21110"/>
    <cellStyle name="Итог 5 17 6" xfId="21584"/>
    <cellStyle name="Итог 5 17 7" xfId="22777"/>
    <cellStyle name="Итог 5 17 8" xfId="24281"/>
    <cellStyle name="Итог 5 17 9" xfId="26079"/>
    <cellStyle name="Итог 5 18" xfId="11775"/>
    <cellStyle name="Итог 5 18 2" xfId="14673"/>
    <cellStyle name="Итог 5 18 2 2" xfId="19956"/>
    <cellStyle name="Итог 5 18 2 2 2" xfId="33766"/>
    <cellStyle name="Итог 5 18 2 2 3" xfId="43634"/>
    <cellStyle name="Итог 5 18 2 3" xfId="28493"/>
    <cellStyle name="Итог 5 18 2 4" xfId="38368"/>
    <cellStyle name="Итог 5 18 3" xfId="15906"/>
    <cellStyle name="Итог 5 18 3 2" xfId="22802"/>
    <cellStyle name="Итог 5 18 3 3" xfId="24538"/>
    <cellStyle name="Итог 5 18 3 4" xfId="29725"/>
    <cellStyle name="Итог 5 18 3 5" xfId="39600"/>
    <cellStyle name="Итог 5 18 4" xfId="23282"/>
    <cellStyle name="Итог 5 18 5" xfId="25649"/>
    <cellStyle name="Итог 5 18 6" xfId="35524"/>
    <cellStyle name="Итог 5 19" xfId="13448"/>
    <cellStyle name="Итог 5 19 2" xfId="16199"/>
    <cellStyle name="Итог 5 19 2 2" xfId="30017"/>
    <cellStyle name="Итог 5 19 2 3" xfId="39892"/>
    <cellStyle name="Итог 5 19 3" xfId="18780"/>
    <cellStyle name="Итог 5 19 3 2" xfId="32590"/>
    <cellStyle name="Итог 5 19 3 3" xfId="42462"/>
    <cellStyle name="Итог 5 19 4" xfId="27321"/>
    <cellStyle name="Итог 5 19 5" xfId="37196"/>
    <cellStyle name="Итог 5 2" xfId="1651"/>
    <cellStyle name="Итог 5 2 10" xfId="34405"/>
    <cellStyle name="Итог 5 2 11" xfId="34482"/>
    <cellStyle name="Итог 5 2 2" xfId="9311"/>
    <cellStyle name="Итог 5 2 3" xfId="12040"/>
    <cellStyle name="Итог 5 2 3 2" xfId="14938"/>
    <cellStyle name="Итог 5 2 3 2 2" xfId="17152"/>
    <cellStyle name="Итог 5 2 3 2 2 2" xfId="23204"/>
    <cellStyle name="Итог 5 2 3 2 2 3" xfId="30966"/>
    <cellStyle name="Итог 5 2 3 2 2 4" xfId="40841"/>
    <cellStyle name="Итог 5 2 3 2 3" xfId="20221"/>
    <cellStyle name="Итог 5 2 3 2 3 2" xfId="34031"/>
    <cellStyle name="Итог 5 2 3 2 3 3" xfId="43899"/>
    <cellStyle name="Итог 5 2 3 2 4" xfId="28758"/>
    <cellStyle name="Итог 5 2 3 2 5" xfId="38633"/>
    <cellStyle name="Итог 5 2 3 3" xfId="14388"/>
    <cellStyle name="Итог 5 2 3 3 2" xfId="19671"/>
    <cellStyle name="Итог 5 2 3 3 2 2" xfId="33481"/>
    <cellStyle name="Итог 5 2 3 3 2 3" xfId="43350"/>
    <cellStyle name="Итог 5 2 3 3 3" xfId="28209"/>
    <cellStyle name="Итог 5 2 3 3 4" xfId="38084"/>
    <cellStyle name="Итог 5 2 3 4" xfId="20879"/>
    <cellStyle name="Итог 5 2 3 5" xfId="21435"/>
    <cellStyle name="Итог 5 2 3 6" xfId="22628"/>
    <cellStyle name="Итог 5 2 3 7" xfId="24116"/>
    <cellStyle name="Итог 5 2 3 8" xfId="25914"/>
    <cellStyle name="Итог 5 2 3 9" xfId="35789"/>
    <cellStyle name="Итог 5 2 4" xfId="11776"/>
    <cellStyle name="Итог 5 2 4 2" xfId="14674"/>
    <cellStyle name="Итог 5 2 4 2 2" xfId="19957"/>
    <cellStyle name="Итог 5 2 4 2 2 2" xfId="33767"/>
    <cellStyle name="Итог 5 2 4 2 2 3" xfId="43635"/>
    <cellStyle name="Итог 5 2 4 2 3" xfId="28494"/>
    <cellStyle name="Итог 5 2 4 2 4" xfId="38369"/>
    <cellStyle name="Итог 5 2 4 3" xfId="15907"/>
    <cellStyle name="Итог 5 2 4 3 2" xfId="22996"/>
    <cellStyle name="Итог 5 2 4 3 3" xfId="24539"/>
    <cellStyle name="Итог 5 2 4 3 4" xfId="29726"/>
    <cellStyle name="Итог 5 2 4 3 5" xfId="39601"/>
    <cellStyle name="Итог 5 2 4 4" xfId="23476"/>
    <cellStyle name="Итог 5 2 4 5" xfId="25650"/>
    <cellStyle name="Итог 5 2 4 6" xfId="35525"/>
    <cellStyle name="Итог 5 2 5" xfId="12360"/>
    <cellStyle name="Итог 5 2 5 2" xfId="17692"/>
    <cellStyle name="Итог 5 2 5 2 2" xfId="31502"/>
    <cellStyle name="Итог 5 2 5 2 3" xfId="41375"/>
    <cellStyle name="Итог 5 2 5 3" xfId="20543"/>
    <cellStyle name="Итог 5 2 5 4" xfId="26234"/>
    <cellStyle name="Итог 5 2 5 5" xfId="36109"/>
    <cellStyle name="Итог 5 2 6" xfId="13449"/>
    <cellStyle name="Итог 5 2 6 2" xfId="16200"/>
    <cellStyle name="Итог 5 2 6 2 2" xfId="30018"/>
    <cellStyle name="Итог 5 2 6 2 3" xfId="39893"/>
    <cellStyle name="Итог 5 2 6 3" xfId="18781"/>
    <cellStyle name="Итог 5 2 6 3 2" xfId="32591"/>
    <cellStyle name="Итог 5 2 6 3 3" xfId="42463"/>
    <cellStyle name="Итог 5 2 6 4" xfId="27322"/>
    <cellStyle name="Итог 5 2 6 5" xfId="37197"/>
    <cellStyle name="Итог 5 2 7" xfId="13399"/>
    <cellStyle name="Итог 5 2 7 2" xfId="18731"/>
    <cellStyle name="Итог 5 2 7 2 2" xfId="32541"/>
    <cellStyle name="Итог 5 2 7 2 3" xfId="42413"/>
    <cellStyle name="Итог 5 2 7 3" xfId="27272"/>
    <cellStyle name="Итог 5 2 7 4" xfId="37147"/>
    <cellStyle name="Итог 5 2 8" xfId="17354"/>
    <cellStyle name="Итог 5 2 8 2" xfId="23872"/>
    <cellStyle name="Итог 5 2 8 3" xfId="31165"/>
    <cellStyle name="Итог 5 2 8 4" xfId="41039"/>
    <cellStyle name="Итог 5 2 9" xfId="24788"/>
    <cellStyle name="Итог 5 20" xfId="13398"/>
    <cellStyle name="Итог 5 20 2" xfId="18730"/>
    <cellStyle name="Итог 5 20 2 2" xfId="32540"/>
    <cellStyle name="Итог 5 20 2 3" xfId="42412"/>
    <cellStyle name="Итог 5 20 3" xfId="27271"/>
    <cellStyle name="Итог 5 20 4" xfId="37146"/>
    <cellStyle name="Итог 5 21" xfId="17353"/>
    <cellStyle name="Итог 5 21 2" xfId="21135"/>
    <cellStyle name="Итог 5 21 3" xfId="31164"/>
    <cellStyle name="Итог 5 21 4" xfId="41038"/>
    <cellStyle name="Итог 5 22" xfId="23871"/>
    <cellStyle name="Итог 5 23" xfId="24787"/>
    <cellStyle name="Итог 5 24" xfId="34404"/>
    <cellStyle name="Итог 5 25" xfId="34483"/>
    <cellStyle name="Итог 5 3" xfId="1652"/>
    <cellStyle name="Итог 5 3 10" xfId="34406"/>
    <cellStyle name="Итог 5 3 11" xfId="34481"/>
    <cellStyle name="Итог 5 3 2" xfId="9312"/>
    <cellStyle name="Итог 5 3 3" xfId="12041"/>
    <cellStyle name="Итог 5 3 3 2" xfId="14939"/>
    <cellStyle name="Итог 5 3 3 2 2" xfId="17153"/>
    <cellStyle name="Итог 5 3 3 2 2 2" xfId="23205"/>
    <cellStyle name="Итог 5 3 3 2 2 3" xfId="30967"/>
    <cellStyle name="Итог 5 3 3 2 2 4" xfId="40842"/>
    <cellStyle name="Итог 5 3 3 2 3" xfId="20222"/>
    <cellStyle name="Итог 5 3 3 2 3 2" xfId="34032"/>
    <cellStyle name="Итог 5 3 3 2 3 3" xfId="43900"/>
    <cellStyle name="Итог 5 3 3 2 4" xfId="28759"/>
    <cellStyle name="Итог 5 3 3 2 5" xfId="38634"/>
    <cellStyle name="Итог 5 3 3 3" xfId="13018"/>
    <cellStyle name="Итог 5 3 3 3 2" xfId="18350"/>
    <cellStyle name="Итог 5 3 3 3 2 2" xfId="32160"/>
    <cellStyle name="Итог 5 3 3 3 2 3" xfId="42033"/>
    <cellStyle name="Итог 5 3 3 3 3" xfId="26892"/>
    <cellStyle name="Итог 5 3 3 3 4" xfId="36767"/>
    <cellStyle name="Итог 5 3 3 4" xfId="20880"/>
    <cellStyle name="Итог 5 3 3 5" xfId="21436"/>
    <cellStyle name="Итог 5 3 3 6" xfId="22629"/>
    <cellStyle name="Итог 5 3 3 7" xfId="24117"/>
    <cellStyle name="Итог 5 3 3 8" xfId="25915"/>
    <cellStyle name="Итог 5 3 3 9" xfId="35790"/>
    <cellStyle name="Итог 5 3 4" xfId="11777"/>
    <cellStyle name="Итог 5 3 4 2" xfId="14675"/>
    <cellStyle name="Итог 5 3 4 2 2" xfId="19958"/>
    <cellStyle name="Итог 5 3 4 2 2 2" xfId="33768"/>
    <cellStyle name="Итог 5 3 4 2 2 3" xfId="43636"/>
    <cellStyle name="Итог 5 3 4 2 3" xfId="28495"/>
    <cellStyle name="Итог 5 3 4 2 4" xfId="38370"/>
    <cellStyle name="Итог 5 3 4 3" xfId="15908"/>
    <cellStyle name="Итог 5 3 4 3 2" xfId="22997"/>
    <cellStyle name="Итог 5 3 4 3 3" xfId="24540"/>
    <cellStyle name="Итог 5 3 4 3 4" xfId="29727"/>
    <cellStyle name="Итог 5 3 4 3 5" xfId="39602"/>
    <cellStyle name="Итог 5 3 4 4" xfId="23477"/>
    <cellStyle name="Итог 5 3 4 5" xfId="25651"/>
    <cellStyle name="Итог 5 3 4 6" xfId="35526"/>
    <cellStyle name="Итог 5 3 5" xfId="12361"/>
    <cellStyle name="Итог 5 3 5 2" xfId="17693"/>
    <cellStyle name="Итог 5 3 5 2 2" xfId="31503"/>
    <cellStyle name="Итог 5 3 5 2 3" xfId="41376"/>
    <cellStyle name="Итог 5 3 5 3" xfId="20544"/>
    <cellStyle name="Итог 5 3 5 4" xfId="26235"/>
    <cellStyle name="Итог 5 3 5 5" xfId="36110"/>
    <cellStyle name="Итог 5 3 6" xfId="13450"/>
    <cellStyle name="Итог 5 3 6 2" xfId="16201"/>
    <cellStyle name="Итог 5 3 6 2 2" xfId="30019"/>
    <cellStyle name="Итог 5 3 6 2 3" xfId="39894"/>
    <cellStyle name="Итог 5 3 6 3" xfId="18782"/>
    <cellStyle name="Итог 5 3 6 3 2" xfId="32592"/>
    <cellStyle name="Итог 5 3 6 3 3" xfId="42464"/>
    <cellStyle name="Итог 5 3 6 4" xfId="27323"/>
    <cellStyle name="Итог 5 3 6 5" xfId="37198"/>
    <cellStyle name="Итог 5 3 7" xfId="13400"/>
    <cellStyle name="Итог 5 3 7 2" xfId="18732"/>
    <cellStyle name="Итог 5 3 7 2 2" xfId="32542"/>
    <cellStyle name="Итог 5 3 7 2 3" xfId="42414"/>
    <cellStyle name="Итог 5 3 7 3" xfId="27273"/>
    <cellStyle name="Итог 5 3 7 4" xfId="37148"/>
    <cellStyle name="Итог 5 3 8" xfId="17355"/>
    <cellStyle name="Итог 5 3 8 2" xfId="23873"/>
    <cellStyle name="Итог 5 3 8 3" xfId="31166"/>
    <cellStyle name="Итог 5 3 8 4" xfId="41040"/>
    <cellStyle name="Итог 5 3 9" xfId="24789"/>
    <cellStyle name="Итог 5 4" xfId="9305"/>
    <cellStyle name="Итог 5 5" xfId="9313"/>
    <cellStyle name="Итог 5 6" xfId="9314"/>
    <cellStyle name="Итог 5 7" xfId="9315"/>
    <cellStyle name="Итог 5 8" xfId="9316"/>
    <cellStyle name="Итог 5 9" xfId="9317"/>
    <cellStyle name="Итог 6" xfId="1653"/>
    <cellStyle name="Итог 6 10" xfId="9319"/>
    <cellStyle name="Итог 6 11" xfId="9320"/>
    <cellStyle name="Итог 6 12" xfId="9321"/>
    <cellStyle name="Итог 6 13" xfId="9322"/>
    <cellStyle name="Итог 6 14" xfId="9323"/>
    <cellStyle name="Итог 6 15" xfId="11902"/>
    <cellStyle name="Итог 6 15 2" xfId="14800"/>
    <cellStyle name="Итог 6 15 2 2" xfId="17014"/>
    <cellStyle name="Итог 6 15 2 2 2" xfId="23066"/>
    <cellStyle name="Итог 6 15 2 2 3" xfId="30828"/>
    <cellStyle name="Итог 6 15 2 2 4" xfId="40703"/>
    <cellStyle name="Итог 6 15 2 3" xfId="20083"/>
    <cellStyle name="Итог 6 15 2 3 2" xfId="33893"/>
    <cellStyle name="Итог 6 15 2 3 3" xfId="43761"/>
    <cellStyle name="Итог 6 15 2 4" xfId="28620"/>
    <cellStyle name="Итог 6 15 2 5" xfId="38495"/>
    <cellStyle name="Итог 6 15 3" xfId="14301"/>
    <cellStyle name="Итог 6 15 3 2" xfId="19584"/>
    <cellStyle name="Итог 6 15 3 2 2" xfId="33394"/>
    <cellStyle name="Итог 6 15 3 2 3" xfId="43263"/>
    <cellStyle name="Итог 6 15 3 3" xfId="28122"/>
    <cellStyle name="Итог 6 15 3 4" xfId="37997"/>
    <cellStyle name="Итог 6 15 4" xfId="20741"/>
    <cellStyle name="Итог 6 15 5" xfId="21297"/>
    <cellStyle name="Итог 6 15 6" xfId="22474"/>
    <cellStyle name="Итог 6 15 7" xfId="23962"/>
    <cellStyle name="Итог 6 15 8" xfId="25776"/>
    <cellStyle name="Итог 6 15 9" xfId="35651"/>
    <cellStyle name="Итог 6 16" xfId="12126"/>
    <cellStyle name="Итог 6 16 10" xfId="35875"/>
    <cellStyle name="Итог 6 16 2" xfId="15024"/>
    <cellStyle name="Итог 6 16 2 2" xfId="20307"/>
    <cellStyle name="Итог 6 16 2 2 2" xfId="34117"/>
    <cellStyle name="Итог 6 16 2 2 3" xfId="43985"/>
    <cellStyle name="Итог 6 16 2 3" xfId="23578"/>
    <cellStyle name="Итог 6 16 2 4" xfId="28844"/>
    <cellStyle name="Итог 6 16 2 5" xfId="38719"/>
    <cellStyle name="Итог 6 16 3" xfId="20613"/>
    <cellStyle name="Итог 6 16 4" xfId="20949"/>
    <cellStyle name="Итог 6 16 5" xfId="21063"/>
    <cellStyle name="Итог 6 16 6" xfId="21505"/>
    <cellStyle name="Итог 6 16 7" xfId="22698"/>
    <cellStyle name="Итог 6 16 8" xfId="24202"/>
    <cellStyle name="Итог 6 16 9" xfId="26000"/>
    <cellStyle name="Итог 6 17" xfId="12206"/>
    <cellStyle name="Итог 6 17 10" xfId="35955"/>
    <cellStyle name="Итог 6 17 2" xfId="15104"/>
    <cellStyle name="Итог 6 17 2 2" xfId="20387"/>
    <cellStyle name="Итог 6 17 2 2 2" xfId="34197"/>
    <cellStyle name="Итог 6 17 2 2 3" xfId="44065"/>
    <cellStyle name="Итог 6 17 2 3" xfId="23658"/>
    <cellStyle name="Итог 6 17 2 4" xfId="28924"/>
    <cellStyle name="Итог 6 17 2 5" xfId="38799"/>
    <cellStyle name="Итог 6 17 3" xfId="20677"/>
    <cellStyle name="Итог 6 17 4" xfId="21013"/>
    <cellStyle name="Итог 6 17 5" xfId="21111"/>
    <cellStyle name="Итог 6 17 6" xfId="21585"/>
    <cellStyle name="Итог 6 17 7" xfId="22778"/>
    <cellStyle name="Итог 6 17 8" xfId="24282"/>
    <cellStyle name="Итог 6 17 9" xfId="26080"/>
    <cellStyle name="Итог 6 18" xfId="11778"/>
    <cellStyle name="Итог 6 18 2" xfId="14676"/>
    <cellStyle name="Итог 6 18 2 2" xfId="19959"/>
    <cellStyle name="Итог 6 18 2 2 2" xfId="33769"/>
    <cellStyle name="Итог 6 18 2 2 3" xfId="43637"/>
    <cellStyle name="Итог 6 18 2 3" xfId="28496"/>
    <cellStyle name="Итог 6 18 2 4" xfId="38371"/>
    <cellStyle name="Итог 6 18 3" xfId="15909"/>
    <cellStyle name="Итог 6 18 3 2" xfId="22801"/>
    <cellStyle name="Итог 6 18 3 3" xfId="24541"/>
    <cellStyle name="Итог 6 18 3 4" xfId="29728"/>
    <cellStyle name="Итог 6 18 3 5" xfId="39603"/>
    <cellStyle name="Итог 6 18 4" xfId="23281"/>
    <cellStyle name="Итог 6 18 5" xfId="25652"/>
    <cellStyle name="Итог 6 18 6" xfId="35527"/>
    <cellStyle name="Итог 6 19" xfId="13451"/>
    <cellStyle name="Итог 6 19 2" xfId="16202"/>
    <cellStyle name="Итог 6 19 2 2" xfId="30020"/>
    <cellStyle name="Итог 6 19 2 3" xfId="39895"/>
    <cellStyle name="Итог 6 19 3" xfId="18783"/>
    <cellStyle name="Итог 6 19 3 2" xfId="32593"/>
    <cellStyle name="Итог 6 19 3 3" xfId="42465"/>
    <cellStyle name="Итог 6 19 4" xfId="27324"/>
    <cellStyle name="Итог 6 19 5" xfId="37199"/>
    <cellStyle name="Итог 6 2" xfId="1654"/>
    <cellStyle name="Итог 6 2 10" xfId="34408"/>
    <cellStyle name="Итог 6 2 11" xfId="34479"/>
    <cellStyle name="Итог 6 2 2" xfId="9324"/>
    <cellStyle name="Итог 6 2 3" xfId="12042"/>
    <cellStyle name="Итог 6 2 3 2" xfId="14940"/>
    <cellStyle name="Итог 6 2 3 2 2" xfId="17154"/>
    <cellStyle name="Итог 6 2 3 2 2 2" xfId="23206"/>
    <cellStyle name="Итог 6 2 3 2 2 3" xfId="30968"/>
    <cellStyle name="Итог 6 2 3 2 2 4" xfId="40843"/>
    <cellStyle name="Итог 6 2 3 2 3" xfId="20223"/>
    <cellStyle name="Итог 6 2 3 2 3 2" xfId="34033"/>
    <cellStyle name="Итог 6 2 3 2 3 3" xfId="43901"/>
    <cellStyle name="Итог 6 2 3 2 4" xfId="28760"/>
    <cellStyle name="Итог 6 2 3 2 5" xfId="38635"/>
    <cellStyle name="Итог 6 2 3 3" xfId="14390"/>
    <cellStyle name="Итог 6 2 3 3 2" xfId="19673"/>
    <cellStyle name="Итог 6 2 3 3 2 2" xfId="33483"/>
    <cellStyle name="Итог 6 2 3 3 2 3" xfId="43352"/>
    <cellStyle name="Итог 6 2 3 3 3" xfId="28211"/>
    <cellStyle name="Итог 6 2 3 3 4" xfId="38086"/>
    <cellStyle name="Итог 6 2 3 4" xfId="20881"/>
    <cellStyle name="Итог 6 2 3 5" xfId="21437"/>
    <cellStyle name="Итог 6 2 3 6" xfId="22630"/>
    <cellStyle name="Итог 6 2 3 7" xfId="24118"/>
    <cellStyle name="Итог 6 2 3 8" xfId="25916"/>
    <cellStyle name="Итог 6 2 3 9" xfId="35791"/>
    <cellStyle name="Итог 6 2 4" xfId="11779"/>
    <cellStyle name="Итог 6 2 4 2" xfId="14677"/>
    <cellStyle name="Итог 6 2 4 2 2" xfId="19960"/>
    <cellStyle name="Итог 6 2 4 2 2 2" xfId="33770"/>
    <cellStyle name="Итог 6 2 4 2 2 3" xfId="43638"/>
    <cellStyle name="Итог 6 2 4 2 3" xfId="28497"/>
    <cellStyle name="Итог 6 2 4 2 4" xfId="38372"/>
    <cellStyle name="Итог 6 2 4 3" xfId="15910"/>
    <cellStyle name="Итог 6 2 4 3 2" xfId="22998"/>
    <cellStyle name="Итог 6 2 4 3 3" xfId="24542"/>
    <cellStyle name="Итог 6 2 4 3 4" xfId="29729"/>
    <cellStyle name="Итог 6 2 4 3 5" xfId="39604"/>
    <cellStyle name="Итог 6 2 4 4" xfId="23478"/>
    <cellStyle name="Итог 6 2 4 5" xfId="25653"/>
    <cellStyle name="Итог 6 2 4 6" xfId="35528"/>
    <cellStyle name="Итог 6 2 5" xfId="12362"/>
    <cellStyle name="Итог 6 2 5 2" xfId="17694"/>
    <cellStyle name="Итог 6 2 5 2 2" xfId="31504"/>
    <cellStyle name="Итог 6 2 5 2 3" xfId="41377"/>
    <cellStyle name="Итог 6 2 5 3" xfId="20545"/>
    <cellStyle name="Итог 6 2 5 4" xfId="26236"/>
    <cellStyle name="Итог 6 2 5 5" xfId="36111"/>
    <cellStyle name="Итог 6 2 6" xfId="13452"/>
    <cellStyle name="Итог 6 2 6 2" xfId="16203"/>
    <cellStyle name="Итог 6 2 6 2 2" xfId="30021"/>
    <cellStyle name="Итог 6 2 6 2 3" xfId="39896"/>
    <cellStyle name="Итог 6 2 6 3" xfId="18784"/>
    <cellStyle name="Итог 6 2 6 3 2" xfId="32594"/>
    <cellStyle name="Итог 6 2 6 3 3" xfId="42466"/>
    <cellStyle name="Итог 6 2 6 4" xfId="27325"/>
    <cellStyle name="Итог 6 2 6 5" xfId="37200"/>
    <cellStyle name="Итог 6 2 7" xfId="13402"/>
    <cellStyle name="Итог 6 2 7 2" xfId="18734"/>
    <cellStyle name="Итог 6 2 7 2 2" xfId="32544"/>
    <cellStyle name="Итог 6 2 7 2 3" xfId="42416"/>
    <cellStyle name="Итог 6 2 7 3" xfId="27275"/>
    <cellStyle name="Итог 6 2 7 4" xfId="37150"/>
    <cellStyle name="Итог 6 2 8" xfId="17357"/>
    <cellStyle name="Итог 6 2 8 2" xfId="23875"/>
    <cellStyle name="Итог 6 2 8 3" xfId="31168"/>
    <cellStyle name="Итог 6 2 8 4" xfId="41042"/>
    <cellStyle name="Итог 6 2 9" xfId="24791"/>
    <cellStyle name="Итог 6 20" xfId="13401"/>
    <cellStyle name="Итог 6 20 2" xfId="18733"/>
    <cellStyle name="Итог 6 20 2 2" xfId="32543"/>
    <cellStyle name="Итог 6 20 2 3" xfId="42415"/>
    <cellStyle name="Итог 6 20 3" xfId="27274"/>
    <cellStyle name="Итог 6 20 4" xfId="37149"/>
    <cellStyle name="Итог 6 21" xfId="17356"/>
    <cellStyle name="Итог 6 21 2" xfId="21134"/>
    <cellStyle name="Итог 6 21 3" xfId="31167"/>
    <cellStyle name="Итог 6 21 4" xfId="41041"/>
    <cellStyle name="Итог 6 22" xfId="23874"/>
    <cellStyle name="Итог 6 23" xfId="24790"/>
    <cellStyle name="Итог 6 24" xfId="34407"/>
    <cellStyle name="Итог 6 25" xfId="34480"/>
    <cellStyle name="Итог 6 3" xfId="1655"/>
    <cellStyle name="Итог 6 3 10" xfId="34409"/>
    <cellStyle name="Итог 6 3 11" xfId="34478"/>
    <cellStyle name="Итог 6 3 2" xfId="9325"/>
    <cellStyle name="Итог 6 3 3" xfId="12043"/>
    <cellStyle name="Итог 6 3 3 2" xfId="14941"/>
    <cellStyle name="Итог 6 3 3 2 2" xfId="17155"/>
    <cellStyle name="Итог 6 3 3 2 2 2" xfId="23207"/>
    <cellStyle name="Итог 6 3 3 2 2 3" xfId="30969"/>
    <cellStyle name="Итог 6 3 3 2 2 4" xfId="40844"/>
    <cellStyle name="Итог 6 3 3 2 3" xfId="20224"/>
    <cellStyle name="Итог 6 3 3 2 3 2" xfId="34034"/>
    <cellStyle name="Итог 6 3 3 2 3 3" xfId="43902"/>
    <cellStyle name="Итог 6 3 3 2 4" xfId="28761"/>
    <cellStyle name="Итог 6 3 3 2 5" xfId="38636"/>
    <cellStyle name="Итог 6 3 3 3" xfId="14391"/>
    <cellStyle name="Итог 6 3 3 3 2" xfId="19674"/>
    <cellStyle name="Итог 6 3 3 3 2 2" xfId="33484"/>
    <cellStyle name="Итог 6 3 3 3 2 3" xfId="43353"/>
    <cellStyle name="Итог 6 3 3 3 3" xfId="28212"/>
    <cellStyle name="Итог 6 3 3 3 4" xfId="38087"/>
    <cellStyle name="Итог 6 3 3 4" xfId="20882"/>
    <cellStyle name="Итог 6 3 3 5" xfId="21438"/>
    <cellStyle name="Итог 6 3 3 6" xfId="22631"/>
    <cellStyle name="Итог 6 3 3 7" xfId="24119"/>
    <cellStyle name="Итог 6 3 3 8" xfId="25917"/>
    <cellStyle name="Итог 6 3 3 9" xfId="35792"/>
    <cellStyle name="Итог 6 3 4" xfId="11780"/>
    <cellStyle name="Итог 6 3 4 2" xfId="14678"/>
    <cellStyle name="Итог 6 3 4 2 2" xfId="19961"/>
    <cellStyle name="Итог 6 3 4 2 2 2" xfId="33771"/>
    <cellStyle name="Итог 6 3 4 2 2 3" xfId="43639"/>
    <cellStyle name="Итог 6 3 4 2 3" xfId="28498"/>
    <cellStyle name="Итог 6 3 4 2 4" xfId="38373"/>
    <cellStyle name="Итог 6 3 4 3" xfId="15911"/>
    <cellStyle name="Итог 6 3 4 3 2" xfId="22999"/>
    <cellStyle name="Итог 6 3 4 3 3" xfId="24543"/>
    <cellStyle name="Итог 6 3 4 3 4" xfId="29730"/>
    <cellStyle name="Итог 6 3 4 3 5" xfId="39605"/>
    <cellStyle name="Итог 6 3 4 4" xfId="23479"/>
    <cellStyle name="Итог 6 3 4 5" xfId="25654"/>
    <cellStyle name="Итог 6 3 4 6" xfId="35529"/>
    <cellStyle name="Итог 6 3 5" xfId="12363"/>
    <cellStyle name="Итог 6 3 5 2" xfId="17695"/>
    <cellStyle name="Итог 6 3 5 2 2" xfId="31505"/>
    <cellStyle name="Итог 6 3 5 2 3" xfId="41378"/>
    <cellStyle name="Итог 6 3 5 3" xfId="20546"/>
    <cellStyle name="Итог 6 3 5 4" xfId="26237"/>
    <cellStyle name="Итог 6 3 5 5" xfId="36112"/>
    <cellStyle name="Итог 6 3 6" xfId="13453"/>
    <cellStyle name="Итог 6 3 6 2" xfId="16204"/>
    <cellStyle name="Итог 6 3 6 2 2" xfId="30022"/>
    <cellStyle name="Итог 6 3 6 2 3" xfId="39897"/>
    <cellStyle name="Итог 6 3 6 3" xfId="18785"/>
    <cellStyle name="Итог 6 3 6 3 2" xfId="32595"/>
    <cellStyle name="Итог 6 3 6 3 3" xfId="42467"/>
    <cellStyle name="Итог 6 3 6 4" xfId="27326"/>
    <cellStyle name="Итог 6 3 6 5" xfId="37201"/>
    <cellStyle name="Итог 6 3 7" xfId="13403"/>
    <cellStyle name="Итог 6 3 7 2" xfId="18735"/>
    <cellStyle name="Итог 6 3 7 2 2" xfId="32545"/>
    <cellStyle name="Итог 6 3 7 2 3" xfId="42417"/>
    <cellStyle name="Итог 6 3 7 3" xfId="27276"/>
    <cellStyle name="Итог 6 3 7 4" xfId="37151"/>
    <cellStyle name="Итог 6 3 8" xfId="17358"/>
    <cellStyle name="Итог 6 3 8 2" xfId="23876"/>
    <cellStyle name="Итог 6 3 8 3" xfId="31169"/>
    <cellStyle name="Итог 6 3 8 4" xfId="41043"/>
    <cellStyle name="Итог 6 3 9" xfId="24792"/>
    <cellStyle name="Итог 6 4" xfId="9318"/>
    <cellStyle name="Итог 6 5" xfId="9326"/>
    <cellStyle name="Итог 6 6" xfId="9327"/>
    <cellStyle name="Итог 6 7" xfId="9328"/>
    <cellStyle name="Итог 6 8" xfId="9329"/>
    <cellStyle name="Итог 6 9" xfId="9330"/>
    <cellStyle name="Итог 7" xfId="1656"/>
    <cellStyle name="Итог 7 10" xfId="9332"/>
    <cellStyle name="Итог 7 11" xfId="9333"/>
    <cellStyle name="Итог 7 12" xfId="9334"/>
    <cellStyle name="Итог 7 13" xfId="9335"/>
    <cellStyle name="Итог 7 14" xfId="9336"/>
    <cellStyle name="Итог 7 15" xfId="11903"/>
    <cellStyle name="Итог 7 15 2" xfId="14801"/>
    <cellStyle name="Итог 7 15 2 2" xfId="17015"/>
    <cellStyle name="Итог 7 15 2 2 2" xfId="23067"/>
    <cellStyle name="Итог 7 15 2 2 3" xfId="30829"/>
    <cellStyle name="Итог 7 15 2 2 4" xfId="40704"/>
    <cellStyle name="Итог 7 15 2 3" xfId="20084"/>
    <cellStyle name="Итог 7 15 2 3 2" xfId="33894"/>
    <cellStyle name="Итог 7 15 2 3 3" xfId="43762"/>
    <cellStyle name="Итог 7 15 2 4" xfId="28621"/>
    <cellStyle name="Итог 7 15 2 5" xfId="38496"/>
    <cellStyle name="Итог 7 15 3" xfId="14302"/>
    <cellStyle name="Итог 7 15 3 2" xfId="19585"/>
    <cellStyle name="Итог 7 15 3 2 2" xfId="33395"/>
    <cellStyle name="Итог 7 15 3 2 3" xfId="43264"/>
    <cellStyle name="Итог 7 15 3 3" xfId="28123"/>
    <cellStyle name="Итог 7 15 3 4" xfId="37998"/>
    <cellStyle name="Итог 7 15 4" xfId="20742"/>
    <cellStyle name="Итог 7 15 5" xfId="21298"/>
    <cellStyle name="Итог 7 15 6" xfId="22475"/>
    <cellStyle name="Итог 7 15 7" xfId="23963"/>
    <cellStyle name="Итог 7 15 8" xfId="25777"/>
    <cellStyle name="Итог 7 15 9" xfId="35652"/>
    <cellStyle name="Итог 7 16" xfId="12127"/>
    <cellStyle name="Итог 7 16 10" xfId="35876"/>
    <cellStyle name="Итог 7 16 2" xfId="15025"/>
    <cellStyle name="Итог 7 16 2 2" xfId="20308"/>
    <cellStyle name="Итог 7 16 2 2 2" xfId="34118"/>
    <cellStyle name="Итог 7 16 2 2 3" xfId="43986"/>
    <cellStyle name="Итог 7 16 2 3" xfId="23579"/>
    <cellStyle name="Итог 7 16 2 4" xfId="28845"/>
    <cellStyle name="Итог 7 16 2 5" xfId="38720"/>
    <cellStyle name="Итог 7 16 3" xfId="20614"/>
    <cellStyle name="Итог 7 16 4" xfId="20950"/>
    <cellStyle name="Итог 7 16 5" xfId="21064"/>
    <cellStyle name="Итог 7 16 6" xfId="21506"/>
    <cellStyle name="Итог 7 16 7" xfId="22699"/>
    <cellStyle name="Итог 7 16 8" xfId="24203"/>
    <cellStyle name="Итог 7 16 9" xfId="26001"/>
    <cellStyle name="Итог 7 17" xfId="12207"/>
    <cellStyle name="Итог 7 17 10" xfId="35956"/>
    <cellStyle name="Итог 7 17 2" xfId="15105"/>
    <cellStyle name="Итог 7 17 2 2" xfId="20388"/>
    <cellStyle name="Итог 7 17 2 2 2" xfId="34198"/>
    <cellStyle name="Итог 7 17 2 2 3" xfId="44066"/>
    <cellStyle name="Итог 7 17 2 3" xfId="23659"/>
    <cellStyle name="Итог 7 17 2 4" xfId="28925"/>
    <cellStyle name="Итог 7 17 2 5" xfId="38800"/>
    <cellStyle name="Итог 7 17 3" xfId="20678"/>
    <cellStyle name="Итог 7 17 4" xfId="21014"/>
    <cellStyle name="Итог 7 17 5" xfId="21112"/>
    <cellStyle name="Итог 7 17 6" xfId="21586"/>
    <cellStyle name="Итог 7 17 7" xfId="22779"/>
    <cellStyle name="Итог 7 17 8" xfId="24283"/>
    <cellStyle name="Итог 7 17 9" xfId="26081"/>
    <cellStyle name="Итог 7 18" xfId="11781"/>
    <cellStyle name="Итог 7 18 2" xfId="14679"/>
    <cellStyle name="Итог 7 18 2 2" xfId="19962"/>
    <cellStyle name="Итог 7 18 2 2 2" xfId="33772"/>
    <cellStyle name="Итог 7 18 2 2 3" xfId="43640"/>
    <cellStyle name="Итог 7 18 2 3" xfId="28499"/>
    <cellStyle name="Итог 7 18 2 4" xfId="38374"/>
    <cellStyle name="Итог 7 18 3" xfId="15912"/>
    <cellStyle name="Итог 7 18 3 2" xfId="22800"/>
    <cellStyle name="Итог 7 18 3 3" xfId="24544"/>
    <cellStyle name="Итог 7 18 3 4" xfId="29731"/>
    <cellStyle name="Итог 7 18 3 5" xfId="39606"/>
    <cellStyle name="Итог 7 18 4" xfId="23280"/>
    <cellStyle name="Итог 7 18 5" xfId="25655"/>
    <cellStyle name="Итог 7 18 6" xfId="35530"/>
    <cellStyle name="Итог 7 19" xfId="13454"/>
    <cellStyle name="Итог 7 19 2" xfId="16205"/>
    <cellStyle name="Итог 7 19 2 2" xfId="30023"/>
    <cellStyle name="Итог 7 19 2 3" xfId="39898"/>
    <cellStyle name="Итог 7 19 3" xfId="18786"/>
    <cellStyle name="Итог 7 19 3 2" xfId="32596"/>
    <cellStyle name="Итог 7 19 3 3" xfId="42468"/>
    <cellStyle name="Итог 7 19 4" xfId="27327"/>
    <cellStyle name="Итог 7 19 5" xfId="37202"/>
    <cellStyle name="Итог 7 2" xfId="1657"/>
    <cellStyle name="Итог 7 2 10" xfId="34411"/>
    <cellStyle name="Итог 7 2 11" xfId="34476"/>
    <cellStyle name="Итог 7 2 2" xfId="9337"/>
    <cellStyle name="Итог 7 2 3" xfId="12044"/>
    <cellStyle name="Итог 7 2 3 2" xfId="14942"/>
    <cellStyle name="Итог 7 2 3 2 2" xfId="17156"/>
    <cellStyle name="Итог 7 2 3 2 2 2" xfId="23208"/>
    <cellStyle name="Итог 7 2 3 2 2 3" xfId="30970"/>
    <cellStyle name="Итог 7 2 3 2 2 4" xfId="40845"/>
    <cellStyle name="Итог 7 2 3 2 3" xfId="20225"/>
    <cellStyle name="Итог 7 2 3 2 3 2" xfId="34035"/>
    <cellStyle name="Итог 7 2 3 2 3 3" xfId="43903"/>
    <cellStyle name="Итог 7 2 3 2 4" xfId="28762"/>
    <cellStyle name="Итог 7 2 3 2 5" xfId="38637"/>
    <cellStyle name="Итог 7 2 3 3" xfId="14470"/>
    <cellStyle name="Итог 7 2 3 3 2" xfId="19753"/>
    <cellStyle name="Итог 7 2 3 3 2 2" xfId="33563"/>
    <cellStyle name="Итог 7 2 3 3 2 3" xfId="43431"/>
    <cellStyle name="Итог 7 2 3 3 3" xfId="28290"/>
    <cellStyle name="Итог 7 2 3 3 4" xfId="38165"/>
    <cellStyle name="Итог 7 2 3 4" xfId="20883"/>
    <cellStyle name="Итог 7 2 3 5" xfId="21439"/>
    <cellStyle name="Итог 7 2 3 6" xfId="22632"/>
    <cellStyle name="Итог 7 2 3 7" xfId="24120"/>
    <cellStyle name="Итог 7 2 3 8" xfId="25918"/>
    <cellStyle name="Итог 7 2 3 9" xfId="35793"/>
    <cellStyle name="Итог 7 2 4" xfId="11782"/>
    <cellStyle name="Итог 7 2 4 2" xfId="14680"/>
    <cellStyle name="Итог 7 2 4 2 2" xfId="19963"/>
    <cellStyle name="Итог 7 2 4 2 2 2" xfId="33773"/>
    <cellStyle name="Итог 7 2 4 2 2 3" xfId="43641"/>
    <cellStyle name="Итог 7 2 4 2 3" xfId="28500"/>
    <cellStyle name="Итог 7 2 4 2 4" xfId="38375"/>
    <cellStyle name="Итог 7 2 4 3" xfId="15913"/>
    <cellStyle name="Итог 7 2 4 3 2" xfId="23000"/>
    <cellStyle name="Итог 7 2 4 3 3" xfId="24545"/>
    <cellStyle name="Итог 7 2 4 3 4" xfId="29732"/>
    <cellStyle name="Итог 7 2 4 3 5" xfId="39607"/>
    <cellStyle name="Итог 7 2 4 4" xfId="23480"/>
    <cellStyle name="Итог 7 2 4 5" xfId="25656"/>
    <cellStyle name="Итог 7 2 4 6" xfId="35531"/>
    <cellStyle name="Итог 7 2 5" xfId="12364"/>
    <cellStyle name="Итог 7 2 5 2" xfId="17696"/>
    <cellStyle name="Итог 7 2 5 2 2" xfId="31506"/>
    <cellStyle name="Итог 7 2 5 2 3" xfId="41379"/>
    <cellStyle name="Итог 7 2 5 3" xfId="20547"/>
    <cellStyle name="Итог 7 2 5 4" xfId="26238"/>
    <cellStyle name="Итог 7 2 5 5" xfId="36113"/>
    <cellStyle name="Итог 7 2 6" xfId="13455"/>
    <cellStyle name="Итог 7 2 6 2" xfId="16206"/>
    <cellStyle name="Итог 7 2 6 2 2" xfId="30024"/>
    <cellStyle name="Итог 7 2 6 2 3" xfId="39899"/>
    <cellStyle name="Итог 7 2 6 3" xfId="18787"/>
    <cellStyle name="Итог 7 2 6 3 2" xfId="32597"/>
    <cellStyle name="Итог 7 2 6 3 3" xfId="42469"/>
    <cellStyle name="Итог 7 2 6 4" xfId="27328"/>
    <cellStyle name="Итог 7 2 6 5" xfId="37203"/>
    <cellStyle name="Итог 7 2 7" xfId="13405"/>
    <cellStyle name="Итог 7 2 7 2" xfId="18737"/>
    <cellStyle name="Итог 7 2 7 2 2" xfId="32547"/>
    <cellStyle name="Итог 7 2 7 2 3" xfId="42419"/>
    <cellStyle name="Итог 7 2 7 3" xfId="27278"/>
    <cellStyle name="Итог 7 2 7 4" xfId="37153"/>
    <cellStyle name="Итог 7 2 8" xfId="17360"/>
    <cellStyle name="Итог 7 2 8 2" xfId="23878"/>
    <cellStyle name="Итог 7 2 8 3" xfId="31171"/>
    <cellStyle name="Итог 7 2 8 4" xfId="41045"/>
    <cellStyle name="Итог 7 2 9" xfId="24794"/>
    <cellStyle name="Итог 7 20" xfId="13404"/>
    <cellStyle name="Итог 7 20 2" xfId="18736"/>
    <cellStyle name="Итог 7 20 2 2" xfId="32546"/>
    <cellStyle name="Итог 7 20 2 3" xfId="42418"/>
    <cellStyle name="Итог 7 20 3" xfId="27277"/>
    <cellStyle name="Итог 7 20 4" xfId="37152"/>
    <cellStyle name="Итог 7 21" xfId="17359"/>
    <cellStyle name="Итог 7 21 2" xfId="21133"/>
    <cellStyle name="Итог 7 21 3" xfId="31170"/>
    <cellStyle name="Итог 7 21 4" xfId="41044"/>
    <cellStyle name="Итог 7 22" xfId="23877"/>
    <cellStyle name="Итог 7 23" xfId="24793"/>
    <cellStyle name="Итог 7 24" xfId="34410"/>
    <cellStyle name="Итог 7 25" xfId="34477"/>
    <cellStyle name="Итог 7 3" xfId="1658"/>
    <cellStyle name="Итог 7 3 10" xfId="34412"/>
    <cellStyle name="Итог 7 3 11" xfId="34475"/>
    <cellStyle name="Итог 7 3 2" xfId="9338"/>
    <cellStyle name="Итог 7 3 3" xfId="12045"/>
    <cellStyle name="Итог 7 3 3 2" xfId="14943"/>
    <cellStyle name="Итог 7 3 3 2 2" xfId="17157"/>
    <cellStyle name="Итог 7 3 3 2 2 2" xfId="23209"/>
    <cellStyle name="Итог 7 3 3 2 2 3" xfId="30971"/>
    <cellStyle name="Итог 7 3 3 2 2 4" xfId="40846"/>
    <cellStyle name="Итог 7 3 3 2 3" xfId="20226"/>
    <cellStyle name="Итог 7 3 3 2 3 2" xfId="34036"/>
    <cellStyle name="Итог 7 3 3 2 3 3" xfId="43904"/>
    <cellStyle name="Итог 7 3 3 2 4" xfId="28763"/>
    <cellStyle name="Итог 7 3 3 2 5" xfId="38638"/>
    <cellStyle name="Итог 7 3 3 3" xfId="14471"/>
    <cellStyle name="Итог 7 3 3 3 2" xfId="19754"/>
    <cellStyle name="Итог 7 3 3 3 2 2" xfId="33564"/>
    <cellStyle name="Итог 7 3 3 3 2 3" xfId="43432"/>
    <cellStyle name="Итог 7 3 3 3 3" xfId="28291"/>
    <cellStyle name="Итог 7 3 3 3 4" xfId="38166"/>
    <cellStyle name="Итог 7 3 3 4" xfId="20884"/>
    <cellStyle name="Итог 7 3 3 5" xfId="21440"/>
    <cellStyle name="Итог 7 3 3 6" xfId="22633"/>
    <cellStyle name="Итог 7 3 3 7" xfId="24121"/>
    <cellStyle name="Итог 7 3 3 8" xfId="25919"/>
    <cellStyle name="Итог 7 3 3 9" xfId="35794"/>
    <cellStyle name="Итог 7 3 4" xfId="11783"/>
    <cellStyle name="Итог 7 3 4 2" xfId="14681"/>
    <cellStyle name="Итог 7 3 4 2 2" xfId="19964"/>
    <cellStyle name="Итог 7 3 4 2 2 2" xfId="33774"/>
    <cellStyle name="Итог 7 3 4 2 2 3" xfId="43642"/>
    <cellStyle name="Итог 7 3 4 2 3" xfId="28501"/>
    <cellStyle name="Итог 7 3 4 2 4" xfId="38376"/>
    <cellStyle name="Итог 7 3 4 3" xfId="15914"/>
    <cellStyle name="Итог 7 3 4 3 2" xfId="23001"/>
    <cellStyle name="Итог 7 3 4 3 3" xfId="24546"/>
    <cellStyle name="Итог 7 3 4 3 4" xfId="29733"/>
    <cellStyle name="Итог 7 3 4 3 5" xfId="39608"/>
    <cellStyle name="Итог 7 3 4 4" xfId="23481"/>
    <cellStyle name="Итог 7 3 4 5" xfId="25657"/>
    <cellStyle name="Итог 7 3 4 6" xfId="35532"/>
    <cellStyle name="Итог 7 3 5" xfId="12365"/>
    <cellStyle name="Итог 7 3 5 2" xfId="17697"/>
    <cellStyle name="Итог 7 3 5 2 2" xfId="31507"/>
    <cellStyle name="Итог 7 3 5 2 3" xfId="41380"/>
    <cellStyle name="Итог 7 3 5 3" xfId="20548"/>
    <cellStyle name="Итог 7 3 5 4" xfId="26239"/>
    <cellStyle name="Итог 7 3 5 5" xfId="36114"/>
    <cellStyle name="Итог 7 3 6" xfId="13456"/>
    <cellStyle name="Итог 7 3 6 2" xfId="16207"/>
    <cellStyle name="Итог 7 3 6 2 2" xfId="30025"/>
    <cellStyle name="Итог 7 3 6 2 3" xfId="39900"/>
    <cellStyle name="Итог 7 3 6 3" xfId="18788"/>
    <cellStyle name="Итог 7 3 6 3 2" xfId="32598"/>
    <cellStyle name="Итог 7 3 6 3 3" xfId="42470"/>
    <cellStyle name="Итог 7 3 6 4" xfId="27329"/>
    <cellStyle name="Итог 7 3 6 5" xfId="37204"/>
    <cellStyle name="Итог 7 3 7" xfId="13406"/>
    <cellStyle name="Итог 7 3 7 2" xfId="18738"/>
    <cellStyle name="Итог 7 3 7 2 2" xfId="32548"/>
    <cellStyle name="Итог 7 3 7 2 3" xfId="42420"/>
    <cellStyle name="Итог 7 3 7 3" xfId="27279"/>
    <cellStyle name="Итог 7 3 7 4" xfId="37154"/>
    <cellStyle name="Итог 7 3 8" xfId="17361"/>
    <cellStyle name="Итог 7 3 8 2" xfId="23879"/>
    <cellStyle name="Итог 7 3 8 3" xfId="31172"/>
    <cellStyle name="Итог 7 3 8 4" xfId="41046"/>
    <cellStyle name="Итог 7 3 9" xfId="24795"/>
    <cellStyle name="Итог 7 4" xfId="9331"/>
    <cellStyle name="Итог 7 5" xfId="9339"/>
    <cellStyle name="Итог 7 6" xfId="9340"/>
    <cellStyle name="Итог 7 7" xfId="9341"/>
    <cellStyle name="Итог 7 8" xfId="9342"/>
    <cellStyle name="Итог 7 9" xfId="9343"/>
    <cellStyle name="Итог 8" xfId="1659"/>
    <cellStyle name="Итог 8 10" xfId="9345"/>
    <cellStyle name="Итог 8 11" xfId="9346"/>
    <cellStyle name="Итог 8 12" xfId="9347"/>
    <cellStyle name="Итог 8 13" xfId="9348"/>
    <cellStyle name="Итог 8 14" xfId="9349"/>
    <cellStyle name="Итог 8 15" xfId="11904"/>
    <cellStyle name="Итог 8 15 2" xfId="14802"/>
    <cellStyle name="Итог 8 15 2 2" xfId="17016"/>
    <cellStyle name="Итог 8 15 2 2 2" xfId="23068"/>
    <cellStyle name="Итог 8 15 2 2 3" xfId="30830"/>
    <cellStyle name="Итог 8 15 2 2 4" xfId="40705"/>
    <cellStyle name="Итог 8 15 2 3" xfId="20085"/>
    <cellStyle name="Итог 8 15 2 3 2" xfId="33895"/>
    <cellStyle name="Итог 8 15 2 3 3" xfId="43763"/>
    <cellStyle name="Итог 8 15 2 4" xfId="28622"/>
    <cellStyle name="Итог 8 15 2 5" xfId="38497"/>
    <cellStyle name="Итог 8 15 3" xfId="14447"/>
    <cellStyle name="Итог 8 15 3 2" xfId="19730"/>
    <cellStyle name="Итог 8 15 3 2 2" xfId="33540"/>
    <cellStyle name="Итог 8 15 3 2 3" xfId="43408"/>
    <cellStyle name="Итог 8 15 3 3" xfId="28267"/>
    <cellStyle name="Итог 8 15 3 4" xfId="38142"/>
    <cellStyle name="Итог 8 15 4" xfId="20743"/>
    <cellStyle name="Итог 8 15 5" xfId="21299"/>
    <cellStyle name="Итог 8 15 6" xfId="22476"/>
    <cellStyle name="Итог 8 15 7" xfId="23964"/>
    <cellStyle name="Итог 8 15 8" xfId="25778"/>
    <cellStyle name="Итог 8 15 9" xfId="35653"/>
    <cellStyle name="Итог 8 16" xfId="12128"/>
    <cellStyle name="Итог 8 16 10" xfId="35877"/>
    <cellStyle name="Итог 8 16 2" xfId="15026"/>
    <cellStyle name="Итог 8 16 2 2" xfId="20309"/>
    <cellStyle name="Итог 8 16 2 2 2" xfId="34119"/>
    <cellStyle name="Итог 8 16 2 2 3" xfId="43987"/>
    <cellStyle name="Итог 8 16 2 3" xfId="23580"/>
    <cellStyle name="Итог 8 16 2 4" xfId="28846"/>
    <cellStyle name="Итог 8 16 2 5" xfId="38721"/>
    <cellStyle name="Итог 8 16 3" xfId="20615"/>
    <cellStyle name="Итог 8 16 4" xfId="20951"/>
    <cellStyle name="Итог 8 16 5" xfId="21065"/>
    <cellStyle name="Итог 8 16 6" xfId="21507"/>
    <cellStyle name="Итог 8 16 7" xfId="22700"/>
    <cellStyle name="Итог 8 16 8" xfId="24204"/>
    <cellStyle name="Итог 8 16 9" xfId="26002"/>
    <cellStyle name="Итог 8 17" xfId="12208"/>
    <cellStyle name="Итог 8 17 10" xfId="35957"/>
    <cellStyle name="Итог 8 17 2" xfId="15106"/>
    <cellStyle name="Итог 8 17 2 2" xfId="20389"/>
    <cellStyle name="Итог 8 17 2 2 2" xfId="34199"/>
    <cellStyle name="Итог 8 17 2 2 3" xfId="44067"/>
    <cellStyle name="Итог 8 17 2 3" xfId="23660"/>
    <cellStyle name="Итог 8 17 2 4" xfId="28926"/>
    <cellStyle name="Итог 8 17 2 5" xfId="38801"/>
    <cellStyle name="Итог 8 17 3" xfId="20679"/>
    <cellStyle name="Итог 8 17 4" xfId="21015"/>
    <cellStyle name="Итог 8 17 5" xfId="21113"/>
    <cellStyle name="Итог 8 17 6" xfId="21587"/>
    <cellStyle name="Итог 8 17 7" xfId="22780"/>
    <cellStyle name="Итог 8 17 8" xfId="24284"/>
    <cellStyle name="Итог 8 17 9" xfId="26082"/>
    <cellStyle name="Итог 8 18" xfId="11784"/>
    <cellStyle name="Итог 8 18 2" xfId="14682"/>
    <cellStyle name="Итог 8 18 2 2" xfId="19965"/>
    <cellStyle name="Итог 8 18 2 2 2" xfId="33775"/>
    <cellStyle name="Итог 8 18 2 2 3" xfId="43643"/>
    <cellStyle name="Итог 8 18 2 3" xfId="28502"/>
    <cellStyle name="Итог 8 18 2 4" xfId="38377"/>
    <cellStyle name="Итог 8 18 3" xfId="15915"/>
    <cellStyle name="Итог 8 18 3 2" xfId="22799"/>
    <cellStyle name="Итог 8 18 3 3" xfId="24547"/>
    <cellStyle name="Итог 8 18 3 4" xfId="29734"/>
    <cellStyle name="Итог 8 18 3 5" xfId="39609"/>
    <cellStyle name="Итог 8 18 4" xfId="23279"/>
    <cellStyle name="Итог 8 18 5" xfId="25658"/>
    <cellStyle name="Итог 8 18 6" xfId="35533"/>
    <cellStyle name="Итог 8 19" xfId="13457"/>
    <cellStyle name="Итог 8 19 2" xfId="16208"/>
    <cellStyle name="Итог 8 19 2 2" xfId="30026"/>
    <cellStyle name="Итог 8 19 2 3" xfId="39901"/>
    <cellStyle name="Итог 8 19 3" xfId="18789"/>
    <cellStyle name="Итог 8 19 3 2" xfId="32599"/>
    <cellStyle name="Итог 8 19 3 3" xfId="42471"/>
    <cellStyle name="Итог 8 19 4" xfId="27330"/>
    <cellStyle name="Итог 8 19 5" xfId="37205"/>
    <cellStyle name="Итог 8 2" xfId="1660"/>
    <cellStyle name="Итог 8 2 10" xfId="34414"/>
    <cellStyle name="Итог 8 2 11" xfId="34473"/>
    <cellStyle name="Итог 8 2 2" xfId="9350"/>
    <cellStyle name="Итог 8 2 3" xfId="12046"/>
    <cellStyle name="Итог 8 2 3 2" xfId="14944"/>
    <cellStyle name="Итог 8 2 3 2 2" xfId="17158"/>
    <cellStyle name="Итог 8 2 3 2 2 2" xfId="23210"/>
    <cellStyle name="Итог 8 2 3 2 2 3" xfId="30972"/>
    <cellStyle name="Итог 8 2 3 2 2 4" xfId="40847"/>
    <cellStyle name="Итог 8 2 3 2 3" xfId="20227"/>
    <cellStyle name="Итог 8 2 3 2 3 2" xfId="34037"/>
    <cellStyle name="Итог 8 2 3 2 3 3" xfId="43905"/>
    <cellStyle name="Итог 8 2 3 2 4" xfId="28764"/>
    <cellStyle name="Итог 8 2 3 2 5" xfId="38639"/>
    <cellStyle name="Итог 8 2 3 3" xfId="14392"/>
    <cellStyle name="Итог 8 2 3 3 2" xfId="19675"/>
    <cellStyle name="Итог 8 2 3 3 2 2" xfId="33485"/>
    <cellStyle name="Итог 8 2 3 3 2 3" xfId="43354"/>
    <cellStyle name="Итог 8 2 3 3 3" xfId="28213"/>
    <cellStyle name="Итог 8 2 3 3 4" xfId="38088"/>
    <cellStyle name="Итог 8 2 3 4" xfId="20885"/>
    <cellStyle name="Итог 8 2 3 5" xfId="21441"/>
    <cellStyle name="Итог 8 2 3 6" xfId="22634"/>
    <cellStyle name="Итог 8 2 3 7" xfId="24122"/>
    <cellStyle name="Итог 8 2 3 8" xfId="25920"/>
    <cellStyle name="Итог 8 2 3 9" xfId="35795"/>
    <cellStyle name="Итог 8 2 4" xfId="11785"/>
    <cellStyle name="Итог 8 2 4 2" xfId="14683"/>
    <cellStyle name="Итог 8 2 4 2 2" xfId="19966"/>
    <cellStyle name="Итог 8 2 4 2 2 2" xfId="33776"/>
    <cellStyle name="Итог 8 2 4 2 2 3" xfId="43644"/>
    <cellStyle name="Итог 8 2 4 2 3" xfId="28503"/>
    <cellStyle name="Итог 8 2 4 2 4" xfId="38378"/>
    <cellStyle name="Итог 8 2 4 3" xfId="15916"/>
    <cellStyle name="Итог 8 2 4 3 2" xfId="23002"/>
    <cellStyle name="Итог 8 2 4 3 3" xfId="24548"/>
    <cellStyle name="Итог 8 2 4 3 4" xfId="29735"/>
    <cellStyle name="Итог 8 2 4 3 5" xfId="39610"/>
    <cellStyle name="Итог 8 2 4 4" xfId="23482"/>
    <cellStyle name="Итог 8 2 4 5" xfId="25659"/>
    <cellStyle name="Итог 8 2 4 6" xfId="35534"/>
    <cellStyle name="Итог 8 2 5" xfId="12366"/>
    <cellStyle name="Итог 8 2 5 2" xfId="17698"/>
    <cellStyle name="Итог 8 2 5 2 2" xfId="31508"/>
    <cellStyle name="Итог 8 2 5 2 3" xfId="41381"/>
    <cellStyle name="Итог 8 2 5 3" xfId="20549"/>
    <cellStyle name="Итог 8 2 5 4" xfId="26240"/>
    <cellStyle name="Итог 8 2 5 5" xfId="36115"/>
    <cellStyle name="Итог 8 2 6" xfId="13458"/>
    <cellStyle name="Итог 8 2 6 2" xfId="16209"/>
    <cellStyle name="Итог 8 2 6 2 2" xfId="30027"/>
    <cellStyle name="Итог 8 2 6 2 3" xfId="39902"/>
    <cellStyle name="Итог 8 2 6 3" xfId="18790"/>
    <cellStyle name="Итог 8 2 6 3 2" xfId="32600"/>
    <cellStyle name="Итог 8 2 6 3 3" xfId="42472"/>
    <cellStyle name="Итог 8 2 6 4" xfId="27331"/>
    <cellStyle name="Итог 8 2 6 5" xfId="37206"/>
    <cellStyle name="Итог 8 2 7" xfId="13408"/>
    <cellStyle name="Итог 8 2 7 2" xfId="18740"/>
    <cellStyle name="Итог 8 2 7 2 2" xfId="32550"/>
    <cellStyle name="Итог 8 2 7 2 3" xfId="42422"/>
    <cellStyle name="Итог 8 2 7 3" xfId="27281"/>
    <cellStyle name="Итог 8 2 7 4" xfId="37156"/>
    <cellStyle name="Итог 8 2 8" xfId="17363"/>
    <cellStyle name="Итог 8 2 8 2" xfId="23881"/>
    <cellStyle name="Итог 8 2 8 3" xfId="31174"/>
    <cellStyle name="Итог 8 2 8 4" xfId="41048"/>
    <cellStyle name="Итог 8 2 9" xfId="24797"/>
    <cellStyle name="Итог 8 20" xfId="13407"/>
    <cellStyle name="Итог 8 20 2" xfId="18739"/>
    <cellStyle name="Итог 8 20 2 2" xfId="32549"/>
    <cellStyle name="Итог 8 20 2 3" xfId="42421"/>
    <cellStyle name="Итог 8 20 3" xfId="27280"/>
    <cellStyle name="Итог 8 20 4" xfId="37155"/>
    <cellStyle name="Итог 8 21" xfId="17362"/>
    <cellStyle name="Итог 8 21 2" xfId="21132"/>
    <cellStyle name="Итог 8 21 3" xfId="31173"/>
    <cellStyle name="Итог 8 21 4" xfId="41047"/>
    <cellStyle name="Итог 8 22" xfId="23880"/>
    <cellStyle name="Итог 8 23" xfId="24796"/>
    <cellStyle name="Итог 8 24" xfId="34413"/>
    <cellStyle name="Итог 8 25" xfId="34474"/>
    <cellStyle name="Итог 8 3" xfId="1661"/>
    <cellStyle name="Итог 8 3 10" xfId="34415"/>
    <cellStyle name="Итог 8 3 11" xfId="34472"/>
    <cellStyle name="Итог 8 3 2" xfId="9351"/>
    <cellStyle name="Итог 8 3 3" xfId="12047"/>
    <cellStyle name="Итог 8 3 3 2" xfId="14945"/>
    <cellStyle name="Итог 8 3 3 2 2" xfId="17159"/>
    <cellStyle name="Итог 8 3 3 2 2 2" xfId="23211"/>
    <cellStyle name="Итог 8 3 3 2 2 3" xfId="30973"/>
    <cellStyle name="Итог 8 3 3 2 2 4" xfId="40848"/>
    <cellStyle name="Итог 8 3 3 2 3" xfId="20228"/>
    <cellStyle name="Итог 8 3 3 2 3 2" xfId="34038"/>
    <cellStyle name="Итог 8 3 3 2 3 3" xfId="43906"/>
    <cellStyle name="Итог 8 3 3 2 4" xfId="28765"/>
    <cellStyle name="Итог 8 3 3 2 5" xfId="38640"/>
    <cellStyle name="Итог 8 3 3 3" xfId="14393"/>
    <cellStyle name="Итог 8 3 3 3 2" xfId="19676"/>
    <cellStyle name="Итог 8 3 3 3 2 2" xfId="33486"/>
    <cellStyle name="Итог 8 3 3 3 2 3" xfId="43355"/>
    <cellStyle name="Итог 8 3 3 3 3" xfId="28214"/>
    <cellStyle name="Итог 8 3 3 3 4" xfId="38089"/>
    <cellStyle name="Итог 8 3 3 4" xfId="20886"/>
    <cellStyle name="Итог 8 3 3 5" xfId="21442"/>
    <cellStyle name="Итог 8 3 3 6" xfId="22635"/>
    <cellStyle name="Итог 8 3 3 7" xfId="24123"/>
    <cellStyle name="Итог 8 3 3 8" xfId="25921"/>
    <cellStyle name="Итог 8 3 3 9" xfId="35796"/>
    <cellStyle name="Итог 8 3 4" xfId="11786"/>
    <cellStyle name="Итог 8 3 4 2" xfId="14684"/>
    <cellStyle name="Итог 8 3 4 2 2" xfId="19967"/>
    <cellStyle name="Итог 8 3 4 2 2 2" xfId="33777"/>
    <cellStyle name="Итог 8 3 4 2 2 3" xfId="43645"/>
    <cellStyle name="Итог 8 3 4 2 3" xfId="28504"/>
    <cellStyle name="Итог 8 3 4 2 4" xfId="38379"/>
    <cellStyle name="Итог 8 3 4 3" xfId="15917"/>
    <cellStyle name="Итог 8 3 4 3 2" xfId="23003"/>
    <cellStyle name="Итог 8 3 4 3 3" xfId="24549"/>
    <cellStyle name="Итог 8 3 4 3 4" xfId="29736"/>
    <cellStyle name="Итог 8 3 4 3 5" xfId="39611"/>
    <cellStyle name="Итог 8 3 4 4" xfId="23483"/>
    <cellStyle name="Итог 8 3 4 5" xfId="25660"/>
    <cellStyle name="Итог 8 3 4 6" xfId="35535"/>
    <cellStyle name="Итог 8 3 5" xfId="12367"/>
    <cellStyle name="Итог 8 3 5 2" xfId="17699"/>
    <cellStyle name="Итог 8 3 5 2 2" xfId="31509"/>
    <cellStyle name="Итог 8 3 5 2 3" xfId="41382"/>
    <cellStyle name="Итог 8 3 5 3" xfId="20550"/>
    <cellStyle name="Итог 8 3 5 4" xfId="26241"/>
    <cellStyle name="Итог 8 3 5 5" xfId="36116"/>
    <cellStyle name="Итог 8 3 6" xfId="13459"/>
    <cellStyle name="Итог 8 3 6 2" xfId="16210"/>
    <cellStyle name="Итог 8 3 6 2 2" xfId="30028"/>
    <cellStyle name="Итог 8 3 6 2 3" xfId="39903"/>
    <cellStyle name="Итог 8 3 6 3" xfId="18791"/>
    <cellStyle name="Итог 8 3 6 3 2" xfId="32601"/>
    <cellStyle name="Итог 8 3 6 3 3" xfId="42473"/>
    <cellStyle name="Итог 8 3 6 4" xfId="27332"/>
    <cellStyle name="Итог 8 3 6 5" xfId="37207"/>
    <cellStyle name="Итог 8 3 7" xfId="13409"/>
    <cellStyle name="Итог 8 3 7 2" xfId="18741"/>
    <cellStyle name="Итог 8 3 7 2 2" xfId="32551"/>
    <cellStyle name="Итог 8 3 7 2 3" xfId="42423"/>
    <cellStyle name="Итог 8 3 7 3" xfId="27282"/>
    <cellStyle name="Итог 8 3 7 4" xfId="37157"/>
    <cellStyle name="Итог 8 3 8" xfId="17364"/>
    <cellStyle name="Итог 8 3 8 2" xfId="23882"/>
    <cellStyle name="Итог 8 3 8 3" xfId="31175"/>
    <cellStyle name="Итог 8 3 8 4" xfId="41049"/>
    <cellStyle name="Итог 8 3 9" xfId="24798"/>
    <cellStyle name="Итог 8 4" xfId="9344"/>
    <cellStyle name="Итог 8 5" xfId="9352"/>
    <cellStyle name="Итог 8 6" xfId="9353"/>
    <cellStyle name="Итог 8 7" xfId="9354"/>
    <cellStyle name="Итог 8 8" xfId="9355"/>
    <cellStyle name="Итог 8 9" xfId="9356"/>
    <cellStyle name="Итог 9" xfId="1662"/>
    <cellStyle name="Итог 9 10" xfId="9358"/>
    <cellStyle name="Итог 9 11" xfId="9359"/>
    <cellStyle name="Итог 9 12" xfId="9360"/>
    <cellStyle name="Итог 9 13" xfId="9361"/>
    <cellStyle name="Итог 9 14" xfId="9362"/>
    <cellStyle name="Итог 9 15" xfId="11905"/>
    <cellStyle name="Итог 9 15 2" xfId="14803"/>
    <cellStyle name="Итог 9 15 2 2" xfId="17017"/>
    <cellStyle name="Итог 9 15 2 2 2" xfId="23069"/>
    <cellStyle name="Итог 9 15 2 2 3" xfId="30831"/>
    <cellStyle name="Итог 9 15 2 2 4" xfId="40706"/>
    <cellStyle name="Итог 9 15 2 3" xfId="20086"/>
    <cellStyle name="Итог 9 15 2 3 2" xfId="33896"/>
    <cellStyle name="Итог 9 15 2 3 3" xfId="43764"/>
    <cellStyle name="Итог 9 15 2 4" xfId="28623"/>
    <cellStyle name="Итог 9 15 2 5" xfId="38498"/>
    <cellStyle name="Итог 9 15 3" xfId="13620"/>
    <cellStyle name="Итог 9 15 3 2" xfId="18903"/>
    <cellStyle name="Итог 9 15 3 2 2" xfId="32713"/>
    <cellStyle name="Итог 9 15 3 2 3" xfId="42583"/>
    <cellStyle name="Итог 9 15 3 3" xfId="27442"/>
    <cellStyle name="Итог 9 15 3 4" xfId="37317"/>
    <cellStyle name="Итог 9 15 4" xfId="20744"/>
    <cellStyle name="Итог 9 15 5" xfId="21300"/>
    <cellStyle name="Итог 9 15 6" xfId="22477"/>
    <cellStyle name="Итог 9 15 7" xfId="23965"/>
    <cellStyle name="Итог 9 15 8" xfId="25779"/>
    <cellStyle name="Итог 9 15 9" xfId="35654"/>
    <cellStyle name="Итог 9 16" xfId="12129"/>
    <cellStyle name="Итог 9 16 10" xfId="35878"/>
    <cellStyle name="Итог 9 16 2" xfId="15027"/>
    <cellStyle name="Итог 9 16 2 2" xfId="20310"/>
    <cellStyle name="Итог 9 16 2 2 2" xfId="34120"/>
    <cellStyle name="Итог 9 16 2 2 3" xfId="43988"/>
    <cellStyle name="Итог 9 16 2 3" xfId="23581"/>
    <cellStyle name="Итог 9 16 2 4" xfId="28847"/>
    <cellStyle name="Итог 9 16 2 5" xfId="38722"/>
    <cellStyle name="Итог 9 16 3" xfId="20616"/>
    <cellStyle name="Итог 9 16 4" xfId="20952"/>
    <cellStyle name="Итог 9 16 5" xfId="21066"/>
    <cellStyle name="Итог 9 16 6" xfId="21508"/>
    <cellStyle name="Итог 9 16 7" xfId="22701"/>
    <cellStyle name="Итог 9 16 8" xfId="24205"/>
    <cellStyle name="Итог 9 16 9" xfId="26003"/>
    <cellStyle name="Итог 9 17" xfId="12209"/>
    <cellStyle name="Итог 9 17 10" xfId="35958"/>
    <cellStyle name="Итог 9 17 2" xfId="15107"/>
    <cellStyle name="Итог 9 17 2 2" xfId="20390"/>
    <cellStyle name="Итог 9 17 2 2 2" xfId="34200"/>
    <cellStyle name="Итог 9 17 2 2 3" xfId="44068"/>
    <cellStyle name="Итог 9 17 2 3" xfId="23661"/>
    <cellStyle name="Итог 9 17 2 4" xfId="28927"/>
    <cellStyle name="Итог 9 17 2 5" xfId="38802"/>
    <cellStyle name="Итог 9 17 3" xfId="20680"/>
    <cellStyle name="Итог 9 17 4" xfId="21016"/>
    <cellStyle name="Итог 9 17 5" xfId="21114"/>
    <cellStyle name="Итог 9 17 6" xfId="21588"/>
    <cellStyle name="Итог 9 17 7" xfId="22781"/>
    <cellStyle name="Итог 9 17 8" xfId="24285"/>
    <cellStyle name="Итог 9 17 9" xfId="26083"/>
    <cellStyle name="Итог 9 18" xfId="11787"/>
    <cellStyle name="Итог 9 18 2" xfId="14685"/>
    <cellStyle name="Итог 9 18 2 2" xfId="19968"/>
    <cellStyle name="Итог 9 18 2 2 2" xfId="33778"/>
    <cellStyle name="Итог 9 18 2 2 3" xfId="43646"/>
    <cellStyle name="Итог 9 18 2 3" xfId="28505"/>
    <cellStyle name="Итог 9 18 2 4" xfId="38380"/>
    <cellStyle name="Итог 9 18 3" xfId="15918"/>
    <cellStyle name="Итог 9 18 3 2" xfId="22798"/>
    <cellStyle name="Итог 9 18 3 3" xfId="24550"/>
    <cellStyle name="Итог 9 18 3 4" xfId="29737"/>
    <cellStyle name="Итог 9 18 3 5" xfId="39612"/>
    <cellStyle name="Итог 9 18 4" xfId="23278"/>
    <cellStyle name="Итог 9 18 5" xfId="25661"/>
    <cellStyle name="Итог 9 18 6" xfId="35536"/>
    <cellStyle name="Итог 9 19" xfId="13460"/>
    <cellStyle name="Итог 9 19 2" xfId="16211"/>
    <cellStyle name="Итог 9 19 2 2" xfId="30029"/>
    <cellStyle name="Итог 9 19 2 3" xfId="39904"/>
    <cellStyle name="Итог 9 19 3" xfId="18792"/>
    <cellStyle name="Итог 9 19 3 2" xfId="32602"/>
    <cellStyle name="Итог 9 19 3 3" xfId="42474"/>
    <cellStyle name="Итог 9 19 4" xfId="27333"/>
    <cellStyle name="Итог 9 19 5" xfId="37208"/>
    <cellStyle name="Итог 9 2" xfId="1663"/>
    <cellStyle name="Итог 9 2 10" xfId="34417"/>
    <cellStyle name="Итог 9 2 11" xfId="34470"/>
    <cellStyle name="Итог 9 2 2" xfId="9363"/>
    <cellStyle name="Итог 9 2 3" xfId="12048"/>
    <cellStyle name="Итог 9 2 3 2" xfId="14946"/>
    <cellStyle name="Итог 9 2 3 2 2" xfId="17160"/>
    <cellStyle name="Итог 9 2 3 2 2 2" xfId="23212"/>
    <cellStyle name="Итог 9 2 3 2 2 3" xfId="30974"/>
    <cellStyle name="Итог 9 2 3 2 2 4" xfId="40849"/>
    <cellStyle name="Итог 9 2 3 2 3" xfId="20229"/>
    <cellStyle name="Итог 9 2 3 2 3 2" xfId="34039"/>
    <cellStyle name="Итог 9 2 3 2 3 3" xfId="43907"/>
    <cellStyle name="Итог 9 2 3 2 4" xfId="28766"/>
    <cellStyle name="Итог 9 2 3 2 5" xfId="38641"/>
    <cellStyle name="Итог 9 2 3 3" xfId="14394"/>
    <cellStyle name="Итог 9 2 3 3 2" xfId="19677"/>
    <cellStyle name="Итог 9 2 3 3 2 2" xfId="33487"/>
    <cellStyle name="Итог 9 2 3 3 2 3" xfId="43356"/>
    <cellStyle name="Итог 9 2 3 3 3" xfId="28215"/>
    <cellStyle name="Итог 9 2 3 3 4" xfId="38090"/>
    <cellStyle name="Итог 9 2 3 4" xfId="20887"/>
    <cellStyle name="Итог 9 2 3 5" xfId="21443"/>
    <cellStyle name="Итог 9 2 3 6" xfId="22636"/>
    <cellStyle name="Итог 9 2 3 7" xfId="24124"/>
    <cellStyle name="Итог 9 2 3 8" xfId="25922"/>
    <cellStyle name="Итог 9 2 3 9" xfId="35797"/>
    <cellStyle name="Итог 9 2 4" xfId="11788"/>
    <cellStyle name="Итог 9 2 4 2" xfId="14686"/>
    <cellStyle name="Итог 9 2 4 2 2" xfId="19969"/>
    <cellStyle name="Итог 9 2 4 2 2 2" xfId="33779"/>
    <cellStyle name="Итог 9 2 4 2 2 3" xfId="43647"/>
    <cellStyle name="Итог 9 2 4 2 3" xfId="28506"/>
    <cellStyle name="Итог 9 2 4 2 4" xfId="38381"/>
    <cellStyle name="Итог 9 2 4 3" xfId="15919"/>
    <cellStyle name="Итог 9 2 4 3 2" xfId="23004"/>
    <cellStyle name="Итог 9 2 4 3 3" xfId="24551"/>
    <cellStyle name="Итог 9 2 4 3 4" xfId="29738"/>
    <cellStyle name="Итог 9 2 4 3 5" xfId="39613"/>
    <cellStyle name="Итог 9 2 4 4" xfId="23484"/>
    <cellStyle name="Итог 9 2 4 5" xfId="25662"/>
    <cellStyle name="Итог 9 2 4 6" xfId="35537"/>
    <cellStyle name="Итог 9 2 5" xfId="12368"/>
    <cellStyle name="Итог 9 2 5 2" xfId="17700"/>
    <cellStyle name="Итог 9 2 5 2 2" xfId="31510"/>
    <cellStyle name="Итог 9 2 5 2 3" xfId="41383"/>
    <cellStyle name="Итог 9 2 5 3" xfId="20551"/>
    <cellStyle name="Итог 9 2 5 4" xfId="26242"/>
    <cellStyle name="Итог 9 2 5 5" xfId="36117"/>
    <cellStyle name="Итог 9 2 6" xfId="13461"/>
    <cellStyle name="Итог 9 2 6 2" xfId="16212"/>
    <cellStyle name="Итог 9 2 6 2 2" xfId="30030"/>
    <cellStyle name="Итог 9 2 6 2 3" xfId="39905"/>
    <cellStyle name="Итог 9 2 6 3" xfId="18793"/>
    <cellStyle name="Итог 9 2 6 3 2" xfId="32603"/>
    <cellStyle name="Итог 9 2 6 3 3" xfId="42475"/>
    <cellStyle name="Итог 9 2 6 4" xfId="27334"/>
    <cellStyle name="Итог 9 2 6 5" xfId="37209"/>
    <cellStyle name="Итог 9 2 7" xfId="13411"/>
    <cellStyle name="Итог 9 2 7 2" xfId="18743"/>
    <cellStyle name="Итог 9 2 7 2 2" xfId="32553"/>
    <cellStyle name="Итог 9 2 7 2 3" xfId="42425"/>
    <cellStyle name="Итог 9 2 7 3" xfId="27284"/>
    <cellStyle name="Итог 9 2 7 4" xfId="37159"/>
    <cellStyle name="Итог 9 2 8" xfId="17366"/>
    <cellStyle name="Итог 9 2 8 2" xfId="23884"/>
    <cellStyle name="Итог 9 2 8 3" xfId="31177"/>
    <cellStyle name="Итог 9 2 8 4" xfId="41051"/>
    <cellStyle name="Итог 9 2 9" xfId="24800"/>
    <cellStyle name="Итог 9 20" xfId="13410"/>
    <cellStyle name="Итог 9 20 2" xfId="18742"/>
    <cellStyle name="Итог 9 20 2 2" xfId="32552"/>
    <cellStyle name="Итог 9 20 2 3" xfId="42424"/>
    <cellStyle name="Итог 9 20 3" xfId="27283"/>
    <cellStyle name="Итог 9 20 4" xfId="37158"/>
    <cellStyle name="Итог 9 21" xfId="17365"/>
    <cellStyle name="Итог 9 21 2" xfId="21131"/>
    <cellStyle name="Итог 9 21 3" xfId="31176"/>
    <cellStyle name="Итог 9 21 4" xfId="41050"/>
    <cellStyle name="Итог 9 22" xfId="23883"/>
    <cellStyle name="Итог 9 23" xfId="24799"/>
    <cellStyle name="Итог 9 24" xfId="34416"/>
    <cellStyle name="Итог 9 25" xfId="34471"/>
    <cellStyle name="Итог 9 3" xfId="1664"/>
    <cellStyle name="Итог 9 3 10" xfId="34418"/>
    <cellStyle name="Итог 9 3 11" xfId="34469"/>
    <cellStyle name="Итог 9 3 2" xfId="9364"/>
    <cellStyle name="Итог 9 3 3" xfId="12049"/>
    <cellStyle name="Итог 9 3 3 2" xfId="14947"/>
    <cellStyle name="Итог 9 3 3 2 2" xfId="17161"/>
    <cellStyle name="Итог 9 3 3 2 2 2" xfId="23213"/>
    <cellStyle name="Итог 9 3 3 2 2 3" xfId="30975"/>
    <cellStyle name="Итог 9 3 3 2 2 4" xfId="40850"/>
    <cellStyle name="Итог 9 3 3 2 3" xfId="20230"/>
    <cellStyle name="Итог 9 3 3 2 3 2" xfId="34040"/>
    <cellStyle name="Итог 9 3 3 2 3 3" xfId="43908"/>
    <cellStyle name="Итог 9 3 3 2 4" xfId="28767"/>
    <cellStyle name="Итог 9 3 3 2 5" xfId="38642"/>
    <cellStyle name="Итог 9 3 3 3" xfId="13017"/>
    <cellStyle name="Итог 9 3 3 3 2" xfId="18349"/>
    <cellStyle name="Итог 9 3 3 3 2 2" xfId="32159"/>
    <cellStyle name="Итог 9 3 3 3 2 3" xfId="42032"/>
    <cellStyle name="Итог 9 3 3 3 3" xfId="26891"/>
    <cellStyle name="Итог 9 3 3 3 4" xfId="36766"/>
    <cellStyle name="Итог 9 3 3 4" xfId="20888"/>
    <cellStyle name="Итог 9 3 3 5" xfId="21444"/>
    <cellStyle name="Итог 9 3 3 6" xfId="22637"/>
    <cellStyle name="Итог 9 3 3 7" xfId="24125"/>
    <cellStyle name="Итог 9 3 3 8" xfId="25923"/>
    <cellStyle name="Итог 9 3 3 9" xfId="35798"/>
    <cellStyle name="Итог 9 3 4" xfId="11789"/>
    <cellStyle name="Итог 9 3 4 2" xfId="14687"/>
    <cellStyle name="Итог 9 3 4 2 2" xfId="19970"/>
    <cellStyle name="Итог 9 3 4 2 2 2" xfId="33780"/>
    <cellStyle name="Итог 9 3 4 2 2 3" xfId="43648"/>
    <cellStyle name="Итог 9 3 4 2 3" xfId="28507"/>
    <cellStyle name="Итог 9 3 4 2 4" xfId="38382"/>
    <cellStyle name="Итог 9 3 4 3" xfId="15920"/>
    <cellStyle name="Итог 9 3 4 3 2" xfId="23005"/>
    <cellStyle name="Итог 9 3 4 3 3" xfId="24552"/>
    <cellStyle name="Итог 9 3 4 3 4" xfId="29739"/>
    <cellStyle name="Итог 9 3 4 3 5" xfId="39614"/>
    <cellStyle name="Итог 9 3 4 4" xfId="23485"/>
    <cellStyle name="Итог 9 3 4 5" xfId="25663"/>
    <cellStyle name="Итог 9 3 4 6" xfId="35538"/>
    <cellStyle name="Итог 9 3 5" xfId="12369"/>
    <cellStyle name="Итог 9 3 5 2" xfId="17701"/>
    <cellStyle name="Итог 9 3 5 2 2" xfId="31511"/>
    <cellStyle name="Итог 9 3 5 2 3" xfId="41384"/>
    <cellStyle name="Итог 9 3 5 3" xfId="20552"/>
    <cellStyle name="Итог 9 3 5 4" xfId="26243"/>
    <cellStyle name="Итог 9 3 5 5" xfId="36118"/>
    <cellStyle name="Итог 9 3 6" xfId="13462"/>
    <cellStyle name="Итог 9 3 6 2" xfId="16213"/>
    <cellStyle name="Итог 9 3 6 2 2" xfId="30031"/>
    <cellStyle name="Итог 9 3 6 2 3" xfId="39906"/>
    <cellStyle name="Итог 9 3 6 3" xfId="18794"/>
    <cellStyle name="Итог 9 3 6 3 2" xfId="32604"/>
    <cellStyle name="Итог 9 3 6 3 3" xfId="42476"/>
    <cellStyle name="Итог 9 3 6 4" xfId="27335"/>
    <cellStyle name="Итог 9 3 6 5" xfId="37210"/>
    <cellStyle name="Итог 9 3 7" xfId="13412"/>
    <cellStyle name="Итог 9 3 7 2" xfId="18744"/>
    <cellStyle name="Итог 9 3 7 2 2" xfId="32554"/>
    <cellStyle name="Итог 9 3 7 2 3" xfId="42426"/>
    <cellStyle name="Итог 9 3 7 3" xfId="27285"/>
    <cellStyle name="Итог 9 3 7 4" xfId="37160"/>
    <cellStyle name="Итог 9 3 8" xfId="17367"/>
    <cellStyle name="Итог 9 3 8 2" xfId="23885"/>
    <cellStyle name="Итог 9 3 8 3" xfId="31178"/>
    <cellStyle name="Итог 9 3 8 4" xfId="41052"/>
    <cellStyle name="Итог 9 3 9" xfId="24801"/>
    <cellStyle name="Итог 9 4" xfId="9357"/>
    <cellStyle name="Итог 9 5" xfId="9365"/>
    <cellStyle name="Итог 9 6" xfId="9366"/>
    <cellStyle name="Итог 9 7" xfId="9367"/>
    <cellStyle name="Итог 9 8" xfId="9368"/>
    <cellStyle name="Итог 9 9" xfId="9369"/>
    <cellStyle name="Контрольная ячейка 10" xfId="1665"/>
    <cellStyle name="Контрольная ячейка 10 10" xfId="9371"/>
    <cellStyle name="Контрольная ячейка 10 11" xfId="9372"/>
    <cellStyle name="Контрольная ячейка 10 12" xfId="9373"/>
    <cellStyle name="Контрольная ячейка 10 13" xfId="9374"/>
    <cellStyle name="Контрольная ячейка 10 14" xfId="9375"/>
    <cellStyle name="Контрольная ячейка 10 2" xfId="1666"/>
    <cellStyle name="Контрольная ячейка 10 2 2" xfId="9376"/>
    <cellStyle name="Контрольная ячейка 10 3" xfId="1667"/>
    <cellStyle name="Контрольная ячейка 10 3 2" xfId="9377"/>
    <cellStyle name="Контрольная ячейка 10 4" xfId="9370"/>
    <cellStyle name="Контрольная ячейка 10 5" xfId="9378"/>
    <cellStyle name="Контрольная ячейка 10 6" xfId="9379"/>
    <cellStyle name="Контрольная ячейка 10 7" xfId="9380"/>
    <cellStyle name="Контрольная ячейка 10 8" xfId="9381"/>
    <cellStyle name="Контрольная ячейка 10 9" xfId="9382"/>
    <cellStyle name="Контрольная ячейка 11" xfId="1668"/>
    <cellStyle name="Контрольная ячейка 11 10" xfId="9384"/>
    <cellStyle name="Контрольная ячейка 11 11" xfId="9385"/>
    <cellStyle name="Контрольная ячейка 11 12" xfId="9386"/>
    <cellStyle name="Контрольная ячейка 11 13" xfId="9387"/>
    <cellStyle name="Контрольная ячейка 11 14" xfId="9388"/>
    <cellStyle name="Контрольная ячейка 11 2" xfId="1669"/>
    <cellStyle name="Контрольная ячейка 11 2 2" xfId="9389"/>
    <cellStyle name="Контрольная ячейка 11 3" xfId="1670"/>
    <cellStyle name="Контрольная ячейка 11 3 2" xfId="9390"/>
    <cellStyle name="Контрольная ячейка 11 4" xfId="9383"/>
    <cellStyle name="Контрольная ячейка 11 5" xfId="9391"/>
    <cellStyle name="Контрольная ячейка 11 6" xfId="9392"/>
    <cellStyle name="Контрольная ячейка 11 7" xfId="9393"/>
    <cellStyle name="Контрольная ячейка 11 8" xfId="9394"/>
    <cellStyle name="Контрольная ячейка 11 9" xfId="9395"/>
    <cellStyle name="Контрольная ячейка 12" xfId="1671"/>
    <cellStyle name="Контрольная ячейка 12 10" xfId="9397"/>
    <cellStyle name="Контрольная ячейка 12 11" xfId="9398"/>
    <cellStyle name="Контрольная ячейка 12 12" xfId="9399"/>
    <cellStyle name="Контрольная ячейка 12 13" xfId="9400"/>
    <cellStyle name="Контрольная ячейка 12 14" xfId="9401"/>
    <cellStyle name="Контрольная ячейка 12 2" xfId="1672"/>
    <cellStyle name="Контрольная ячейка 12 2 2" xfId="9402"/>
    <cellStyle name="Контрольная ячейка 12 3" xfId="1673"/>
    <cellStyle name="Контрольная ячейка 12 3 2" xfId="9403"/>
    <cellStyle name="Контрольная ячейка 12 4" xfId="9396"/>
    <cellStyle name="Контрольная ячейка 12 5" xfId="9404"/>
    <cellStyle name="Контрольная ячейка 12 6" xfId="9405"/>
    <cellStyle name="Контрольная ячейка 12 7" xfId="9406"/>
    <cellStyle name="Контрольная ячейка 12 8" xfId="9407"/>
    <cellStyle name="Контрольная ячейка 12 9" xfId="9408"/>
    <cellStyle name="Контрольная ячейка 13" xfId="1674"/>
    <cellStyle name="Контрольная ячейка 13 10" xfId="9410"/>
    <cellStyle name="Контрольная ячейка 13 11" xfId="9411"/>
    <cellStyle name="Контрольная ячейка 13 12" xfId="9412"/>
    <cellStyle name="Контрольная ячейка 13 13" xfId="9413"/>
    <cellStyle name="Контрольная ячейка 13 14" xfId="9414"/>
    <cellStyle name="Контрольная ячейка 13 2" xfId="1675"/>
    <cellStyle name="Контрольная ячейка 13 2 2" xfId="9415"/>
    <cellStyle name="Контрольная ячейка 13 3" xfId="1676"/>
    <cellStyle name="Контрольная ячейка 13 3 2" xfId="9416"/>
    <cellStyle name="Контрольная ячейка 13 4" xfId="9409"/>
    <cellStyle name="Контрольная ячейка 13 5" xfId="9417"/>
    <cellStyle name="Контрольная ячейка 13 6" xfId="9418"/>
    <cellStyle name="Контрольная ячейка 13 7" xfId="9419"/>
    <cellStyle name="Контрольная ячейка 13 8" xfId="9420"/>
    <cellStyle name="Контрольная ячейка 13 9" xfId="9421"/>
    <cellStyle name="Контрольная ячейка 14" xfId="1677"/>
    <cellStyle name="Контрольная ячейка 14 10" xfId="9423"/>
    <cellStyle name="Контрольная ячейка 14 11" xfId="9424"/>
    <cellStyle name="Контрольная ячейка 14 12" xfId="9425"/>
    <cellStyle name="Контрольная ячейка 14 13" xfId="9426"/>
    <cellStyle name="Контрольная ячейка 14 14" xfId="9427"/>
    <cellStyle name="Контрольная ячейка 14 2" xfId="1678"/>
    <cellStyle name="Контрольная ячейка 14 2 2" xfId="9428"/>
    <cellStyle name="Контрольная ячейка 14 3" xfId="1679"/>
    <cellStyle name="Контрольная ячейка 14 3 2" xfId="9429"/>
    <cellStyle name="Контрольная ячейка 14 4" xfId="9422"/>
    <cellStyle name="Контрольная ячейка 14 5" xfId="9430"/>
    <cellStyle name="Контрольная ячейка 14 6" xfId="9431"/>
    <cellStyle name="Контрольная ячейка 14 7" xfId="9432"/>
    <cellStyle name="Контрольная ячейка 14 8" xfId="9433"/>
    <cellStyle name="Контрольная ячейка 14 9" xfId="9434"/>
    <cellStyle name="Контрольная ячейка 15" xfId="1680"/>
    <cellStyle name="Контрольная ячейка 15 10" xfId="9436"/>
    <cellStyle name="Контрольная ячейка 15 11" xfId="9437"/>
    <cellStyle name="Контрольная ячейка 15 12" xfId="9438"/>
    <cellStyle name="Контрольная ячейка 15 13" xfId="9439"/>
    <cellStyle name="Контрольная ячейка 15 14" xfId="9440"/>
    <cellStyle name="Контрольная ячейка 15 2" xfId="1681"/>
    <cellStyle name="Контрольная ячейка 15 2 2" xfId="9441"/>
    <cellStyle name="Контрольная ячейка 15 3" xfId="1682"/>
    <cellStyle name="Контрольная ячейка 15 3 2" xfId="9442"/>
    <cellStyle name="Контрольная ячейка 15 4" xfId="9435"/>
    <cellStyle name="Контрольная ячейка 15 5" xfId="9443"/>
    <cellStyle name="Контрольная ячейка 15 6" xfId="9444"/>
    <cellStyle name="Контрольная ячейка 15 7" xfId="9445"/>
    <cellStyle name="Контрольная ячейка 15 8" xfId="9446"/>
    <cellStyle name="Контрольная ячейка 15 9" xfId="9447"/>
    <cellStyle name="Контрольная ячейка 16" xfId="1683"/>
    <cellStyle name="Контрольная ячейка 16 10" xfId="9449"/>
    <cellStyle name="Контрольная ячейка 16 11" xfId="9450"/>
    <cellStyle name="Контрольная ячейка 16 12" xfId="9451"/>
    <cellStyle name="Контрольная ячейка 16 13" xfId="9452"/>
    <cellStyle name="Контрольная ячейка 16 14" xfId="9453"/>
    <cellStyle name="Контрольная ячейка 16 2" xfId="1684"/>
    <cellStyle name="Контрольная ячейка 16 2 2" xfId="9454"/>
    <cellStyle name="Контрольная ячейка 16 3" xfId="1685"/>
    <cellStyle name="Контрольная ячейка 16 3 2" xfId="9455"/>
    <cellStyle name="Контрольная ячейка 16 4" xfId="9448"/>
    <cellStyle name="Контрольная ячейка 16 5" xfId="9456"/>
    <cellStyle name="Контрольная ячейка 16 6" xfId="9457"/>
    <cellStyle name="Контрольная ячейка 16 7" xfId="9458"/>
    <cellStyle name="Контрольная ячейка 16 8" xfId="9459"/>
    <cellStyle name="Контрольная ячейка 16 9" xfId="9460"/>
    <cellStyle name="Контрольная ячейка 17" xfId="1686"/>
    <cellStyle name="Контрольная ячейка 17 10" xfId="9462"/>
    <cellStyle name="Контрольная ячейка 17 11" xfId="9463"/>
    <cellStyle name="Контрольная ячейка 17 12" xfId="9464"/>
    <cellStyle name="Контрольная ячейка 17 13" xfId="9465"/>
    <cellStyle name="Контрольная ячейка 17 14" xfId="9466"/>
    <cellStyle name="Контрольная ячейка 17 2" xfId="1687"/>
    <cellStyle name="Контрольная ячейка 17 2 2" xfId="9467"/>
    <cellStyle name="Контрольная ячейка 17 3" xfId="1688"/>
    <cellStyle name="Контрольная ячейка 17 3 2" xfId="9468"/>
    <cellStyle name="Контрольная ячейка 17 4" xfId="9461"/>
    <cellStyle name="Контрольная ячейка 17 5" xfId="9469"/>
    <cellStyle name="Контрольная ячейка 17 6" xfId="9470"/>
    <cellStyle name="Контрольная ячейка 17 7" xfId="9471"/>
    <cellStyle name="Контрольная ячейка 17 8" xfId="9472"/>
    <cellStyle name="Контрольная ячейка 17 9" xfId="9473"/>
    <cellStyle name="Контрольная ячейка 18" xfId="1689"/>
    <cellStyle name="Контрольная ячейка 18 2" xfId="1690"/>
    <cellStyle name="Контрольная ячейка 18 2 2" xfId="9475"/>
    <cellStyle name="Контрольная ячейка 18 3" xfId="9474"/>
    <cellStyle name="Контрольная ячейка 19" xfId="1691"/>
    <cellStyle name="Контрольная ячейка 19 2" xfId="1692"/>
    <cellStyle name="Контрольная ячейка 19 2 2" xfId="9477"/>
    <cellStyle name="Контрольная ячейка 19 3" xfId="9476"/>
    <cellStyle name="Контрольная ячейка 2" xfId="1693"/>
    <cellStyle name="Контрольная ячейка 2 10" xfId="9479"/>
    <cellStyle name="Контрольная ячейка 2 11" xfId="9480"/>
    <cellStyle name="Контрольная ячейка 2 12" xfId="9481"/>
    <cellStyle name="Контрольная ячейка 2 13" xfId="9482"/>
    <cellStyle name="Контрольная ячейка 2 14" xfId="9483"/>
    <cellStyle name="Контрольная ячейка 2 2" xfId="1694"/>
    <cellStyle name="Контрольная ячейка 2 2 2" xfId="9484"/>
    <cellStyle name="Контрольная ячейка 2 3" xfId="1695"/>
    <cellStyle name="Контрольная ячейка 2 3 2" xfId="9485"/>
    <cellStyle name="Контрольная ячейка 2 4" xfId="9478"/>
    <cellStyle name="Контрольная ячейка 2 5" xfId="9486"/>
    <cellStyle name="Контрольная ячейка 2 6" xfId="9487"/>
    <cellStyle name="Контрольная ячейка 2 7" xfId="9488"/>
    <cellStyle name="Контрольная ячейка 2 8" xfId="9489"/>
    <cellStyle name="Контрольная ячейка 2 9" xfId="9490"/>
    <cellStyle name="Контрольная ячейка 3" xfId="1696"/>
    <cellStyle name="Контрольная ячейка 3 10" xfId="9492"/>
    <cellStyle name="Контрольная ячейка 3 11" xfId="9493"/>
    <cellStyle name="Контрольная ячейка 3 12" xfId="9494"/>
    <cellStyle name="Контрольная ячейка 3 13" xfId="9495"/>
    <cellStyle name="Контрольная ячейка 3 14" xfId="9496"/>
    <cellStyle name="Контрольная ячейка 3 2" xfId="1697"/>
    <cellStyle name="Контрольная ячейка 3 2 2" xfId="9497"/>
    <cellStyle name="Контрольная ячейка 3 3" xfId="1698"/>
    <cellStyle name="Контрольная ячейка 3 3 2" xfId="9498"/>
    <cellStyle name="Контрольная ячейка 3 4" xfId="9491"/>
    <cellStyle name="Контрольная ячейка 3 5" xfId="9499"/>
    <cellStyle name="Контрольная ячейка 3 6" xfId="9500"/>
    <cellStyle name="Контрольная ячейка 3 7" xfId="9501"/>
    <cellStyle name="Контрольная ячейка 3 8" xfId="9502"/>
    <cellStyle name="Контрольная ячейка 3 9" xfId="9503"/>
    <cellStyle name="Контрольная ячейка 4" xfId="1699"/>
    <cellStyle name="Контрольная ячейка 4 10" xfId="9505"/>
    <cellStyle name="Контрольная ячейка 4 11" xfId="9506"/>
    <cellStyle name="Контрольная ячейка 4 12" xfId="9507"/>
    <cellStyle name="Контрольная ячейка 4 13" xfId="9508"/>
    <cellStyle name="Контрольная ячейка 4 14" xfId="9509"/>
    <cellStyle name="Контрольная ячейка 4 2" xfId="1700"/>
    <cellStyle name="Контрольная ячейка 4 2 2" xfId="9510"/>
    <cellStyle name="Контрольная ячейка 4 3" xfId="1701"/>
    <cellStyle name="Контрольная ячейка 4 3 2" xfId="9511"/>
    <cellStyle name="Контрольная ячейка 4 4" xfId="9504"/>
    <cellStyle name="Контрольная ячейка 4 5" xfId="9512"/>
    <cellStyle name="Контрольная ячейка 4 6" xfId="9513"/>
    <cellStyle name="Контрольная ячейка 4 7" xfId="9514"/>
    <cellStyle name="Контрольная ячейка 4 8" xfId="9515"/>
    <cellStyle name="Контрольная ячейка 4 9" xfId="9516"/>
    <cellStyle name="Контрольная ячейка 5" xfId="1702"/>
    <cellStyle name="Контрольная ячейка 5 10" xfId="9518"/>
    <cellStyle name="Контрольная ячейка 5 11" xfId="9519"/>
    <cellStyle name="Контрольная ячейка 5 12" xfId="9520"/>
    <cellStyle name="Контрольная ячейка 5 13" xfId="9521"/>
    <cellStyle name="Контрольная ячейка 5 14" xfId="9522"/>
    <cellStyle name="Контрольная ячейка 5 2" xfId="1703"/>
    <cellStyle name="Контрольная ячейка 5 2 2" xfId="9523"/>
    <cellStyle name="Контрольная ячейка 5 3" xfId="1704"/>
    <cellStyle name="Контрольная ячейка 5 3 2" xfId="9524"/>
    <cellStyle name="Контрольная ячейка 5 4" xfId="9517"/>
    <cellStyle name="Контрольная ячейка 5 5" xfId="9525"/>
    <cellStyle name="Контрольная ячейка 5 6" xfId="9526"/>
    <cellStyle name="Контрольная ячейка 5 7" xfId="9527"/>
    <cellStyle name="Контрольная ячейка 5 8" xfId="9528"/>
    <cellStyle name="Контрольная ячейка 5 9" xfId="9529"/>
    <cellStyle name="Контрольная ячейка 6" xfId="1705"/>
    <cellStyle name="Контрольная ячейка 6 10" xfId="9531"/>
    <cellStyle name="Контрольная ячейка 6 11" xfId="9532"/>
    <cellStyle name="Контрольная ячейка 6 12" xfId="9533"/>
    <cellStyle name="Контрольная ячейка 6 13" xfId="9534"/>
    <cellStyle name="Контрольная ячейка 6 14" xfId="9535"/>
    <cellStyle name="Контрольная ячейка 6 2" xfId="1706"/>
    <cellStyle name="Контрольная ячейка 6 2 2" xfId="9536"/>
    <cellStyle name="Контрольная ячейка 6 3" xfId="1707"/>
    <cellStyle name="Контрольная ячейка 6 3 2" xfId="9537"/>
    <cellStyle name="Контрольная ячейка 6 4" xfId="9530"/>
    <cellStyle name="Контрольная ячейка 6 5" xfId="9538"/>
    <cellStyle name="Контрольная ячейка 6 6" xfId="9539"/>
    <cellStyle name="Контрольная ячейка 6 7" xfId="9540"/>
    <cellStyle name="Контрольная ячейка 6 8" xfId="9541"/>
    <cellStyle name="Контрольная ячейка 6 9" xfId="9542"/>
    <cellStyle name="Контрольная ячейка 7" xfId="1708"/>
    <cellStyle name="Контрольная ячейка 7 10" xfId="9544"/>
    <cellStyle name="Контрольная ячейка 7 11" xfId="9545"/>
    <cellStyle name="Контрольная ячейка 7 12" xfId="9546"/>
    <cellStyle name="Контрольная ячейка 7 13" xfId="9547"/>
    <cellStyle name="Контрольная ячейка 7 14" xfId="9548"/>
    <cellStyle name="Контрольная ячейка 7 2" xfId="1709"/>
    <cellStyle name="Контрольная ячейка 7 2 2" xfId="9549"/>
    <cellStyle name="Контрольная ячейка 7 3" xfId="1710"/>
    <cellStyle name="Контрольная ячейка 7 3 2" xfId="9550"/>
    <cellStyle name="Контрольная ячейка 7 4" xfId="9543"/>
    <cellStyle name="Контрольная ячейка 7 5" xfId="9551"/>
    <cellStyle name="Контрольная ячейка 7 6" xfId="9552"/>
    <cellStyle name="Контрольная ячейка 7 7" xfId="9553"/>
    <cellStyle name="Контрольная ячейка 7 8" xfId="9554"/>
    <cellStyle name="Контрольная ячейка 7 9" xfId="9555"/>
    <cellStyle name="Контрольная ячейка 8" xfId="1711"/>
    <cellStyle name="Контрольная ячейка 8 10" xfId="9557"/>
    <cellStyle name="Контрольная ячейка 8 11" xfId="9558"/>
    <cellStyle name="Контрольная ячейка 8 12" xfId="9559"/>
    <cellStyle name="Контрольная ячейка 8 13" xfId="9560"/>
    <cellStyle name="Контрольная ячейка 8 14" xfId="9561"/>
    <cellStyle name="Контрольная ячейка 8 2" xfId="1712"/>
    <cellStyle name="Контрольная ячейка 8 2 2" xfId="9562"/>
    <cellStyle name="Контрольная ячейка 8 3" xfId="1713"/>
    <cellStyle name="Контрольная ячейка 8 3 2" xfId="9563"/>
    <cellStyle name="Контрольная ячейка 8 4" xfId="9556"/>
    <cellStyle name="Контрольная ячейка 8 5" xfId="9564"/>
    <cellStyle name="Контрольная ячейка 8 6" xfId="9565"/>
    <cellStyle name="Контрольная ячейка 8 7" xfId="9566"/>
    <cellStyle name="Контрольная ячейка 8 8" xfId="9567"/>
    <cellStyle name="Контрольная ячейка 8 9" xfId="9568"/>
    <cellStyle name="Контрольная ячейка 9" xfId="1714"/>
    <cellStyle name="Контрольная ячейка 9 10" xfId="9570"/>
    <cellStyle name="Контрольная ячейка 9 11" xfId="9571"/>
    <cellStyle name="Контрольная ячейка 9 12" xfId="9572"/>
    <cellStyle name="Контрольная ячейка 9 13" xfId="9573"/>
    <cellStyle name="Контрольная ячейка 9 14" xfId="9574"/>
    <cellStyle name="Контрольная ячейка 9 2" xfId="1715"/>
    <cellStyle name="Контрольная ячейка 9 2 2" xfId="9575"/>
    <cellStyle name="Контрольная ячейка 9 3" xfId="1716"/>
    <cellStyle name="Контрольная ячейка 9 3 2" xfId="9576"/>
    <cellStyle name="Контрольная ячейка 9 4" xfId="9569"/>
    <cellStyle name="Контрольная ячейка 9 5" xfId="9577"/>
    <cellStyle name="Контрольная ячейка 9 6" xfId="9578"/>
    <cellStyle name="Контрольная ячейка 9 7" xfId="9579"/>
    <cellStyle name="Контрольная ячейка 9 8" xfId="9580"/>
    <cellStyle name="Контрольная ячейка 9 9" xfId="9581"/>
    <cellStyle name="Название 10" xfId="1717"/>
    <cellStyle name="Название 10 10" xfId="9583"/>
    <cellStyle name="Название 10 11" xfId="9584"/>
    <cellStyle name="Название 10 12" xfId="9585"/>
    <cellStyle name="Название 10 13" xfId="9586"/>
    <cellStyle name="Название 10 14" xfId="9587"/>
    <cellStyle name="Название 10 2" xfId="1718"/>
    <cellStyle name="Название 10 2 2" xfId="9588"/>
    <cellStyle name="Название 10 3" xfId="1719"/>
    <cellStyle name="Название 10 3 2" xfId="9589"/>
    <cellStyle name="Название 10 4" xfId="9582"/>
    <cellStyle name="Название 10 5" xfId="9590"/>
    <cellStyle name="Название 10 6" xfId="9591"/>
    <cellStyle name="Название 10 7" xfId="9592"/>
    <cellStyle name="Название 10 8" xfId="9593"/>
    <cellStyle name="Название 10 9" xfId="9594"/>
    <cellStyle name="Название 11" xfId="1720"/>
    <cellStyle name="Название 11 10" xfId="9596"/>
    <cellStyle name="Название 11 11" xfId="9597"/>
    <cellStyle name="Название 11 12" xfId="9598"/>
    <cellStyle name="Название 11 13" xfId="9599"/>
    <cellStyle name="Название 11 14" xfId="9600"/>
    <cellStyle name="Название 11 2" xfId="1721"/>
    <cellStyle name="Название 11 2 2" xfId="9601"/>
    <cellStyle name="Название 11 3" xfId="1722"/>
    <cellStyle name="Название 11 3 2" xfId="9602"/>
    <cellStyle name="Название 11 4" xfId="9595"/>
    <cellStyle name="Название 11 5" xfId="9603"/>
    <cellStyle name="Название 11 6" xfId="9604"/>
    <cellStyle name="Название 11 7" xfId="9605"/>
    <cellStyle name="Название 11 8" xfId="9606"/>
    <cellStyle name="Название 11 9" xfId="9607"/>
    <cellStyle name="Название 12" xfId="1723"/>
    <cellStyle name="Название 12 10" xfId="9609"/>
    <cellStyle name="Название 12 11" xfId="9610"/>
    <cellStyle name="Название 12 12" xfId="9611"/>
    <cellStyle name="Название 12 13" xfId="9612"/>
    <cellStyle name="Название 12 14" xfId="9613"/>
    <cellStyle name="Название 12 2" xfId="1724"/>
    <cellStyle name="Название 12 2 2" xfId="9614"/>
    <cellStyle name="Название 12 3" xfId="1725"/>
    <cellStyle name="Название 12 3 2" xfId="9615"/>
    <cellStyle name="Название 12 4" xfId="9608"/>
    <cellStyle name="Название 12 5" xfId="9616"/>
    <cellStyle name="Название 12 6" xfId="9617"/>
    <cellStyle name="Название 12 7" xfId="9618"/>
    <cellStyle name="Название 12 8" xfId="9619"/>
    <cellStyle name="Название 12 9" xfId="9620"/>
    <cellStyle name="Название 13" xfId="1726"/>
    <cellStyle name="Название 13 10" xfId="9622"/>
    <cellStyle name="Название 13 11" xfId="9623"/>
    <cellStyle name="Название 13 12" xfId="9624"/>
    <cellStyle name="Название 13 13" xfId="9625"/>
    <cellStyle name="Название 13 14" xfId="9626"/>
    <cellStyle name="Название 13 2" xfId="1727"/>
    <cellStyle name="Название 13 2 2" xfId="9627"/>
    <cellStyle name="Название 13 3" xfId="1728"/>
    <cellStyle name="Название 13 3 2" xfId="9628"/>
    <cellStyle name="Название 13 4" xfId="9621"/>
    <cellStyle name="Название 13 5" xfId="9629"/>
    <cellStyle name="Название 13 6" xfId="9630"/>
    <cellStyle name="Название 13 7" xfId="9631"/>
    <cellStyle name="Название 13 8" xfId="9632"/>
    <cellStyle name="Название 13 9" xfId="9633"/>
    <cellStyle name="Название 14" xfId="1729"/>
    <cellStyle name="Название 14 10" xfId="9635"/>
    <cellStyle name="Название 14 11" xfId="9636"/>
    <cellStyle name="Название 14 12" xfId="9637"/>
    <cellStyle name="Название 14 13" xfId="9638"/>
    <cellStyle name="Название 14 14" xfId="9639"/>
    <cellStyle name="Название 14 2" xfId="1730"/>
    <cellStyle name="Название 14 2 2" xfId="9640"/>
    <cellStyle name="Название 14 3" xfId="1731"/>
    <cellStyle name="Название 14 3 2" xfId="9641"/>
    <cellStyle name="Название 14 4" xfId="9634"/>
    <cellStyle name="Название 14 5" xfId="9642"/>
    <cellStyle name="Название 14 6" xfId="9643"/>
    <cellStyle name="Название 14 7" xfId="9644"/>
    <cellStyle name="Название 14 8" xfId="9645"/>
    <cellStyle name="Название 14 9" xfId="9646"/>
    <cellStyle name="Название 15" xfId="1732"/>
    <cellStyle name="Название 15 10" xfId="9648"/>
    <cellStyle name="Название 15 11" xfId="9649"/>
    <cellStyle name="Название 15 12" xfId="9650"/>
    <cellStyle name="Название 15 13" xfId="9651"/>
    <cellStyle name="Название 15 14" xfId="9652"/>
    <cellStyle name="Название 15 2" xfId="1733"/>
    <cellStyle name="Название 15 2 2" xfId="9653"/>
    <cellStyle name="Название 15 3" xfId="1734"/>
    <cellStyle name="Название 15 3 2" xfId="9654"/>
    <cellStyle name="Название 15 4" xfId="9647"/>
    <cellStyle name="Название 15 5" xfId="9655"/>
    <cellStyle name="Название 15 6" xfId="9656"/>
    <cellStyle name="Название 15 7" xfId="9657"/>
    <cellStyle name="Название 15 8" xfId="9658"/>
    <cellStyle name="Название 15 9" xfId="9659"/>
    <cellStyle name="Название 16" xfId="1735"/>
    <cellStyle name="Название 16 10" xfId="9661"/>
    <cellStyle name="Название 16 11" xfId="9662"/>
    <cellStyle name="Название 16 12" xfId="9663"/>
    <cellStyle name="Название 16 13" xfId="9664"/>
    <cellStyle name="Название 16 14" xfId="9665"/>
    <cellStyle name="Название 16 2" xfId="1736"/>
    <cellStyle name="Название 16 2 2" xfId="9666"/>
    <cellStyle name="Название 16 3" xfId="1737"/>
    <cellStyle name="Название 16 3 2" xfId="9667"/>
    <cellStyle name="Название 16 4" xfId="9660"/>
    <cellStyle name="Название 16 5" xfId="9668"/>
    <cellStyle name="Название 16 6" xfId="9669"/>
    <cellStyle name="Название 16 7" xfId="9670"/>
    <cellStyle name="Название 16 8" xfId="9671"/>
    <cellStyle name="Название 16 9" xfId="9672"/>
    <cellStyle name="Название 17" xfId="1738"/>
    <cellStyle name="Название 17 10" xfId="9674"/>
    <cellStyle name="Название 17 11" xfId="9675"/>
    <cellStyle name="Название 17 12" xfId="9676"/>
    <cellStyle name="Название 17 13" xfId="9677"/>
    <cellStyle name="Название 17 14" xfId="9678"/>
    <cellStyle name="Название 17 2" xfId="1739"/>
    <cellStyle name="Название 17 2 2" xfId="9679"/>
    <cellStyle name="Название 17 3" xfId="1740"/>
    <cellStyle name="Название 17 3 2" xfId="9680"/>
    <cellStyle name="Название 17 4" xfId="9673"/>
    <cellStyle name="Название 17 5" xfId="9681"/>
    <cellStyle name="Название 17 6" xfId="9682"/>
    <cellStyle name="Название 17 7" xfId="9683"/>
    <cellStyle name="Название 17 8" xfId="9684"/>
    <cellStyle name="Название 17 9" xfId="9685"/>
    <cellStyle name="Название 18" xfId="1741"/>
    <cellStyle name="Название 18 2" xfId="1742"/>
    <cellStyle name="Название 18 2 2" xfId="9687"/>
    <cellStyle name="Название 18 3" xfId="9686"/>
    <cellStyle name="Название 19" xfId="1743"/>
    <cellStyle name="Название 19 2" xfId="1744"/>
    <cellStyle name="Название 19 2 2" xfId="9689"/>
    <cellStyle name="Название 19 3" xfId="9688"/>
    <cellStyle name="Название 2" xfId="1745"/>
    <cellStyle name="Название 2 10" xfId="9691"/>
    <cellStyle name="Название 2 11" xfId="9692"/>
    <cellStyle name="Название 2 12" xfId="9693"/>
    <cellStyle name="Название 2 13" xfId="9694"/>
    <cellStyle name="Название 2 14" xfId="9695"/>
    <cellStyle name="Название 2 2" xfId="1746"/>
    <cellStyle name="Название 2 2 2" xfId="9696"/>
    <cellStyle name="Название 2 3" xfId="1747"/>
    <cellStyle name="Название 2 3 2" xfId="9697"/>
    <cellStyle name="Название 2 4" xfId="9690"/>
    <cellStyle name="Название 2 5" xfId="9698"/>
    <cellStyle name="Название 2 6" xfId="9699"/>
    <cellStyle name="Название 2 7" xfId="9700"/>
    <cellStyle name="Название 2 8" xfId="9701"/>
    <cellStyle name="Название 2 9" xfId="9702"/>
    <cellStyle name="Название 3" xfId="1748"/>
    <cellStyle name="Название 3 10" xfId="9704"/>
    <cellStyle name="Название 3 11" xfId="9705"/>
    <cellStyle name="Название 3 12" xfId="9706"/>
    <cellStyle name="Название 3 13" xfId="9707"/>
    <cellStyle name="Название 3 14" xfId="9708"/>
    <cellStyle name="Название 3 2" xfId="1749"/>
    <cellStyle name="Название 3 2 2" xfId="9709"/>
    <cellStyle name="Название 3 3" xfId="1750"/>
    <cellStyle name="Название 3 3 2" xfId="9710"/>
    <cellStyle name="Название 3 4" xfId="9703"/>
    <cellStyle name="Название 3 5" xfId="9711"/>
    <cellStyle name="Название 3 6" xfId="9712"/>
    <cellStyle name="Название 3 7" xfId="9713"/>
    <cellStyle name="Название 3 8" xfId="9714"/>
    <cellStyle name="Название 3 9" xfId="9715"/>
    <cellStyle name="Название 4" xfId="1751"/>
    <cellStyle name="Название 4 10" xfId="9717"/>
    <cellStyle name="Название 4 11" xfId="9718"/>
    <cellStyle name="Название 4 12" xfId="9719"/>
    <cellStyle name="Название 4 13" xfId="9720"/>
    <cellStyle name="Название 4 14" xfId="9721"/>
    <cellStyle name="Название 4 2" xfId="1752"/>
    <cellStyle name="Название 4 2 2" xfId="9722"/>
    <cellStyle name="Название 4 3" xfId="1753"/>
    <cellStyle name="Название 4 3 2" xfId="9723"/>
    <cellStyle name="Название 4 4" xfId="9716"/>
    <cellStyle name="Название 4 5" xfId="9724"/>
    <cellStyle name="Название 4 6" xfId="9725"/>
    <cellStyle name="Название 4 7" xfId="9726"/>
    <cellStyle name="Название 4 8" xfId="9727"/>
    <cellStyle name="Название 4 9" xfId="9728"/>
    <cellStyle name="Название 5" xfId="1754"/>
    <cellStyle name="Название 5 10" xfId="9730"/>
    <cellStyle name="Название 5 11" xfId="9731"/>
    <cellStyle name="Название 5 12" xfId="9732"/>
    <cellStyle name="Название 5 13" xfId="9733"/>
    <cellStyle name="Название 5 14" xfId="9734"/>
    <cellStyle name="Название 5 2" xfId="1755"/>
    <cellStyle name="Название 5 2 2" xfId="9735"/>
    <cellStyle name="Название 5 3" xfId="1756"/>
    <cellStyle name="Название 5 3 2" xfId="9736"/>
    <cellStyle name="Название 5 4" xfId="9729"/>
    <cellStyle name="Название 5 5" xfId="9737"/>
    <cellStyle name="Название 5 6" xfId="9738"/>
    <cellStyle name="Название 5 7" xfId="9739"/>
    <cellStyle name="Название 5 8" xfId="9740"/>
    <cellStyle name="Название 5 9" xfId="9741"/>
    <cellStyle name="Название 6" xfId="1757"/>
    <cellStyle name="Название 6 10" xfId="9743"/>
    <cellStyle name="Название 6 11" xfId="9744"/>
    <cellStyle name="Название 6 12" xfId="9745"/>
    <cellStyle name="Название 6 13" xfId="9746"/>
    <cellStyle name="Название 6 14" xfId="9747"/>
    <cellStyle name="Название 6 2" xfId="1758"/>
    <cellStyle name="Название 6 2 2" xfId="9748"/>
    <cellStyle name="Название 6 3" xfId="1759"/>
    <cellStyle name="Название 6 3 2" xfId="9749"/>
    <cellStyle name="Название 6 4" xfId="9742"/>
    <cellStyle name="Название 6 5" xfId="9750"/>
    <cellStyle name="Название 6 6" xfId="9751"/>
    <cellStyle name="Название 6 7" xfId="9752"/>
    <cellStyle name="Название 6 8" xfId="9753"/>
    <cellStyle name="Название 6 9" xfId="9754"/>
    <cellStyle name="Название 7" xfId="1760"/>
    <cellStyle name="Название 7 10" xfId="9756"/>
    <cellStyle name="Название 7 11" xfId="9757"/>
    <cellStyle name="Название 7 12" xfId="9758"/>
    <cellStyle name="Название 7 13" xfId="9759"/>
    <cellStyle name="Название 7 14" xfId="9760"/>
    <cellStyle name="Название 7 2" xfId="1761"/>
    <cellStyle name="Название 7 2 2" xfId="9761"/>
    <cellStyle name="Название 7 3" xfId="1762"/>
    <cellStyle name="Название 7 3 2" xfId="9762"/>
    <cellStyle name="Название 7 4" xfId="9755"/>
    <cellStyle name="Название 7 5" xfId="9763"/>
    <cellStyle name="Название 7 6" xfId="9764"/>
    <cellStyle name="Название 7 7" xfId="9765"/>
    <cellStyle name="Название 7 8" xfId="9766"/>
    <cellStyle name="Название 7 9" xfId="9767"/>
    <cellStyle name="Название 8" xfId="1763"/>
    <cellStyle name="Название 8 10" xfId="9769"/>
    <cellStyle name="Название 8 11" xfId="9770"/>
    <cellStyle name="Название 8 12" xfId="9771"/>
    <cellStyle name="Название 8 13" xfId="9772"/>
    <cellStyle name="Название 8 14" xfId="9773"/>
    <cellStyle name="Название 8 2" xfId="1764"/>
    <cellStyle name="Название 8 2 2" xfId="9774"/>
    <cellStyle name="Название 8 3" xfId="1765"/>
    <cellStyle name="Название 8 3 2" xfId="9775"/>
    <cellStyle name="Название 8 4" xfId="9768"/>
    <cellStyle name="Название 8 5" xfId="9776"/>
    <cellStyle name="Название 8 6" xfId="9777"/>
    <cellStyle name="Название 8 7" xfId="9778"/>
    <cellStyle name="Название 8 8" xfId="9779"/>
    <cellStyle name="Название 8 9" xfId="9780"/>
    <cellStyle name="Название 9" xfId="1766"/>
    <cellStyle name="Название 9 10" xfId="9782"/>
    <cellStyle name="Название 9 11" xfId="9783"/>
    <cellStyle name="Название 9 12" xfId="9784"/>
    <cellStyle name="Название 9 13" xfId="9785"/>
    <cellStyle name="Название 9 14" xfId="9786"/>
    <cellStyle name="Название 9 2" xfId="1767"/>
    <cellStyle name="Название 9 2 2" xfId="9787"/>
    <cellStyle name="Название 9 3" xfId="1768"/>
    <cellStyle name="Название 9 3 2" xfId="9788"/>
    <cellStyle name="Название 9 4" xfId="9781"/>
    <cellStyle name="Название 9 5" xfId="9789"/>
    <cellStyle name="Название 9 6" xfId="9790"/>
    <cellStyle name="Название 9 7" xfId="9791"/>
    <cellStyle name="Название 9 8" xfId="9792"/>
    <cellStyle name="Название 9 9" xfId="9793"/>
    <cellStyle name="Нейтральный 10" xfId="1769"/>
    <cellStyle name="Нейтральный 10 10" xfId="9795"/>
    <cellStyle name="Нейтральный 10 11" xfId="9796"/>
    <cellStyle name="Нейтральный 10 12" xfId="9797"/>
    <cellStyle name="Нейтральный 10 13" xfId="9798"/>
    <cellStyle name="Нейтральный 10 14" xfId="9799"/>
    <cellStyle name="Нейтральный 10 2" xfId="1770"/>
    <cellStyle name="Нейтральный 10 2 2" xfId="9800"/>
    <cellStyle name="Нейтральный 10 3" xfId="1771"/>
    <cellStyle name="Нейтральный 10 3 2" xfId="9801"/>
    <cellStyle name="Нейтральный 10 4" xfId="9794"/>
    <cellStyle name="Нейтральный 10 5" xfId="9802"/>
    <cellStyle name="Нейтральный 10 6" xfId="9803"/>
    <cellStyle name="Нейтральный 10 7" xfId="9804"/>
    <cellStyle name="Нейтральный 10 8" xfId="9805"/>
    <cellStyle name="Нейтральный 10 9" xfId="9806"/>
    <cellStyle name="Нейтральный 11" xfId="1772"/>
    <cellStyle name="Нейтральный 11 10" xfId="9808"/>
    <cellStyle name="Нейтральный 11 11" xfId="9809"/>
    <cellStyle name="Нейтральный 11 12" xfId="9810"/>
    <cellStyle name="Нейтральный 11 13" xfId="9811"/>
    <cellStyle name="Нейтральный 11 14" xfId="9812"/>
    <cellStyle name="Нейтральный 11 2" xfId="1773"/>
    <cellStyle name="Нейтральный 11 2 2" xfId="9813"/>
    <cellStyle name="Нейтральный 11 3" xfId="1774"/>
    <cellStyle name="Нейтральный 11 3 2" xfId="9814"/>
    <cellStyle name="Нейтральный 11 4" xfId="9807"/>
    <cellStyle name="Нейтральный 11 5" xfId="9815"/>
    <cellStyle name="Нейтральный 11 6" xfId="9816"/>
    <cellStyle name="Нейтральный 11 7" xfId="9817"/>
    <cellStyle name="Нейтральный 11 8" xfId="9818"/>
    <cellStyle name="Нейтральный 11 9" xfId="9819"/>
    <cellStyle name="Нейтральный 12" xfId="1775"/>
    <cellStyle name="Нейтральный 12 10" xfId="9821"/>
    <cellStyle name="Нейтральный 12 11" xfId="9822"/>
    <cellStyle name="Нейтральный 12 12" xfId="9823"/>
    <cellStyle name="Нейтральный 12 13" xfId="9824"/>
    <cellStyle name="Нейтральный 12 14" xfId="9825"/>
    <cellStyle name="Нейтральный 12 2" xfId="1776"/>
    <cellStyle name="Нейтральный 12 2 2" xfId="9826"/>
    <cellStyle name="Нейтральный 12 3" xfId="1777"/>
    <cellStyle name="Нейтральный 12 3 2" xfId="9827"/>
    <cellStyle name="Нейтральный 12 4" xfId="9820"/>
    <cellStyle name="Нейтральный 12 5" xfId="9828"/>
    <cellStyle name="Нейтральный 12 6" xfId="9829"/>
    <cellStyle name="Нейтральный 12 7" xfId="9830"/>
    <cellStyle name="Нейтральный 12 8" xfId="9831"/>
    <cellStyle name="Нейтральный 12 9" xfId="9832"/>
    <cellStyle name="Нейтральный 13" xfId="1778"/>
    <cellStyle name="Нейтральный 13 10" xfId="9834"/>
    <cellStyle name="Нейтральный 13 11" xfId="9835"/>
    <cellStyle name="Нейтральный 13 12" xfId="9836"/>
    <cellStyle name="Нейтральный 13 13" xfId="9837"/>
    <cellStyle name="Нейтральный 13 14" xfId="9838"/>
    <cellStyle name="Нейтральный 13 2" xfId="1779"/>
    <cellStyle name="Нейтральный 13 2 2" xfId="9839"/>
    <cellStyle name="Нейтральный 13 3" xfId="1780"/>
    <cellStyle name="Нейтральный 13 3 2" xfId="9840"/>
    <cellStyle name="Нейтральный 13 4" xfId="9833"/>
    <cellStyle name="Нейтральный 13 5" xfId="9841"/>
    <cellStyle name="Нейтральный 13 6" xfId="9842"/>
    <cellStyle name="Нейтральный 13 7" xfId="9843"/>
    <cellStyle name="Нейтральный 13 8" xfId="9844"/>
    <cellStyle name="Нейтральный 13 9" xfId="9845"/>
    <cellStyle name="Нейтральный 14" xfId="1781"/>
    <cellStyle name="Нейтральный 14 10" xfId="9847"/>
    <cellStyle name="Нейтральный 14 11" xfId="9848"/>
    <cellStyle name="Нейтральный 14 12" xfId="9849"/>
    <cellStyle name="Нейтральный 14 13" xfId="9850"/>
    <cellStyle name="Нейтральный 14 14" xfId="9851"/>
    <cellStyle name="Нейтральный 14 2" xfId="1782"/>
    <cellStyle name="Нейтральный 14 2 2" xfId="9852"/>
    <cellStyle name="Нейтральный 14 3" xfId="1783"/>
    <cellStyle name="Нейтральный 14 3 2" xfId="9853"/>
    <cellStyle name="Нейтральный 14 4" xfId="9846"/>
    <cellStyle name="Нейтральный 14 5" xfId="9854"/>
    <cellStyle name="Нейтральный 14 6" xfId="9855"/>
    <cellStyle name="Нейтральный 14 7" xfId="9856"/>
    <cellStyle name="Нейтральный 14 8" xfId="9857"/>
    <cellStyle name="Нейтральный 14 9" xfId="9858"/>
    <cellStyle name="Нейтральный 15" xfId="1784"/>
    <cellStyle name="Нейтральный 15 10" xfId="9860"/>
    <cellStyle name="Нейтральный 15 11" xfId="9861"/>
    <cellStyle name="Нейтральный 15 12" xfId="9862"/>
    <cellStyle name="Нейтральный 15 13" xfId="9863"/>
    <cellStyle name="Нейтральный 15 14" xfId="9864"/>
    <cellStyle name="Нейтральный 15 2" xfId="1785"/>
    <cellStyle name="Нейтральный 15 2 2" xfId="9865"/>
    <cellStyle name="Нейтральный 15 3" xfId="1786"/>
    <cellStyle name="Нейтральный 15 3 2" xfId="9866"/>
    <cellStyle name="Нейтральный 15 4" xfId="9859"/>
    <cellStyle name="Нейтральный 15 5" xfId="9867"/>
    <cellStyle name="Нейтральный 15 6" xfId="9868"/>
    <cellStyle name="Нейтральный 15 7" xfId="9869"/>
    <cellStyle name="Нейтральный 15 8" xfId="9870"/>
    <cellStyle name="Нейтральный 15 9" xfId="9871"/>
    <cellStyle name="Нейтральный 16" xfId="1787"/>
    <cellStyle name="Нейтральный 16 10" xfId="9873"/>
    <cellStyle name="Нейтральный 16 11" xfId="9874"/>
    <cellStyle name="Нейтральный 16 12" xfId="9875"/>
    <cellStyle name="Нейтральный 16 13" xfId="9876"/>
    <cellStyle name="Нейтральный 16 14" xfId="9877"/>
    <cellStyle name="Нейтральный 16 2" xfId="1788"/>
    <cellStyle name="Нейтральный 16 2 2" xfId="9878"/>
    <cellStyle name="Нейтральный 16 3" xfId="1789"/>
    <cellStyle name="Нейтральный 16 3 2" xfId="9879"/>
    <cellStyle name="Нейтральный 16 4" xfId="9872"/>
    <cellStyle name="Нейтральный 16 5" xfId="9880"/>
    <cellStyle name="Нейтральный 16 6" xfId="9881"/>
    <cellStyle name="Нейтральный 16 7" xfId="9882"/>
    <cellStyle name="Нейтральный 16 8" xfId="9883"/>
    <cellStyle name="Нейтральный 16 9" xfId="9884"/>
    <cellStyle name="Нейтральный 17" xfId="1790"/>
    <cellStyle name="Нейтральный 17 10" xfId="9886"/>
    <cellStyle name="Нейтральный 17 11" xfId="9887"/>
    <cellStyle name="Нейтральный 17 12" xfId="9888"/>
    <cellStyle name="Нейтральный 17 13" xfId="9889"/>
    <cellStyle name="Нейтральный 17 14" xfId="9890"/>
    <cellStyle name="Нейтральный 17 2" xfId="1791"/>
    <cellStyle name="Нейтральный 17 2 2" xfId="9891"/>
    <cellStyle name="Нейтральный 17 3" xfId="1792"/>
    <cellStyle name="Нейтральный 17 3 2" xfId="9892"/>
    <cellStyle name="Нейтральный 17 4" xfId="9885"/>
    <cellStyle name="Нейтральный 17 5" xfId="9893"/>
    <cellStyle name="Нейтральный 17 6" xfId="9894"/>
    <cellStyle name="Нейтральный 17 7" xfId="9895"/>
    <cellStyle name="Нейтральный 17 8" xfId="9896"/>
    <cellStyle name="Нейтральный 17 9" xfId="9897"/>
    <cellStyle name="Нейтральный 18" xfId="1793"/>
    <cellStyle name="Нейтральный 18 2" xfId="1794"/>
    <cellStyle name="Нейтральный 18 2 2" xfId="9899"/>
    <cellStyle name="Нейтральный 18 3" xfId="9898"/>
    <cellStyle name="Нейтральный 19" xfId="1795"/>
    <cellStyle name="Нейтральный 19 2" xfId="1796"/>
    <cellStyle name="Нейтральный 19 2 2" xfId="9901"/>
    <cellStyle name="Нейтральный 19 3" xfId="9900"/>
    <cellStyle name="Нейтральный 2" xfId="1797"/>
    <cellStyle name="Нейтральный 2 10" xfId="9903"/>
    <cellStyle name="Нейтральный 2 11" xfId="9904"/>
    <cellStyle name="Нейтральный 2 12" xfId="9905"/>
    <cellStyle name="Нейтральный 2 13" xfId="9906"/>
    <cellStyle name="Нейтральный 2 14" xfId="9907"/>
    <cellStyle name="Нейтральный 2 2" xfId="1798"/>
    <cellStyle name="Нейтральный 2 2 2" xfId="9908"/>
    <cellStyle name="Нейтральный 2 3" xfId="1799"/>
    <cellStyle name="Нейтральный 2 3 2" xfId="9909"/>
    <cellStyle name="Нейтральный 2 4" xfId="9902"/>
    <cellStyle name="Нейтральный 2 5" xfId="9910"/>
    <cellStyle name="Нейтральный 2 6" xfId="9911"/>
    <cellStyle name="Нейтральный 2 7" xfId="9912"/>
    <cellStyle name="Нейтральный 2 8" xfId="9913"/>
    <cellStyle name="Нейтральный 2 9" xfId="9914"/>
    <cellStyle name="Нейтральный 3" xfId="1800"/>
    <cellStyle name="Нейтральный 3 10" xfId="9916"/>
    <cellStyle name="Нейтральный 3 11" xfId="9917"/>
    <cellStyle name="Нейтральный 3 12" xfId="9918"/>
    <cellStyle name="Нейтральный 3 13" xfId="9919"/>
    <cellStyle name="Нейтральный 3 14" xfId="9920"/>
    <cellStyle name="Нейтральный 3 2" xfId="1801"/>
    <cellStyle name="Нейтральный 3 2 2" xfId="9921"/>
    <cellStyle name="Нейтральный 3 3" xfId="1802"/>
    <cellStyle name="Нейтральный 3 3 2" xfId="9922"/>
    <cellStyle name="Нейтральный 3 4" xfId="9915"/>
    <cellStyle name="Нейтральный 3 5" xfId="9923"/>
    <cellStyle name="Нейтральный 3 6" xfId="9924"/>
    <cellStyle name="Нейтральный 3 7" xfId="9925"/>
    <cellStyle name="Нейтральный 3 8" xfId="9926"/>
    <cellStyle name="Нейтральный 3 9" xfId="9927"/>
    <cellStyle name="Нейтральный 4" xfId="1803"/>
    <cellStyle name="Нейтральный 4 10" xfId="9929"/>
    <cellStyle name="Нейтральный 4 11" xfId="9930"/>
    <cellStyle name="Нейтральный 4 12" xfId="9931"/>
    <cellStyle name="Нейтральный 4 13" xfId="9932"/>
    <cellStyle name="Нейтральный 4 14" xfId="9933"/>
    <cellStyle name="Нейтральный 4 2" xfId="1804"/>
    <cellStyle name="Нейтральный 4 2 2" xfId="9934"/>
    <cellStyle name="Нейтральный 4 3" xfId="1805"/>
    <cellStyle name="Нейтральный 4 3 2" xfId="9935"/>
    <cellStyle name="Нейтральный 4 4" xfId="9928"/>
    <cellStyle name="Нейтральный 4 5" xfId="9936"/>
    <cellStyle name="Нейтральный 4 6" xfId="9937"/>
    <cellStyle name="Нейтральный 4 7" xfId="9938"/>
    <cellStyle name="Нейтральный 4 8" xfId="9939"/>
    <cellStyle name="Нейтральный 4 9" xfId="9940"/>
    <cellStyle name="Нейтральный 5" xfId="1806"/>
    <cellStyle name="Нейтральный 5 10" xfId="9942"/>
    <cellStyle name="Нейтральный 5 11" xfId="9943"/>
    <cellStyle name="Нейтральный 5 12" xfId="9944"/>
    <cellStyle name="Нейтральный 5 13" xfId="9945"/>
    <cellStyle name="Нейтральный 5 14" xfId="9946"/>
    <cellStyle name="Нейтральный 5 2" xfId="1807"/>
    <cellStyle name="Нейтральный 5 2 2" xfId="9947"/>
    <cellStyle name="Нейтральный 5 3" xfId="1808"/>
    <cellStyle name="Нейтральный 5 3 2" xfId="9948"/>
    <cellStyle name="Нейтральный 5 4" xfId="9941"/>
    <cellStyle name="Нейтральный 5 5" xfId="9949"/>
    <cellStyle name="Нейтральный 5 6" xfId="9950"/>
    <cellStyle name="Нейтральный 5 7" xfId="9951"/>
    <cellStyle name="Нейтральный 5 8" xfId="9952"/>
    <cellStyle name="Нейтральный 5 9" xfId="9953"/>
    <cellStyle name="Нейтральный 6" xfId="1809"/>
    <cellStyle name="Нейтральный 6 10" xfId="9955"/>
    <cellStyle name="Нейтральный 6 11" xfId="9956"/>
    <cellStyle name="Нейтральный 6 12" xfId="9957"/>
    <cellStyle name="Нейтральный 6 13" xfId="9958"/>
    <cellStyle name="Нейтральный 6 14" xfId="9959"/>
    <cellStyle name="Нейтральный 6 2" xfId="1810"/>
    <cellStyle name="Нейтральный 6 2 2" xfId="9960"/>
    <cellStyle name="Нейтральный 6 3" xfId="1811"/>
    <cellStyle name="Нейтральный 6 3 2" xfId="9961"/>
    <cellStyle name="Нейтральный 6 4" xfId="9954"/>
    <cellStyle name="Нейтральный 6 5" xfId="9962"/>
    <cellStyle name="Нейтральный 6 6" xfId="9963"/>
    <cellStyle name="Нейтральный 6 7" xfId="9964"/>
    <cellStyle name="Нейтральный 6 8" xfId="9965"/>
    <cellStyle name="Нейтральный 6 9" xfId="9966"/>
    <cellStyle name="Нейтральный 7" xfId="1812"/>
    <cellStyle name="Нейтральный 7 10" xfId="9968"/>
    <cellStyle name="Нейтральный 7 11" xfId="9969"/>
    <cellStyle name="Нейтральный 7 12" xfId="9970"/>
    <cellStyle name="Нейтральный 7 13" xfId="9971"/>
    <cellStyle name="Нейтральный 7 14" xfId="9972"/>
    <cellStyle name="Нейтральный 7 2" xfId="1813"/>
    <cellStyle name="Нейтральный 7 2 2" xfId="9973"/>
    <cellStyle name="Нейтральный 7 3" xfId="1814"/>
    <cellStyle name="Нейтральный 7 3 2" xfId="9974"/>
    <cellStyle name="Нейтральный 7 4" xfId="9967"/>
    <cellStyle name="Нейтральный 7 5" xfId="9975"/>
    <cellStyle name="Нейтральный 7 6" xfId="9976"/>
    <cellStyle name="Нейтральный 7 7" xfId="9977"/>
    <cellStyle name="Нейтральный 7 8" xfId="9978"/>
    <cellStyle name="Нейтральный 7 9" xfId="9979"/>
    <cellStyle name="Нейтральный 8" xfId="1815"/>
    <cellStyle name="Нейтральный 8 10" xfId="9981"/>
    <cellStyle name="Нейтральный 8 11" xfId="9982"/>
    <cellStyle name="Нейтральный 8 12" xfId="9983"/>
    <cellStyle name="Нейтральный 8 13" xfId="9984"/>
    <cellStyle name="Нейтральный 8 14" xfId="9985"/>
    <cellStyle name="Нейтральный 8 2" xfId="1816"/>
    <cellStyle name="Нейтральный 8 2 2" xfId="9986"/>
    <cellStyle name="Нейтральный 8 3" xfId="1817"/>
    <cellStyle name="Нейтральный 8 3 2" xfId="9987"/>
    <cellStyle name="Нейтральный 8 4" xfId="9980"/>
    <cellStyle name="Нейтральный 8 5" xfId="9988"/>
    <cellStyle name="Нейтральный 8 6" xfId="9989"/>
    <cellStyle name="Нейтральный 8 7" xfId="9990"/>
    <cellStyle name="Нейтральный 8 8" xfId="9991"/>
    <cellStyle name="Нейтральный 8 9" xfId="9992"/>
    <cellStyle name="Нейтральный 9" xfId="1818"/>
    <cellStyle name="Нейтральный 9 10" xfId="9994"/>
    <cellStyle name="Нейтральный 9 11" xfId="9995"/>
    <cellStyle name="Нейтральный 9 12" xfId="9996"/>
    <cellStyle name="Нейтральный 9 13" xfId="9997"/>
    <cellStyle name="Нейтральный 9 14" xfId="9998"/>
    <cellStyle name="Нейтральный 9 2" xfId="1819"/>
    <cellStyle name="Нейтральный 9 2 2" xfId="9999"/>
    <cellStyle name="Нейтральный 9 3" xfId="1820"/>
    <cellStyle name="Нейтральный 9 3 2" xfId="10000"/>
    <cellStyle name="Нейтральный 9 4" xfId="9993"/>
    <cellStyle name="Нейтральный 9 5" xfId="10001"/>
    <cellStyle name="Нейтральный 9 6" xfId="10002"/>
    <cellStyle name="Нейтральный 9 7" xfId="10003"/>
    <cellStyle name="Нейтральный 9 8" xfId="10004"/>
    <cellStyle name="Нейтральный 9 9" xfId="10005"/>
    <cellStyle name="Обычный" xfId="0" builtinId="0"/>
    <cellStyle name="Обычный 10" xfId="17164"/>
    <cellStyle name="Обычный 2" xfId="2701"/>
    <cellStyle name="Обычный 2 10" xfId="17419"/>
    <cellStyle name="Обычный 2 10 2" xfId="31229"/>
    <cellStyle name="Обычный 2 11" xfId="22070"/>
    <cellStyle name="Обычный 2 12" xfId="24302"/>
    <cellStyle name="Обычный 2 2" xfId="1821"/>
    <cellStyle name="Обычный 2 2 10" xfId="1822"/>
    <cellStyle name="Обычный 2 2 10 2" xfId="3046"/>
    <cellStyle name="Обычный 2 2 10 2 2" xfId="10007"/>
    <cellStyle name="Обычный 2 2 10 2 3" xfId="22074"/>
    <cellStyle name="Обычный 2 2 100" xfId="2486"/>
    <cellStyle name="Обычный 2 2 100 2" xfId="10008"/>
    <cellStyle name="Обычный 2 2 100 3" xfId="22053"/>
    <cellStyle name="Обычный 2 2 101" xfId="2493"/>
    <cellStyle name="Обычный 2 2 102" xfId="3042"/>
    <cellStyle name="Обычный 2 2 11" xfId="1823"/>
    <cellStyle name="Обычный 2 2 11 2" xfId="3047"/>
    <cellStyle name="Обычный 2 2 11 2 2" xfId="10009"/>
    <cellStyle name="Обычный 2 2 11 2 3" xfId="22075"/>
    <cellStyle name="Обычный 2 2 12" xfId="1824"/>
    <cellStyle name="Обычный 2 2 12 2" xfId="3048"/>
    <cellStyle name="Обычный 2 2 12 2 2" xfId="10010"/>
    <cellStyle name="Обычный 2 2 12 2 3" xfId="22076"/>
    <cellStyle name="Обычный 2 2 13" xfId="1825"/>
    <cellStyle name="Обычный 2 2 13 2" xfId="3049"/>
    <cellStyle name="Обычный 2 2 13 2 2" xfId="10011"/>
    <cellStyle name="Обычный 2 2 13 2 3" xfId="22077"/>
    <cellStyle name="Обычный 2 2 14" xfId="1826"/>
    <cellStyle name="Обычный 2 2 14 2" xfId="3050"/>
    <cellStyle name="Обычный 2 2 14 2 2" xfId="10012"/>
    <cellStyle name="Обычный 2 2 14 2 3" xfId="22078"/>
    <cellStyle name="Обычный 2 2 15" xfId="1827"/>
    <cellStyle name="Обычный 2 2 15 2" xfId="3051"/>
    <cellStyle name="Обычный 2 2 15 2 2" xfId="10013"/>
    <cellStyle name="Обычный 2 2 15 2 3" xfId="22079"/>
    <cellStyle name="Обычный 2 2 16" xfId="1828"/>
    <cellStyle name="Обычный 2 2 16 2" xfId="3052"/>
    <cellStyle name="Обычный 2 2 16 2 2" xfId="10014"/>
    <cellStyle name="Обычный 2 2 16 2 3" xfId="22080"/>
    <cellStyle name="Обычный 2 2 17" xfId="1829"/>
    <cellStyle name="Обычный 2 2 17 2" xfId="3053"/>
    <cellStyle name="Обычный 2 2 17 2 2" xfId="10015"/>
    <cellStyle name="Обычный 2 2 17 2 3" xfId="22081"/>
    <cellStyle name="Обычный 2 2 18" xfId="1830"/>
    <cellStyle name="Обычный 2 2 18 2" xfId="3054"/>
    <cellStyle name="Обычный 2 2 18 2 2" xfId="10016"/>
    <cellStyle name="Обычный 2 2 18 2 3" xfId="22082"/>
    <cellStyle name="Обычный 2 2 19" xfId="1831"/>
    <cellStyle name="Обычный 2 2 19 2" xfId="3055"/>
    <cellStyle name="Обычный 2 2 19 2 2" xfId="10017"/>
    <cellStyle name="Обычный 2 2 19 2 3" xfId="22083"/>
    <cellStyle name="Обычный 2 2 2" xfId="1832"/>
    <cellStyle name="Обычный 2 2 2 2" xfId="3056"/>
    <cellStyle name="Обычный 2 2 2 2 2" xfId="10018"/>
    <cellStyle name="Обычный 2 2 2 2 3" xfId="22084"/>
    <cellStyle name="Обычный 2 2 20" xfId="1833"/>
    <cellStyle name="Обычный 2 2 20 2" xfId="3057"/>
    <cellStyle name="Обычный 2 2 20 2 2" xfId="10019"/>
    <cellStyle name="Обычный 2 2 20 2 3" xfId="22085"/>
    <cellStyle name="Обычный 2 2 21" xfId="1834"/>
    <cellStyle name="Обычный 2 2 21 2" xfId="3058"/>
    <cellStyle name="Обычный 2 2 21 2 2" xfId="10020"/>
    <cellStyle name="Обычный 2 2 21 2 3" xfId="22086"/>
    <cellStyle name="Обычный 2 2 22" xfId="1835"/>
    <cellStyle name="Обычный 2 2 22 2" xfId="3059"/>
    <cellStyle name="Обычный 2 2 22 2 2" xfId="10021"/>
    <cellStyle name="Обычный 2 2 22 2 3" xfId="22087"/>
    <cellStyle name="Обычный 2 2 23" xfId="1836"/>
    <cellStyle name="Обычный 2 2 23 2" xfId="3060"/>
    <cellStyle name="Обычный 2 2 23 2 2" xfId="10022"/>
    <cellStyle name="Обычный 2 2 23 2 3" xfId="22088"/>
    <cellStyle name="Обычный 2 2 24" xfId="1837"/>
    <cellStyle name="Обычный 2 2 24 2" xfId="3061"/>
    <cellStyle name="Обычный 2 2 24 2 2" xfId="10023"/>
    <cellStyle name="Обычный 2 2 24 2 3" xfId="22089"/>
    <cellStyle name="Обычный 2 2 25" xfId="1838"/>
    <cellStyle name="Обычный 2 2 25 2" xfId="3062"/>
    <cellStyle name="Обычный 2 2 25 2 2" xfId="10024"/>
    <cellStyle name="Обычный 2 2 25 2 3" xfId="22090"/>
    <cellStyle name="Обычный 2 2 26" xfId="1839"/>
    <cellStyle name="Обычный 2 2 26 2" xfId="3063"/>
    <cellStyle name="Обычный 2 2 26 2 2" xfId="10025"/>
    <cellStyle name="Обычный 2 2 26 2 3" xfId="22091"/>
    <cellStyle name="Обычный 2 2 27" xfId="1840"/>
    <cellStyle name="Обычный 2 2 27 2" xfId="3064"/>
    <cellStyle name="Обычный 2 2 27 2 2" xfId="10026"/>
    <cellStyle name="Обычный 2 2 27 2 3" xfId="22092"/>
    <cellStyle name="Обычный 2 2 28" xfId="1841"/>
    <cellStyle name="Обычный 2 2 28 2" xfId="3065"/>
    <cellStyle name="Обычный 2 2 28 2 2" xfId="10027"/>
    <cellStyle name="Обычный 2 2 28 2 3" xfId="22093"/>
    <cellStyle name="Обычный 2 2 29" xfId="1842"/>
    <cellStyle name="Обычный 2 2 29 2" xfId="3066"/>
    <cellStyle name="Обычный 2 2 29 2 2" xfId="10028"/>
    <cellStyle name="Обычный 2 2 29 2 3" xfId="22094"/>
    <cellStyle name="Обычный 2 2 3" xfId="1843"/>
    <cellStyle name="Обычный 2 2 3 2" xfId="3067"/>
    <cellStyle name="Обычный 2 2 3 2 2" xfId="10029"/>
    <cellStyle name="Обычный 2 2 3 2 3" xfId="22095"/>
    <cellStyle name="Обычный 2 2 30" xfId="1844"/>
    <cellStyle name="Обычный 2 2 30 2" xfId="3068"/>
    <cellStyle name="Обычный 2 2 30 2 2" xfId="10030"/>
    <cellStyle name="Обычный 2 2 30 2 3" xfId="22096"/>
    <cellStyle name="Обычный 2 2 31" xfId="1845"/>
    <cellStyle name="Обычный 2 2 31 2" xfId="3069"/>
    <cellStyle name="Обычный 2 2 31 2 2" xfId="10031"/>
    <cellStyle name="Обычный 2 2 31 2 3" xfId="22097"/>
    <cellStyle name="Обычный 2 2 32" xfId="1846"/>
    <cellStyle name="Обычный 2 2 32 2" xfId="3070"/>
    <cellStyle name="Обычный 2 2 32 2 2" xfId="10032"/>
    <cellStyle name="Обычный 2 2 32 2 3" xfId="22098"/>
    <cellStyle name="Обычный 2 2 33" xfId="1847"/>
    <cellStyle name="Обычный 2 2 33 2" xfId="3071"/>
    <cellStyle name="Обычный 2 2 33 2 2" xfId="10033"/>
    <cellStyle name="Обычный 2 2 33 2 3" xfId="22099"/>
    <cellStyle name="Обычный 2 2 34" xfId="1848"/>
    <cellStyle name="Обычный 2 2 34 2" xfId="3072"/>
    <cellStyle name="Обычный 2 2 34 2 2" xfId="10034"/>
    <cellStyle name="Обычный 2 2 34 2 3" xfId="22100"/>
    <cellStyle name="Обычный 2 2 35" xfId="1849"/>
    <cellStyle name="Обычный 2 2 35 2" xfId="3073"/>
    <cellStyle name="Обычный 2 2 35 2 2" xfId="10035"/>
    <cellStyle name="Обычный 2 2 35 2 3" xfId="22101"/>
    <cellStyle name="Обычный 2 2 36" xfId="1850"/>
    <cellStyle name="Обычный 2 2 36 2" xfId="3074"/>
    <cellStyle name="Обычный 2 2 36 2 2" xfId="10036"/>
    <cellStyle name="Обычный 2 2 36 2 3" xfId="22102"/>
    <cellStyle name="Обычный 2 2 37" xfId="1851"/>
    <cellStyle name="Обычный 2 2 37 2" xfId="3075"/>
    <cellStyle name="Обычный 2 2 37 2 2" xfId="10037"/>
    <cellStyle name="Обычный 2 2 37 2 3" xfId="22103"/>
    <cellStyle name="Обычный 2 2 38" xfId="1852"/>
    <cellStyle name="Обычный 2 2 38 2" xfId="3076"/>
    <cellStyle name="Обычный 2 2 38 2 2" xfId="10038"/>
    <cellStyle name="Обычный 2 2 38 2 3" xfId="22104"/>
    <cellStyle name="Обычный 2 2 39" xfId="1853"/>
    <cellStyle name="Обычный 2 2 39 2" xfId="3077"/>
    <cellStyle name="Обычный 2 2 39 2 2" xfId="10039"/>
    <cellStyle name="Обычный 2 2 39 2 3" xfId="22105"/>
    <cellStyle name="Обычный 2 2 4" xfId="1854"/>
    <cellStyle name="Обычный 2 2 4 2" xfId="3078"/>
    <cellStyle name="Обычный 2 2 4 2 2" xfId="10040"/>
    <cellStyle name="Обычный 2 2 4 2 3" xfId="22106"/>
    <cellStyle name="Обычный 2 2 40" xfId="1855"/>
    <cellStyle name="Обычный 2 2 40 2" xfId="3079"/>
    <cellStyle name="Обычный 2 2 40 2 2" xfId="10041"/>
    <cellStyle name="Обычный 2 2 40 2 3" xfId="22107"/>
    <cellStyle name="Обычный 2 2 41" xfId="1856"/>
    <cellStyle name="Обычный 2 2 41 2" xfId="3080"/>
    <cellStyle name="Обычный 2 2 41 2 2" xfId="10042"/>
    <cellStyle name="Обычный 2 2 41 2 3" xfId="22108"/>
    <cellStyle name="Обычный 2 2 42" xfId="1857"/>
    <cellStyle name="Обычный 2 2 42 2" xfId="3081"/>
    <cellStyle name="Обычный 2 2 42 2 2" xfId="10043"/>
    <cellStyle name="Обычный 2 2 42 2 3" xfId="22109"/>
    <cellStyle name="Обычный 2 2 43" xfId="1858"/>
    <cellStyle name="Обычный 2 2 43 2" xfId="3082"/>
    <cellStyle name="Обычный 2 2 43 2 2" xfId="10044"/>
    <cellStyle name="Обычный 2 2 43 2 3" xfId="22110"/>
    <cellStyle name="Обычный 2 2 44" xfId="1859"/>
    <cellStyle name="Обычный 2 2 44 2" xfId="3083"/>
    <cellStyle name="Обычный 2 2 44 2 2" xfId="10045"/>
    <cellStyle name="Обычный 2 2 44 2 3" xfId="22111"/>
    <cellStyle name="Обычный 2 2 45" xfId="1860"/>
    <cellStyle name="Обычный 2 2 45 2" xfId="3084"/>
    <cellStyle name="Обычный 2 2 45 2 2" xfId="10046"/>
    <cellStyle name="Обычный 2 2 45 2 3" xfId="22112"/>
    <cellStyle name="Обычный 2 2 46" xfId="1861"/>
    <cellStyle name="Обычный 2 2 46 2" xfId="3085"/>
    <cellStyle name="Обычный 2 2 46 2 2" xfId="10047"/>
    <cellStyle name="Обычный 2 2 46 2 3" xfId="22113"/>
    <cellStyle name="Обычный 2 2 47" xfId="1862"/>
    <cellStyle name="Обычный 2 2 47 2" xfId="3086"/>
    <cellStyle name="Обычный 2 2 47 2 2" xfId="10048"/>
    <cellStyle name="Обычный 2 2 47 2 3" xfId="22114"/>
    <cellStyle name="Обычный 2 2 48" xfId="1863"/>
    <cellStyle name="Обычный 2 2 48 2" xfId="3087"/>
    <cellStyle name="Обычный 2 2 48 2 2" xfId="10049"/>
    <cellStyle name="Обычный 2 2 48 2 3" xfId="22115"/>
    <cellStyle name="Обычный 2 2 49" xfId="1864"/>
    <cellStyle name="Обычный 2 2 49 2" xfId="3088"/>
    <cellStyle name="Обычный 2 2 49 2 2" xfId="10050"/>
    <cellStyle name="Обычный 2 2 49 2 3" xfId="22116"/>
    <cellStyle name="Обычный 2 2 5" xfId="1865"/>
    <cellStyle name="Обычный 2 2 5 2" xfId="3089"/>
    <cellStyle name="Обычный 2 2 5 2 2" xfId="10051"/>
    <cellStyle name="Обычный 2 2 5 2 3" xfId="22117"/>
    <cellStyle name="Обычный 2 2 50" xfId="1866"/>
    <cellStyle name="Обычный 2 2 50 2" xfId="3090"/>
    <cellStyle name="Обычный 2 2 50 2 2" xfId="10052"/>
    <cellStyle name="Обычный 2 2 50 2 3" xfId="22118"/>
    <cellStyle name="Обычный 2 2 51" xfId="1867"/>
    <cellStyle name="Обычный 2 2 51 2" xfId="3091"/>
    <cellStyle name="Обычный 2 2 51 2 2" xfId="10053"/>
    <cellStyle name="Обычный 2 2 51 2 3" xfId="22119"/>
    <cellStyle name="Обычный 2 2 52" xfId="1868"/>
    <cellStyle name="Обычный 2 2 52 2" xfId="3092"/>
    <cellStyle name="Обычный 2 2 52 2 2" xfId="10054"/>
    <cellStyle name="Обычный 2 2 52 2 3" xfId="22120"/>
    <cellStyle name="Обычный 2 2 53" xfId="1869"/>
    <cellStyle name="Обычный 2 2 53 2" xfId="3093"/>
    <cellStyle name="Обычный 2 2 53 2 2" xfId="10055"/>
    <cellStyle name="Обычный 2 2 53 2 3" xfId="22121"/>
    <cellStyle name="Обычный 2 2 54" xfId="1870"/>
    <cellStyle name="Обычный 2 2 54 2" xfId="3094"/>
    <cellStyle name="Обычный 2 2 54 2 2" xfId="10056"/>
    <cellStyle name="Обычный 2 2 54 2 3" xfId="22122"/>
    <cellStyle name="Обычный 2 2 55" xfId="1871"/>
    <cellStyle name="Обычный 2 2 55 2" xfId="3095"/>
    <cellStyle name="Обычный 2 2 55 2 2" xfId="10057"/>
    <cellStyle name="Обычный 2 2 55 2 3" xfId="22123"/>
    <cellStyle name="Обычный 2 2 56" xfId="1872"/>
    <cellStyle name="Обычный 2 2 56 2" xfId="3096"/>
    <cellStyle name="Обычный 2 2 56 2 2" xfId="10058"/>
    <cellStyle name="Обычный 2 2 56 2 3" xfId="22124"/>
    <cellStyle name="Обычный 2 2 57" xfId="1873"/>
    <cellStyle name="Обычный 2 2 57 2" xfId="3097"/>
    <cellStyle name="Обычный 2 2 57 2 2" xfId="10059"/>
    <cellStyle name="Обычный 2 2 57 2 3" xfId="22125"/>
    <cellStyle name="Обычный 2 2 58" xfId="1874"/>
    <cellStyle name="Обычный 2 2 58 2" xfId="3098"/>
    <cellStyle name="Обычный 2 2 58 2 2" xfId="10060"/>
    <cellStyle name="Обычный 2 2 58 2 3" xfId="22126"/>
    <cellStyle name="Обычный 2 2 59" xfId="1875"/>
    <cellStyle name="Обычный 2 2 59 2" xfId="3099"/>
    <cellStyle name="Обычный 2 2 59 2 2" xfId="10061"/>
    <cellStyle name="Обычный 2 2 59 2 3" xfId="22127"/>
    <cellStyle name="Обычный 2 2 6" xfId="1876"/>
    <cellStyle name="Обычный 2 2 6 2" xfId="3100"/>
    <cellStyle name="Обычный 2 2 6 2 2" xfId="10062"/>
    <cellStyle name="Обычный 2 2 6 2 3" xfId="22128"/>
    <cellStyle name="Обычный 2 2 60" xfId="1877"/>
    <cellStyle name="Обычный 2 2 60 2" xfId="3101"/>
    <cellStyle name="Обычный 2 2 60 2 2" xfId="10063"/>
    <cellStyle name="Обычный 2 2 60 2 3" xfId="22129"/>
    <cellStyle name="Обычный 2 2 61" xfId="1878"/>
    <cellStyle name="Обычный 2 2 61 2" xfId="3102"/>
    <cellStyle name="Обычный 2 2 61 2 2" xfId="10064"/>
    <cellStyle name="Обычный 2 2 61 2 3" xfId="22130"/>
    <cellStyle name="Обычный 2 2 62" xfId="1879"/>
    <cellStyle name="Обычный 2 2 62 2" xfId="3103"/>
    <cellStyle name="Обычный 2 2 62 2 2" xfId="10065"/>
    <cellStyle name="Обычный 2 2 62 2 3" xfId="22131"/>
    <cellStyle name="Обычный 2 2 63" xfId="1880"/>
    <cellStyle name="Обычный 2 2 63 2" xfId="3104"/>
    <cellStyle name="Обычный 2 2 63 2 2" xfId="10066"/>
    <cellStyle name="Обычный 2 2 63 2 3" xfId="22132"/>
    <cellStyle name="Обычный 2 2 64" xfId="1881"/>
    <cellStyle name="Обычный 2 2 64 2" xfId="3105"/>
    <cellStyle name="Обычный 2 2 64 2 2" xfId="10067"/>
    <cellStyle name="Обычный 2 2 64 2 3" xfId="22133"/>
    <cellStyle name="Обычный 2 2 65" xfId="1882"/>
    <cellStyle name="Обычный 2 2 65 2" xfId="3106"/>
    <cellStyle name="Обычный 2 2 65 2 2" xfId="10068"/>
    <cellStyle name="Обычный 2 2 65 2 3" xfId="22134"/>
    <cellStyle name="Обычный 2 2 66" xfId="1883"/>
    <cellStyle name="Обычный 2 2 66 2" xfId="3107"/>
    <cellStyle name="Обычный 2 2 66 2 2" xfId="10069"/>
    <cellStyle name="Обычный 2 2 66 2 3" xfId="22135"/>
    <cellStyle name="Обычный 2 2 67" xfId="1884"/>
    <cellStyle name="Обычный 2 2 67 2" xfId="3108"/>
    <cellStyle name="Обычный 2 2 67 2 2" xfId="10070"/>
    <cellStyle name="Обычный 2 2 67 2 3" xfId="22136"/>
    <cellStyle name="Обычный 2 2 68" xfId="1885"/>
    <cellStyle name="Обычный 2 2 68 2" xfId="3109"/>
    <cellStyle name="Обычный 2 2 68 2 2" xfId="10071"/>
    <cellStyle name="Обычный 2 2 68 2 3" xfId="22137"/>
    <cellStyle name="Обычный 2 2 69" xfId="1886"/>
    <cellStyle name="Обычный 2 2 69 2" xfId="3110"/>
    <cellStyle name="Обычный 2 2 69 2 2" xfId="10072"/>
    <cellStyle name="Обычный 2 2 69 2 3" xfId="22138"/>
    <cellStyle name="Обычный 2 2 7" xfId="1887"/>
    <cellStyle name="Обычный 2 2 7 2" xfId="3111"/>
    <cellStyle name="Обычный 2 2 7 2 2" xfId="10073"/>
    <cellStyle name="Обычный 2 2 7 2 3" xfId="22139"/>
    <cellStyle name="Обычный 2 2 70" xfId="1888"/>
    <cellStyle name="Обычный 2 2 70 2" xfId="3112"/>
    <cellStyle name="Обычный 2 2 70 2 2" xfId="10074"/>
    <cellStyle name="Обычный 2 2 70 2 3" xfId="22140"/>
    <cellStyle name="Обычный 2 2 71" xfId="1889"/>
    <cellStyle name="Обычный 2 2 71 2" xfId="3113"/>
    <cellStyle name="Обычный 2 2 71 2 2" xfId="10075"/>
    <cellStyle name="Обычный 2 2 71 2 3" xfId="22141"/>
    <cellStyle name="Обычный 2 2 72" xfId="1890"/>
    <cellStyle name="Обычный 2 2 72 2" xfId="3114"/>
    <cellStyle name="Обычный 2 2 72 2 2" xfId="10076"/>
    <cellStyle name="Обычный 2 2 72 2 3" xfId="22142"/>
    <cellStyle name="Обычный 2 2 73" xfId="1891"/>
    <cellStyle name="Обычный 2 2 73 2" xfId="3115"/>
    <cellStyle name="Обычный 2 2 73 2 2" xfId="10077"/>
    <cellStyle name="Обычный 2 2 73 2 3" xfId="22143"/>
    <cellStyle name="Обычный 2 2 74" xfId="1892"/>
    <cellStyle name="Обычный 2 2 74 2" xfId="3116"/>
    <cellStyle name="Обычный 2 2 74 2 2" xfId="10078"/>
    <cellStyle name="Обычный 2 2 74 2 3" xfId="22144"/>
    <cellStyle name="Обычный 2 2 75" xfId="1893"/>
    <cellStyle name="Обычный 2 2 75 2" xfId="3117"/>
    <cellStyle name="Обычный 2 2 75 2 2" xfId="10079"/>
    <cellStyle name="Обычный 2 2 75 2 3" xfId="22145"/>
    <cellStyle name="Обычный 2 2 76" xfId="1894"/>
    <cellStyle name="Обычный 2 2 76 2" xfId="3118"/>
    <cellStyle name="Обычный 2 2 76 2 2" xfId="10080"/>
    <cellStyle name="Обычный 2 2 76 2 3" xfId="22146"/>
    <cellStyle name="Обычный 2 2 77" xfId="1895"/>
    <cellStyle name="Обычный 2 2 77 2" xfId="3119"/>
    <cellStyle name="Обычный 2 2 77 2 2" xfId="10081"/>
    <cellStyle name="Обычный 2 2 77 2 3" xfId="22147"/>
    <cellStyle name="Обычный 2 2 78" xfId="1896"/>
    <cellStyle name="Обычный 2 2 78 2" xfId="3120"/>
    <cellStyle name="Обычный 2 2 78 2 2" xfId="10082"/>
    <cellStyle name="Обычный 2 2 78 2 3" xfId="22148"/>
    <cellStyle name="Обычный 2 2 79" xfId="1897"/>
    <cellStyle name="Обычный 2 2 79 2" xfId="3121"/>
    <cellStyle name="Обычный 2 2 79 2 2" xfId="10083"/>
    <cellStyle name="Обычный 2 2 79 2 3" xfId="22149"/>
    <cellStyle name="Обычный 2 2 8" xfId="1898"/>
    <cellStyle name="Обычный 2 2 8 2" xfId="3122"/>
    <cellStyle name="Обычный 2 2 8 2 2" xfId="10084"/>
    <cellStyle name="Обычный 2 2 8 2 3" xfId="22150"/>
    <cellStyle name="Обычный 2 2 80" xfId="1899"/>
    <cellStyle name="Обычный 2 2 80 2" xfId="3123"/>
    <cellStyle name="Обычный 2 2 80 2 2" xfId="10085"/>
    <cellStyle name="Обычный 2 2 80 2 3" xfId="22151"/>
    <cellStyle name="Обычный 2 2 81" xfId="1900"/>
    <cellStyle name="Обычный 2 2 81 2" xfId="3124"/>
    <cellStyle name="Обычный 2 2 81 2 2" xfId="10086"/>
    <cellStyle name="Обычный 2 2 81 2 3" xfId="22152"/>
    <cellStyle name="Обычный 2 2 82" xfId="1901"/>
    <cellStyle name="Обычный 2 2 82 2" xfId="3125"/>
    <cellStyle name="Обычный 2 2 82 2 2" xfId="10087"/>
    <cellStyle name="Обычный 2 2 82 2 3" xfId="22153"/>
    <cellStyle name="Обычный 2 2 83" xfId="1902"/>
    <cellStyle name="Обычный 2 2 83 2" xfId="3126"/>
    <cellStyle name="Обычный 2 2 83 2 2" xfId="10088"/>
    <cellStyle name="Обычный 2 2 83 2 3" xfId="22154"/>
    <cellStyle name="Обычный 2 2 84" xfId="1903"/>
    <cellStyle name="Обычный 2 2 84 2" xfId="3127"/>
    <cellStyle name="Обычный 2 2 84 2 2" xfId="10089"/>
    <cellStyle name="Обычный 2 2 84 2 3" xfId="22155"/>
    <cellStyle name="Обычный 2 2 85" xfId="1904"/>
    <cellStyle name="Обычный 2 2 85 2" xfId="3128"/>
    <cellStyle name="Обычный 2 2 85 2 2" xfId="10090"/>
    <cellStyle name="Обычный 2 2 85 2 3" xfId="22156"/>
    <cellStyle name="Обычный 2 2 86" xfId="1905"/>
    <cellStyle name="Обычный 2 2 86 2" xfId="3129"/>
    <cellStyle name="Обычный 2 2 86 2 2" xfId="10091"/>
    <cellStyle name="Обычный 2 2 86 2 3" xfId="22157"/>
    <cellStyle name="Обычный 2 2 87" xfId="1906"/>
    <cellStyle name="Обычный 2 2 87 2" xfId="3130"/>
    <cellStyle name="Обычный 2 2 87 2 2" xfId="10092"/>
    <cellStyle name="Обычный 2 2 87 2 3" xfId="22158"/>
    <cellStyle name="Обычный 2 2 88" xfId="2400"/>
    <cellStyle name="Обычный 2 2 88 2" xfId="10006"/>
    <cellStyle name="Обычный 2 2 88 3" xfId="22045"/>
    <cellStyle name="Обычный 2 2 89" xfId="2496"/>
    <cellStyle name="Обычный 2 2 89 2" xfId="10093"/>
    <cellStyle name="Обычный 2 2 89 3" xfId="22061"/>
    <cellStyle name="Обычный 2 2 9" xfId="1907"/>
    <cellStyle name="Обычный 2 2 9 2" xfId="3131"/>
    <cellStyle name="Обычный 2 2 9 2 2" xfId="10094"/>
    <cellStyle name="Обычный 2 2 9 2 3" xfId="22159"/>
    <cellStyle name="Обычный 2 2 90" xfId="2700"/>
    <cellStyle name="Обычный 2 2 90 2" xfId="10095"/>
    <cellStyle name="Обычный 2 2 90 3" xfId="22069"/>
    <cellStyle name="Обычный 2 2 91" xfId="2695"/>
    <cellStyle name="Обычный 2 2 91 2" xfId="10096"/>
    <cellStyle name="Обычный 2 2 91 3" xfId="22066"/>
    <cellStyle name="Обычный 2 2 92" xfId="2484"/>
    <cellStyle name="Обычный 2 2 92 2" xfId="10097"/>
    <cellStyle name="Обычный 2 2 92 3" xfId="22051"/>
    <cellStyle name="Обычный 2 2 93" xfId="2487"/>
    <cellStyle name="Обычный 2 2 93 2" xfId="10098"/>
    <cellStyle name="Обычный 2 2 93 3" xfId="22054"/>
    <cellStyle name="Обычный 2 2 94" xfId="2691"/>
    <cellStyle name="Обычный 2 2 94 2" xfId="10099"/>
    <cellStyle name="Обычный 2 2 94 3" xfId="22064"/>
    <cellStyle name="Обычный 2 2 95" xfId="2490"/>
    <cellStyle name="Обычный 2 2 95 2" xfId="10100"/>
    <cellStyle name="Обычный 2 2 95 3" xfId="22057"/>
    <cellStyle name="Обычный 2 2 96" xfId="2485"/>
    <cellStyle name="Обычный 2 2 96 2" xfId="10101"/>
    <cellStyle name="Обычный 2 2 96 3" xfId="22052"/>
    <cellStyle name="Обычный 2 2 97" xfId="2825"/>
    <cellStyle name="Обычный 2 2 97 2" xfId="10102"/>
    <cellStyle name="Обычный 2 2 97 3" xfId="22071"/>
    <cellStyle name="Обычный 2 2 98" xfId="2978"/>
    <cellStyle name="Обычный 2 2 98 2" xfId="10103"/>
    <cellStyle name="Обычный 2 2 98 3" xfId="22073"/>
    <cellStyle name="Обычный 2 2 99" xfId="2492"/>
    <cellStyle name="Обычный 2 2 99 2" xfId="10104"/>
    <cellStyle name="Обычный 2 2 99 3" xfId="22059"/>
    <cellStyle name="Обычный 2 2_Лист 1" xfId="13464"/>
    <cellStyle name="Обычный 2 3" xfId="13900"/>
    <cellStyle name="Обычный 2 3 2" xfId="16543"/>
    <cellStyle name="Обычный 2 3 2 2" xfId="24592"/>
    <cellStyle name="Обычный 2 3 3" xfId="19183"/>
    <cellStyle name="Обычный 2 3 3 2" xfId="32993"/>
    <cellStyle name="Обычный 2 3 4" xfId="24342"/>
    <cellStyle name="Обычный 2 4" xfId="14423"/>
    <cellStyle name="Обычный 2 4 2" xfId="16936"/>
    <cellStyle name="Обычный 2 4 2 2" xfId="24593"/>
    <cellStyle name="Обычный 2 4 3" xfId="19706"/>
    <cellStyle name="Обычный 2 4 3 2" xfId="33516"/>
    <cellStyle name="Обычный 2 4 4" xfId="24343"/>
    <cellStyle name="Обычный 2 5" xfId="13613"/>
    <cellStyle name="Обычный 2 5 2" xfId="16265"/>
    <cellStyle name="Обычный 2 5 2 2" xfId="24591"/>
    <cellStyle name="Обычный 2 5 3" xfId="18896"/>
    <cellStyle name="Обычный 2 5 3 2" xfId="32706"/>
    <cellStyle name="Обычный 2 5 4" xfId="24341"/>
    <cellStyle name="Обычный 2 6" xfId="13058"/>
    <cellStyle name="Обычный 2 6 2" xfId="16009"/>
    <cellStyle name="Обычный 2 6 2 2" xfId="24589"/>
    <cellStyle name="Обычный 2 6 3" xfId="18390"/>
    <cellStyle name="Обычный 2 6 3 2" xfId="32200"/>
    <cellStyle name="Обычный 2 6 4" xfId="24339"/>
    <cellStyle name="Обычный 2 7" xfId="13463"/>
    <cellStyle name="Обычный 2 7 2" xfId="16214"/>
    <cellStyle name="Обычный 2 7 2 2" xfId="24590"/>
    <cellStyle name="Обычный 2 7 3" xfId="18795"/>
    <cellStyle name="Обычный 2 7 3 2" xfId="32605"/>
    <cellStyle name="Обычный 2 7 4" xfId="24340"/>
    <cellStyle name="Обычный 2 8" xfId="15398"/>
    <cellStyle name="Обычный 2 8 2" xfId="24344"/>
    <cellStyle name="Обычный 2 9" xfId="17166"/>
    <cellStyle name="Обычный 2 9 2" xfId="30978"/>
    <cellStyle name="Обычный 3" xfId="1908"/>
    <cellStyle name="Обычный 3 10" xfId="1909"/>
    <cellStyle name="Обычный 3 10 2" xfId="10106"/>
    <cellStyle name="Обычный 3 100" xfId="10107"/>
    <cellStyle name="Обычный 3 11" xfId="1910"/>
    <cellStyle name="Обычный 3 11 2" xfId="10108"/>
    <cellStyle name="Обычный 3 12" xfId="1911"/>
    <cellStyle name="Обычный 3 12 2" xfId="10109"/>
    <cellStyle name="Обычный 3 13" xfId="1912"/>
    <cellStyle name="Обычный 3 13 2" xfId="10110"/>
    <cellStyle name="Обычный 3 14" xfId="1913"/>
    <cellStyle name="Обычный 3 14 2" xfId="10111"/>
    <cellStyle name="Обычный 3 15" xfId="1914"/>
    <cellStyle name="Обычный 3 15 2" xfId="10112"/>
    <cellStyle name="Обычный 3 16" xfId="1915"/>
    <cellStyle name="Обычный 3 16 2" xfId="10113"/>
    <cellStyle name="Обычный 3 17" xfId="1916"/>
    <cellStyle name="Обычный 3 17 2" xfId="10114"/>
    <cellStyle name="Обычный 3 18" xfId="1917"/>
    <cellStyle name="Обычный 3 18 2" xfId="10115"/>
    <cellStyle name="Обычный 3 19" xfId="1918"/>
    <cellStyle name="Обычный 3 19 2" xfId="10116"/>
    <cellStyle name="Обычный 3 2" xfId="1919"/>
    <cellStyle name="Обычный 3 2 2" xfId="10117"/>
    <cellStyle name="Обычный 3 20" xfId="1920"/>
    <cellStyle name="Обычный 3 20 2" xfId="10118"/>
    <cellStyle name="Обычный 3 21" xfId="1921"/>
    <cellStyle name="Обычный 3 21 2" xfId="10119"/>
    <cellStyle name="Обычный 3 22" xfId="1922"/>
    <cellStyle name="Обычный 3 22 2" xfId="10120"/>
    <cellStyle name="Обычный 3 23" xfId="1923"/>
    <cellStyle name="Обычный 3 23 2" xfId="10121"/>
    <cellStyle name="Обычный 3 24" xfId="1924"/>
    <cellStyle name="Обычный 3 24 2" xfId="10122"/>
    <cellStyle name="Обычный 3 25" xfId="1925"/>
    <cellStyle name="Обычный 3 25 2" xfId="10123"/>
    <cellStyle name="Обычный 3 26" xfId="1926"/>
    <cellStyle name="Обычный 3 26 2" xfId="10124"/>
    <cellStyle name="Обычный 3 27" xfId="1927"/>
    <cellStyle name="Обычный 3 27 2" xfId="10125"/>
    <cellStyle name="Обычный 3 28" xfId="1928"/>
    <cellStyle name="Обычный 3 28 2" xfId="10126"/>
    <cellStyle name="Обычный 3 29" xfId="1929"/>
    <cellStyle name="Обычный 3 29 2" xfId="10127"/>
    <cellStyle name="Обычный 3 3" xfId="1930"/>
    <cellStyle name="Обычный 3 3 2" xfId="10128"/>
    <cellStyle name="Обычный 3 30" xfId="1931"/>
    <cellStyle name="Обычный 3 30 2" xfId="10129"/>
    <cellStyle name="Обычный 3 31" xfId="1932"/>
    <cellStyle name="Обычный 3 31 2" xfId="10130"/>
    <cellStyle name="Обычный 3 32" xfId="1933"/>
    <cellStyle name="Обычный 3 32 2" xfId="10131"/>
    <cellStyle name="Обычный 3 33" xfId="1934"/>
    <cellStyle name="Обычный 3 33 2" xfId="10132"/>
    <cellStyle name="Обычный 3 34" xfId="1935"/>
    <cellStyle name="Обычный 3 34 2" xfId="10133"/>
    <cellStyle name="Обычный 3 35" xfId="1936"/>
    <cellStyle name="Обычный 3 35 2" xfId="10134"/>
    <cellStyle name="Обычный 3 36" xfId="1937"/>
    <cellStyle name="Обычный 3 36 2" xfId="10135"/>
    <cellStyle name="Обычный 3 37" xfId="1938"/>
    <cellStyle name="Обычный 3 37 2" xfId="10136"/>
    <cellStyle name="Обычный 3 38" xfId="1939"/>
    <cellStyle name="Обычный 3 38 2" xfId="10137"/>
    <cellStyle name="Обычный 3 39" xfId="1940"/>
    <cellStyle name="Обычный 3 39 2" xfId="10138"/>
    <cellStyle name="Обычный 3 4" xfId="1941"/>
    <cellStyle name="Обычный 3 4 2" xfId="10139"/>
    <cellStyle name="Обычный 3 40" xfId="1942"/>
    <cellStyle name="Обычный 3 40 2" xfId="10140"/>
    <cellStyle name="Обычный 3 41" xfId="1943"/>
    <cellStyle name="Обычный 3 41 2" xfId="10141"/>
    <cellStyle name="Обычный 3 42" xfId="1944"/>
    <cellStyle name="Обычный 3 42 2" xfId="10142"/>
    <cellStyle name="Обычный 3 43" xfId="1945"/>
    <cellStyle name="Обычный 3 43 2" xfId="10143"/>
    <cellStyle name="Обычный 3 44" xfId="1946"/>
    <cellStyle name="Обычный 3 44 2" xfId="10144"/>
    <cellStyle name="Обычный 3 45" xfId="1947"/>
    <cellStyle name="Обычный 3 45 2" xfId="10145"/>
    <cellStyle name="Обычный 3 46" xfId="1948"/>
    <cellStyle name="Обычный 3 46 2" xfId="10146"/>
    <cellStyle name="Обычный 3 47" xfId="1949"/>
    <cellStyle name="Обычный 3 47 2" xfId="10147"/>
    <cellStyle name="Обычный 3 48" xfId="1950"/>
    <cellStyle name="Обычный 3 48 2" xfId="10148"/>
    <cellStyle name="Обычный 3 49" xfId="1951"/>
    <cellStyle name="Обычный 3 49 2" xfId="10149"/>
    <cellStyle name="Обычный 3 5" xfId="1952"/>
    <cellStyle name="Обычный 3 5 2" xfId="10150"/>
    <cellStyle name="Обычный 3 50" xfId="1953"/>
    <cellStyle name="Обычный 3 50 2" xfId="10151"/>
    <cellStyle name="Обычный 3 51" xfId="1954"/>
    <cellStyle name="Обычный 3 51 2" xfId="10152"/>
    <cellStyle name="Обычный 3 52" xfId="1955"/>
    <cellStyle name="Обычный 3 52 2" xfId="10153"/>
    <cellStyle name="Обычный 3 53" xfId="1956"/>
    <cellStyle name="Обычный 3 53 2" xfId="10154"/>
    <cellStyle name="Обычный 3 54" xfId="1957"/>
    <cellStyle name="Обычный 3 54 2" xfId="10155"/>
    <cellStyle name="Обычный 3 55" xfId="1958"/>
    <cellStyle name="Обычный 3 55 2" xfId="10156"/>
    <cellStyle name="Обычный 3 56" xfId="1959"/>
    <cellStyle name="Обычный 3 56 2" xfId="10157"/>
    <cellStyle name="Обычный 3 57" xfId="1960"/>
    <cellStyle name="Обычный 3 57 2" xfId="10158"/>
    <cellStyle name="Обычный 3 58" xfId="1961"/>
    <cellStyle name="Обычный 3 58 2" xfId="10159"/>
    <cellStyle name="Обычный 3 59" xfId="1962"/>
    <cellStyle name="Обычный 3 59 2" xfId="10160"/>
    <cellStyle name="Обычный 3 6" xfId="1963"/>
    <cellStyle name="Обычный 3 6 2" xfId="10161"/>
    <cellStyle name="Обычный 3 60" xfId="1964"/>
    <cellStyle name="Обычный 3 60 2" xfId="10162"/>
    <cellStyle name="Обычный 3 61" xfId="1965"/>
    <cellStyle name="Обычный 3 61 2" xfId="10163"/>
    <cellStyle name="Обычный 3 62" xfId="1966"/>
    <cellStyle name="Обычный 3 62 2" xfId="10164"/>
    <cellStyle name="Обычный 3 63" xfId="1967"/>
    <cellStyle name="Обычный 3 63 2" xfId="10165"/>
    <cellStyle name="Обычный 3 64" xfId="1968"/>
    <cellStyle name="Обычный 3 64 2" xfId="10166"/>
    <cellStyle name="Обычный 3 65" xfId="1969"/>
    <cellStyle name="Обычный 3 65 2" xfId="10167"/>
    <cellStyle name="Обычный 3 66" xfId="1970"/>
    <cellStyle name="Обычный 3 66 2" xfId="10168"/>
    <cellStyle name="Обычный 3 67" xfId="1971"/>
    <cellStyle name="Обычный 3 67 2" xfId="10169"/>
    <cellStyle name="Обычный 3 68" xfId="1972"/>
    <cellStyle name="Обычный 3 68 2" xfId="10170"/>
    <cellStyle name="Обычный 3 69" xfId="1973"/>
    <cellStyle name="Обычный 3 69 2" xfId="10171"/>
    <cellStyle name="Обычный 3 7" xfId="1974"/>
    <cellStyle name="Обычный 3 7 2" xfId="10172"/>
    <cellStyle name="Обычный 3 70" xfId="1975"/>
    <cellStyle name="Обычный 3 70 2" xfId="10173"/>
    <cellStyle name="Обычный 3 71" xfId="1976"/>
    <cellStyle name="Обычный 3 71 2" xfId="10174"/>
    <cellStyle name="Обычный 3 72" xfId="1977"/>
    <cellStyle name="Обычный 3 72 2" xfId="10175"/>
    <cellStyle name="Обычный 3 73" xfId="1978"/>
    <cellStyle name="Обычный 3 73 2" xfId="10176"/>
    <cellStyle name="Обычный 3 74" xfId="1979"/>
    <cellStyle name="Обычный 3 74 2" xfId="10177"/>
    <cellStyle name="Обычный 3 75" xfId="1980"/>
    <cellStyle name="Обычный 3 75 2" xfId="10178"/>
    <cellStyle name="Обычный 3 76" xfId="1981"/>
    <cellStyle name="Обычный 3 76 2" xfId="10179"/>
    <cellStyle name="Обычный 3 77" xfId="1982"/>
    <cellStyle name="Обычный 3 77 2" xfId="10180"/>
    <cellStyle name="Обычный 3 78" xfId="1983"/>
    <cellStyle name="Обычный 3 78 2" xfId="10181"/>
    <cellStyle name="Обычный 3 79" xfId="1984"/>
    <cellStyle name="Обычный 3 79 2" xfId="10182"/>
    <cellStyle name="Обычный 3 8" xfId="1985"/>
    <cellStyle name="Обычный 3 8 2" xfId="10183"/>
    <cellStyle name="Обычный 3 80" xfId="1986"/>
    <cellStyle name="Обычный 3 80 2" xfId="10184"/>
    <cellStyle name="Обычный 3 81" xfId="1987"/>
    <cellStyle name="Обычный 3 81 2" xfId="10185"/>
    <cellStyle name="Обычный 3 82" xfId="1988"/>
    <cellStyle name="Обычный 3 82 2" xfId="10186"/>
    <cellStyle name="Обычный 3 83" xfId="1989"/>
    <cellStyle name="Обычный 3 83 2" xfId="10187"/>
    <cellStyle name="Обычный 3 84" xfId="1990"/>
    <cellStyle name="Обычный 3 84 2" xfId="10188"/>
    <cellStyle name="Обычный 3 85" xfId="1991"/>
    <cellStyle name="Обычный 3 85 2" xfId="10189"/>
    <cellStyle name="Обычный 3 86" xfId="1992"/>
    <cellStyle name="Обычный 3 86 2" xfId="10190"/>
    <cellStyle name="Обычный 3 87" xfId="1993"/>
    <cellStyle name="Обычный 3 87 2" xfId="10191"/>
    <cellStyle name="Обычный 3 88" xfId="10105"/>
    <cellStyle name="Обычный 3 89" xfId="10192"/>
    <cellStyle name="Обычный 3 9" xfId="1994"/>
    <cellStyle name="Обычный 3 9 2" xfId="10193"/>
    <cellStyle name="Обычный 3 90" xfId="10194"/>
    <cellStyle name="Обычный 3 91" xfId="10195"/>
    <cellStyle name="Обычный 3 92" xfId="10196"/>
    <cellStyle name="Обычный 3 93" xfId="10197"/>
    <cellStyle name="Обычный 3 94" xfId="10198"/>
    <cellStyle name="Обычный 3 95" xfId="10199"/>
    <cellStyle name="Обычный 3 96" xfId="10200"/>
    <cellStyle name="Обычный 3 97" xfId="10201"/>
    <cellStyle name="Обычный 3 98" xfId="10202"/>
    <cellStyle name="Обычный 3 99" xfId="10203"/>
    <cellStyle name="Обычный 3_Лист 1" xfId="13465"/>
    <cellStyle name="Обычный 4" xfId="17165"/>
    <cellStyle name="Обычный 5" xfId="17167"/>
    <cellStyle name="Обычный 7" xfId="17418"/>
    <cellStyle name="Обычный 8" xfId="1995"/>
    <cellStyle name="Обычный 8 10" xfId="1996"/>
    <cellStyle name="Обычный 8 10 2" xfId="3132"/>
    <cellStyle name="Обычный 8 10 2 2" xfId="10205"/>
    <cellStyle name="Обычный 8 10 2 3" xfId="22160"/>
    <cellStyle name="Обычный 8 100" xfId="2876"/>
    <cellStyle name="Обычный 8 100 2" xfId="10206"/>
    <cellStyle name="Обычный 8 100 3" xfId="22072"/>
    <cellStyle name="Обычный 8 101" xfId="2495"/>
    <cellStyle name="Обычный 8 102" xfId="2479"/>
    <cellStyle name="Обычный 8 11" xfId="1997"/>
    <cellStyle name="Обычный 8 11 2" xfId="3133"/>
    <cellStyle name="Обычный 8 11 2 2" xfId="10207"/>
    <cellStyle name="Обычный 8 11 2 3" xfId="22161"/>
    <cellStyle name="Обычный 8 12" xfId="1998"/>
    <cellStyle name="Обычный 8 12 2" xfId="3134"/>
    <cellStyle name="Обычный 8 12 2 2" xfId="10208"/>
    <cellStyle name="Обычный 8 12 2 3" xfId="22162"/>
    <cellStyle name="Обычный 8 13" xfId="1999"/>
    <cellStyle name="Обычный 8 13 2" xfId="3135"/>
    <cellStyle name="Обычный 8 13 2 2" xfId="10209"/>
    <cellStyle name="Обычный 8 13 2 3" xfId="22163"/>
    <cellStyle name="Обычный 8 14" xfId="2000"/>
    <cellStyle name="Обычный 8 14 2" xfId="3136"/>
    <cellStyle name="Обычный 8 14 2 2" xfId="10210"/>
    <cellStyle name="Обычный 8 14 2 3" xfId="22164"/>
    <cellStyle name="Обычный 8 15" xfId="2001"/>
    <cellStyle name="Обычный 8 15 2" xfId="3137"/>
    <cellStyle name="Обычный 8 15 2 2" xfId="10211"/>
    <cellStyle name="Обычный 8 15 2 3" xfId="22165"/>
    <cellStyle name="Обычный 8 16" xfId="2002"/>
    <cellStyle name="Обычный 8 16 2" xfId="3138"/>
    <cellStyle name="Обычный 8 16 2 2" xfId="10212"/>
    <cellStyle name="Обычный 8 16 2 3" xfId="22166"/>
    <cellStyle name="Обычный 8 17" xfId="2003"/>
    <cellStyle name="Обычный 8 17 2" xfId="3139"/>
    <cellStyle name="Обычный 8 17 2 2" xfId="10213"/>
    <cellStyle name="Обычный 8 17 2 3" xfId="22167"/>
    <cellStyle name="Обычный 8 18" xfId="2004"/>
    <cellStyle name="Обычный 8 18 2" xfId="3140"/>
    <cellStyle name="Обычный 8 18 2 2" xfId="10214"/>
    <cellStyle name="Обычный 8 18 2 3" xfId="22168"/>
    <cellStyle name="Обычный 8 19" xfId="2005"/>
    <cellStyle name="Обычный 8 19 2" xfId="3141"/>
    <cellStyle name="Обычный 8 19 2 2" xfId="10215"/>
    <cellStyle name="Обычный 8 19 2 3" xfId="22169"/>
    <cellStyle name="Обычный 8 2" xfId="2006"/>
    <cellStyle name="Обычный 8 2 2" xfId="3142"/>
    <cellStyle name="Обычный 8 2 2 2" xfId="10216"/>
    <cellStyle name="Обычный 8 2 2 3" xfId="22170"/>
    <cellStyle name="Обычный 8 20" xfId="2007"/>
    <cellStyle name="Обычный 8 20 2" xfId="3143"/>
    <cellStyle name="Обычный 8 20 2 2" xfId="10217"/>
    <cellStyle name="Обычный 8 20 2 3" xfId="22171"/>
    <cellStyle name="Обычный 8 21" xfId="2008"/>
    <cellStyle name="Обычный 8 21 2" xfId="3144"/>
    <cellStyle name="Обычный 8 21 2 2" xfId="10218"/>
    <cellStyle name="Обычный 8 21 2 3" xfId="22172"/>
    <cellStyle name="Обычный 8 22" xfId="2009"/>
    <cellStyle name="Обычный 8 22 2" xfId="3145"/>
    <cellStyle name="Обычный 8 22 2 2" xfId="10219"/>
    <cellStyle name="Обычный 8 22 2 3" xfId="22173"/>
    <cellStyle name="Обычный 8 23" xfId="2010"/>
    <cellStyle name="Обычный 8 23 2" xfId="3146"/>
    <cellStyle name="Обычный 8 23 2 2" xfId="10220"/>
    <cellStyle name="Обычный 8 23 2 3" xfId="22174"/>
    <cellStyle name="Обычный 8 24" xfId="2011"/>
    <cellStyle name="Обычный 8 24 2" xfId="3147"/>
    <cellStyle name="Обычный 8 24 2 2" xfId="10221"/>
    <cellStyle name="Обычный 8 24 2 3" xfId="22175"/>
    <cellStyle name="Обычный 8 25" xfId="2012"/>
    <cellStyle name="Обычный 8 25 2" xfId="3148"/>
    <cellStyle name="Обычный 8 25 2 2" xfId="10222"/>
    <cellStyle name="Обычный 8 25 2 3" xfId="22176"/>
    <cellStyle name="Обычный 8 26" xfId="2013"/>
    <cellStyle name="Обычный 8 26 2" xfId="3149"/>
    <cellStyle name="Обычный 8 26 2 2" xfId="10223"/>
    <cellStyle name="Обычный 8 26 2 3" xfId="22177"/>
    <cellStyle name="Обычный 8 27" xfId="2014"/>
    <cellStyle name="Обычный 8 27 2" xfId="3150"/>
    <cellStyle name="Обычный 8 27 2 2" xfId="10224"/>
    <cellStyle name="Обычный 8 27 2 3" xfId="22178"/>
    <cellStyle name="Обычный 8 28" xfId="2015"/>
    <cellStyle name="Обычный 8 28 2" xfId="3151"/>
    <cellStyle name="Обычный 8 28 2 2" xfId="10225"/>
    <cellStyle name="Обычный 8 28 2 3" xfId="22179"/>
    <cellStyle name="Обычный 8 29" xfId="2016"/>
    <cellStyle name="Обычный 8 29 2" xfId="3152"/>
    <cellStyle name="Обычный 8 29 2 2" xfId="10226"/>
    <cellStyle name="Обычный 8 29 2 3" xfId="22180"/>
    <cellStyle name="Обычный 8 3" xfId="2017"/>
    <cellStyle name="Обычный 8 3 2" xfId="3153"/>
    <cellStyle name="Обычный 8 3 2 2" xfId="10227"/>
    <cellStyle name="Обычный 8 3 2 3" xfId="22181"/>
    <cellStyle name="Обычный 8 30" xfId="2018"/>
    <cellStyle name="Обычный 8 30 2" xfId="3154"/>
    <cellStyle name="Обычный 8 30 2 2" xfId="10228"/>
    <cellStyle name="Обычный 8 30 2 3" xfId="22182"/>
    <cellStyle name="Обычный 8 31" xfId="2019"/>
    <cellStyle name="Обычный 8 31 2" xfId="3155"/>
    <cellStyle name="Обычный 8 31 2 2" xfId="10229"/>
    <cellStyle name="Обычный 8 31 2 3" xfId="22183"/>
    <cellStyle name="Обычный 8 32" xfId="2020"/>
    <cellStyle name="Обычный 8 32 2" xfId="3156"/>
    <cellStyle name="Обычный 8 32 2 2" xfId="10230"/>
    <cellStyle name="Обычный 8 32 2 3" xfId="22184"/>
    <cellStyle name="Обычный 8 33" xfId="2021"/>
    <cellStyle name="Обычный 8 33 2" xfId="3157"/>
    <cellStyle name="Обычный 8 33 2 2" xfId="10231"/>
    <cellStyle name="Обычный 8 33 2 3" xfId="22185"/>
    <cellStyle name="Обычный 8 34" xfId="2022"/>
    <cellStyle name="Обычный 8 34 2" xfId="3158"/>
    <cellStyle name="Обычный 8 34 2 2" xfId="10232"/>
    <cellStyle name="Обычный 8 34 2 3" xfId="22186"/>
    <cellStyle name="Обычный 8 35" xfId="2023"/>
    <cellStyle name="Обычный 8 35 2" xfId="3159"/>
    <cellStyle name="Обычный 8 35 2 2" xfId="10233"/>
    <cellStyle name="Обычный 8 35 2 3" xfId="22187"/>
    <cellStyle name="Обычный 8 36" xfId="2024"/>
    <cellStyle name="Обычный 8 36 2" xfId="3160"/>
    <cellStyle name="Обычный 8 36 2 2" xfId="10234"/>
    <cellStyle name="Обычный 8 36 2 3" xfId="22188"/>
    <cellStyle name="Обычный 8 37" xfId="2025"/>
    <cellStyle name="Обычный 8 37 2" xfId="3161"/>
    <cellStyle name="Обычный 8 37 2 2" xfId="10235"/>
    <cellStyle name="Обычный 8 37 2 3" xfId="22189"/>
    <cellStyle name="Обычный 8 38" xfId="2026"/>
    <cellStyle name="Обычный 8 38 2" xfId="3162"/>
    <cellStyle name="Обычный 8 38 2 2" xfId="10236"/>
    <cellStyle name="Обычный 8 38 2 3" xfId="22190"/>
    <cellStyle name="Обычный 8 39" xfId="2027"/>
    <cellStyle name="Обычный 8 39 2" xfId="3163"/>
    <cellStyle name="Обычный 8 39 2 2" xfId="10237"/>
    <cellStyle name="Обычный 8 39 2 3" xfId="22191"/>
    <cellStyle name="Обычный 8 4" xfId="2028"/>
    <cellStyle name="Обычный 8 4 2" xfId="3164"/>
    <cellStyle name="Обычный 8 4 2 2" xfId="10238"/>
    <cellStyle name="Обычный 8 4 2 3" xfId="22192"/>
    <cellStyle name="Обычный 8 40" xfId="2029"/>
    <cellStyle name="Обычный 8 40 2" xfId="3165"/>
    <cellStyle name="Обычный 8 40 2 2" xfId="10239"/>
    <cellStyle name="Обычный 8 40 2 3" xfId="22193"/>
    <cellStyle name="Обычный 8 41" xfId="2030"/>
    <cellStyle name="Обычный 8 41 2" xfId="3166"/>
    <cellStyle name="Обычный 8 41 2 2" xfId="10240"/>
    <cellStyle name="Обычный 8 41 2 3" xfId="22194"/>
    <cellStyle name="Обычный 8 42" xfId="2031"/>
    <cellStyle name="Обычный 8 42 2" xfId="3167"/>
    <cellStyle name="Обычный 8 42 2 2" xfId="10241"/>
    <cellStyle name="Обычный 8 42 2 3" xfId="22195"/>
    <cellStyle name="Обычный 8 43" xfId="2032"/>
    <cellStyle name="Обычный 8 43 2" xfId="3168"/>
    <cellStyle name="Обычный 8 43 2 2" xfId="10242"/>
    <cellStyle name="Обычный 8 43 2 3" xfId="22196"/>
    <cellStyle name="Обычный 8 44" xfId="2033"/>
    <cellStyle name="Обычный 8 44 2" xfId="3169"/>
    <cellStyle name="Обычный 8 44 2 2" xfId="10243"/>
    <cellStyle name="Обычный 8 44 2 3" xfId="22197"/>
    <cellStyle name="Обычный 8 45" xfId="2034"/>
    <cellStyle name="Обычный 8 45 2" xfId="3170"/>
    <cellStyle name="Обычный 8 45 2 2" xfId="10244"/>
    <cellStyle name="Обычный 8 45 2 3" xfId="22198"/>
    <cellStyle name="Обычный 8 46" xfId="2035"/>
    <cellStyle name="Обычный 8 46 2" xfId="3171"/>
    <cellStyle name="Обычный 8 46 2 2" xfId="10245"/>
    <cellStyle name="Обычный 8 46 2 3" xfId="22199"/>
    <cellStyle name="Обычный 8 47" xfId="2036"/>
    <cellStyle name="Обычный 8 47 2" xfId="3172"/>
    <cellStyle name="Обычный 8 47 2 2" xfId="10246"/>
    <cellStyle name="Обычный 8 47 2 3" xfId="22200"/>
    <cellStyle name="Обычный 8 48" xfId="2037"/>
    <cellStyle name="Обычный 8 48 2" xfId="3173"/>
    <cellStyle name="Обычный 8 48 2 2" xfId="10247"/>
    <cellStyle name="Обычный 8 48 2 3" xfId="22201"/>
    <cellStyle name="Обычный 8 49" xfId="2038"/>
    <cellStyle name="Обычный 8 49 2" xfId="3174"/>
    <cellStyle name="Обычный 8 49 2 2" xfId="10248"/>
    <cellStyle name="Обычный 8 49 2 3" xfId="22202"/>
    <cellStyle name="Обычный 8 5" xfId="2039"/>
    <cellStyle name="Обычный 8 5 2" xfId="3175"/>
    <cellStyle name="Обычный 8 5 2 2" xfId="10249"/>
    <cellStyle name="Обычный 8 5 2 3" xfId="22203"/>
    <cellStyle name="Обычный 8 50" xfId="2040"/>
    <cellStyle name="Обычный 8 50 2" xfId="3176"/>
    <cellStyle name="Обычный 8 50 2 2" xfId="10250"/>
    <cellStyle name="Обычный 8 50 2 3" xfId="22204"/>
    <cellStyle name="Обычный 8 51" xfId="2041"/>
    <cellStyle name="Обычный 8 51 2" xfId="3177"/>
    <cellStyle name="Обычный 8 51 2 2" xfId="10251"/>
    <cellStyle name="Обычный 8 51 2 3" xfId="22205"/>
    <cellStyle name="Обычный 8 52" xfId="2042"/>
    <cellStyle name="Обычный 8 52 2" xfId="3178"/>
    <cellStyle name="Обычный 8 52 2 2" xfId="10252"/>
    <cellStyle name="Обычный 8 52 2 3" xfId="22206"/>
    <cellStyle name="Обычный 8 53" xfId="2043"/>
    <cellStyle name="Обычный 8 53 2" xfId="3179"/>
    <cellStyle name="Обычный 8 53 2 2" xfId="10253"/>
    <cellStyle name="Обычный 8 53 2 3" xfId="22207"/>
    <cellStyle name="Обычный 8 54" xfId="2044"/>
    <cellStyle name="Обычный 8 54 2" xfId="3180"/>
    <cellStyle name="Обычный 8 54 2 2" xfId="10254"/>
    <cellStyle name="Обычный 8 54 2 3" xfId="22208"/>
    <cellStyle name="Обычный 8 55" xfId="2045"/>
    <cellStyle name="Обычный 8 55 2" xfId="3181"/>
    <cellStyle name="Обычный 8 55 2 2" xfId="10255"/>
    <cellStyle name="Обычный 8 55 2 3" xfId="22209"/>
    <cellStyle name="Обычный 8 56" xfId="2046"/>
    <cellStyle name="Обычный 8 56 2" xfId="3182"/>
    <cellStyle name="Обычный 8 56 2 2" xfId="10256"/>
    <cellStyle name="Обычный 8 56 2 3" xfId="22210"/>
    <cellStyle name="Обычный 8 57" xfId="2047"/>
    <cellStyle name="Обычный 8 57 2" xfId="3183"/>
    <cellStyle name="Обычный 8 57 2 2" xfId="10257"/>
    <cellStyle name="Обычный 8 57 2 3" xfId="22211"/>
    <cellStyle name="Обычный 8 58" xfId="2048"/>
    <cellStyle name="Обычный 8 58 2" xfId="3184"/>
    <cellStyle name="Обычный 8 58 2 2" xfId="10258"/>
    <cellStyle name="Обычный 8 58 2 3" xfId="22212"/>
    <cellStyle name="Обычный 8 59" xfId="2049"/>
    <cellStyle name="Обычный 8 59 2" xfId="3185"/>
    <cellStyle name="Обычный 8 59 2 2" xfId="10259"/>
    <cellStyle name="Обычный 8 59 2 3" xfId="22213"/>
    <cellStyle name="Обычный 8 6" xfId="2050"/>
    <cellStyle name="Обычный 8 6 2" xfId="3186"/>
    <cellStyle name="Обычный 8 6 2 2" xfId="10260"/>
    <cellStyle name="Обычный 8 6 2 3" xfId="22214"/>
    <cellStyle name="Обычный 8 60" xfId="2051"/>
    <cellStyle name="Обычный 8 60 2" xfId="3187"/>
    <cellStyle name="Обычный 8 60 2 2" xfId="10261"/>
    <cellStyle name="Обычный 8 60 2 3" xfId="22215"/>
    <cellStyle name="Обычный 8 61" xfId="2052"/>
    <cellStyle name="Обычный 8 61 2" xfId="3188"/>
    <cellStyle name="Обычный 8 61 2 2" xfId="10262"/>
    <cellStyle name="Обычный 8 61 2 3" xfId="22216"/>
    <cellStyle name="Обычный 8 62" xfId="2053"/>
    <cellStyle name="Обычный 8 62 2" xfId="3189"/>
    <cellStyle name="Обычный 8 62 2 2" xfId="10263"/>
    <cellStyle name="Обычный 8 62 2 3" xfId="22217"/>
    <cellStyle name="Обычный 8 63" xfId="2054"/>
    <cellStyle name="Обычный 8 63 2" xfId="3190"/>
    <cellStyle name="Обычный 8 63 2 2" xfId="10264"/>
    <cellStyle name="Обычный 8 63 2 3" xfId="22218"/>
    <cellStyle name="Обычный 8 64" xfId="2055"/>
    <cellStyle name="Обычный 8 64 2" xfId="3191"/>
    <cellStyle name="Обычный 8 64 2 2" xfId="10265"/>
    <cellStyle name="Обычный 8 64 2 3" xfId="22219"/>
    <cellStyle name="Обычный 8 65" xfId="2056"/>
    <cellStyle name="Обычный 8 65 2" xfId="3192"/>
    <cellStyle name="Обычный 8 65 2 2" xfId="10266"/>
    <cellStyle name="Обычный 8 65 2 3" xfId="22220"/>
    <cellStyle name="Обычный 8 66" xfId="2057"/>
    <cellStyle name="Обычный 8 66 2" xfId="3193"/>
    <cellStyle name="Обычный 8 66 2 2" xfId="10267"/>
    <cellStyle name="Обычный 8 66 2 3" xfId="22221"/>
    <cellStyle name="Обычный 8 67" xfId="2058"/>
    <cellStyle name="Обычный 8 67 2" xfId="3194"/>
    <cellStyle name="Обычный 8 67 2 2" xfId="10268"/>
    <cellStyle name="Обычный 8 67 2 3" xfId="22222"/>
    <cellStyle name="Обычный 8 68" xfId="2059"/>
    <cellStyle name="Обычный 8 68 2" xfId="3195"/>
    <cellStyle name="Обычный 8 68 2 2" xfId="10269"/>
    <cellStyle name="Обычный 8 68 2 3" xfId="22223"/>
    <cellStyle name="Обычный 8 69" xfId="2060"/>
    <cellStyle name="Обычный 8 69 2" xfId="3196"/>
    <cellStyle name="Обычный 8 69 2 2" xfId="10270"/>
    <cellStyle name="Обычный 8 69 2 3" xfId="22224"/>
    <cellStyle name="Обычный 8 7" xfId="2061"/>
    <cellStyle name="Обычный 8 7 2" xfId="3197"/>
    <cellStyle name="Обычный 8 7 2 2" xfId="10271"/>
    <cellStyle name="Обычный 8 7 2 3" xfId="22225"/>
    <cellStyle name="Обычный 8 70" xfId="2062"/>
    <cellStyle name="Обычный 8 70 2" xfId="3198"/>
    <cellStyle name="Обычный 8 70 2 2" xfId="10272"/>
    <cellStyle name="Обычный 8 70 2 3" xfId="22226"/>
    <cellStyle name="Обычный 8 71" xfId="2063"/>
    <cellStyle name="Обычный 8 71 2" xfId="3199"/>
    <cellStyle name="Обычный 8 71 2 2" xfId="10273"/>
    <cellStyle name="Обычный 8 71 2 3" xfId="22227"/>
    <cellStyle name="Обычный 8 72" xfId="2064"/>
    <cellStyle name="Обычный 8 72 2" xfId="3200"/>
    <cellStyle name="Обычный 8 72 2 2" xfId="10274"/>
    <cellStyle name="Обычный 8 72 2 3" xfId="22228"/>
    <cellStyle name="Обычный 8 73" xfId="2065"/>
    <cellStyle name="Обычный 8 73 2" xfId="3201"/>
    <cellStyle name="Обычный 8 73 2 2" xfId="10275"/>
    <cellStyle name="Обычный 8 73 2 3" xfId="22229"/>
    <cellStyle name="Обычный 8 74" xfId="2066"/>
    <cellStyle name="Обычный 8 74 2" xfId="3202"/>
    <cellStyle name="Обычный 8 74 2 2" xfId="10276"/>
    <cellStyle name="Обычный 8 74 2 3" xfId="22230"/>
    <cellStyle name="Обычный 8 75" xfId="2067"/>
    <cellStyle name="Обычный 8 75 2" xfId="3203"/>
    <cellStyle name="Обычный 8 75 2 2" xfId="10277"/>
    <cellStyle name="Обычный 8 75 2 3" xfId="22231"/>
    <cellStyle name="Обычный 8 76" xfId="2068"/>
    <cellStyle name="Обычный 8 76 2" xfId="3204"/>
    <cellStyle name="Обычный 8 76 2 2" xfId="10278"/>
    <cellStyle name="Обычный 8 76 2 3" xfId="22232"/>
    <cellStyle name="Обычный 8 77" xfId="2069"/>
    <cellStyle name="Обычный 8 77 2" xfId="3205"/>
    <cellStyle name="Обычный 8 77 2 2" xfId="10279"/>
    <cellStyle name="Обычный 8 77 2 3" xfId="22233"/>
    <cellStyle name="Обычный 8 78" xfId="2070"/>
    <cellStyle name="Обычный 8 78 2" xfId="3206"/>
    <cellStyle name="Обычный 8 78 2 2" xfId="10280"/>
    <cellStyle name="Обычный 8 78 2 3" xfId="22234"/>
    <cellStyle name="Обычный 8 79" xfId="2071"/>
    <cellStyle name="Обычный 8 79 2" xfId="3207"/>
    <cellStyle name="Обычный 8 79 2 2" xfId="10281"/>
    <cellStyle name="Обычный 8 79 2 3" xfId="22235"/>
    <cellStyle name="Обычный 8 8" xfId="2072"/>
    <cellStyle name="Обычный 8 8 2" xfId="3208"/>
    <cellStyle name="Обычный 8 8 2 2" xfId="10282"/>
    <cellStyle name="Обычный 8 8 2 3" xfId="22236"/>
    <cellStyle name="Обычный 8 80" xfId="2073"/>
    <cellStyle name="Обычный 8 80 2" xfId="3209"/>
    <cellStyle name="Обычный 8 80 2 2" xfId="10283"/>
    <cellStyle name="Обычный 8 80 2 3" xfId="22237"/>
    <cellStyle name="Обычный 8 81" xfId="2074"/>
    <cellStyle name="Обычный 8 81 2" xfId="3210"/>
    <cellStyle name="Обычный 8 81 2 2" xfId="10284"/>
    <cellStyle name="Обычный 8 81 2 3" xfId="22238"/>
    <cellStyle name="Обычный 8 82" xfId="2075"/>
    <cellStyle name="Обычный 8 82 2" xfId="3211"/>
    <cellStyle name="Обычный 8 82 2 2" xfId="10285"/>
    <cellStyle name="Обычный 8 82 2 3" xfId="22239"/>
    <cellStyle name="Обычный 8 83" xfId="2076"/>
    <cellStyle name="Обычный 8 83 2" xfId="3212"/>
    <cellStyle name="Обычный 8 83 2 2" xfId="10286"/>
    <cellStyle name="Обычный 8 83 2 3" xfId="22240"/>
    <cellStyle name="Обычный 8 84" xfId="2077"/>
    <cellStyle name="Обычный 8 84 2" xfId="3213"/>
    <cellStyle name="Обычный 8 84 2 2" xfId="10287"/>
    <cellStyle name="Обычный 8 84 2 3" xfId="22241"/>
    <cellStyle name="Обычный 8 85" xfId="2078"/>
    <cellStyle name="Обычный 8 85 2" xfId="3214"/>
    <cellStyle name="Обычный 8 85 2 2" xfId="10288"/>
    <cellStyle name="Обычный 8 85 2 3" xfId="22242"/>
    <cellStyle name="Обычный 8 86" xfId="2079"/>
    <cellStyle name="Обычный 8 86 2" xfId="3215"/>
    <cellStyle name="Обычный 8 86 2 2" xfId="10289"/>
    <cellStyle name="Обычный 8 86 2 3" xfId="22243"/>
    <cellStyle name="Обычный 8 87" xfId="2080"/>
    <cellStyle name="Обычный 8 87 2" xfId="3216"/>
    <cellStyle name="Обычный 8 87 2 2" xfId="10290"/>
    <cellStyle name="Обычный 8 87 2 3" xfId="22244"/>
    <cellStyle name="Обычный 8 88" xfId="2401"/>
    <cellStyle name="Обычный 8 88 2" xfId="10204"/>
    <cellStyle name="Обычный 8 88 3" xfId="22046"/>
    <cellStyle name="Обычный 8 89" xfId="2497"/>
    <cellStyle name="Обычный 8 89 2" xfId="10291"/>
    <cellStyle name="Обычный 8 89 3" xfId="22062"/>
    <cellStyle name="Обычный 8 9" xfId="2081"/>
    <cellStyle name="Обычный 8 9 2" xfId="3217"/>
    <cellStyle name="Обычный 8 9 2 2" xfId="10292"/>
    <cellStyle name="Обычный 8 9 2 3" xfId="22245"/>
    <cellStyle name="Обычный 8 90" xfId="2698"/>
    <cellStyle name="Обычный 8 90 2" xfId="10293"/>
    <cellStyle name="Обычный 8 90 3" xfId="22068"/>
    <cellStyle name="Обычный 8 91" xfId="2693"/>
    <cellStyle name="Обычный 8 91 2" xfId="10294"/>
    <cellStyle name="Обычный 8 91 3" xfId="22065"/>
    <cellStyle name="Обычный 8 92" xfId="2482"/>
    <cellStyle name="Обычный 8 92 2" xfId="10295"/>
    <cellStyle name="Обычный 8 92 3" xfId="22049"/>
    <cellStyle name="Обычный 8 93" xfId="2488"/>
    <cellStyle name="Обычный 8 93 2" xfId="10296"/>
    <cellStyle name="Обычный 8 93 3" xfId="22055"/>
    <cellStyle name="Обычный 8 94" xfId="2481"/>
    <cellStyle name="Обычный 8 94 2" xfId="10297"/>
    <cellStyle name="Обычный 8 94 3" xfId="22048"/>
    <cellStyle name="Обычный 8 95" xfId="2491"/>
    <cellStyle name="Обычный 8 95 2" xfId="10298"/>
    <cellStyle name="Обычный 8 95 3" xfId="22058"/>
    <cellStyle name="Обычный 8 96" xfId="2483"/>
    <cellStyle name="Обычный 8 96 2" xfId="10299"/>
    <cellStyle name="Обычный 8 96 3" xfId="22050"/>
    <cellStyle name="Обычный 8 97" xfId="2489"/>
    <cellStyle name="Обычный 8 97 2" xfId="10300"/>
    <cellStyle name="Обычный 8 97 3" xfId="22056"/>
    <cellStyle name="Обычный 8 98" xfId="2480"/>
    <cellStyle name="Обычный 8 98 2" xfId="10301"/>
    <cellStyle name="Обычный 8 98 3" xfId="22047"/>
    <cellStyle name="Обычный 8 99" xfId="2494"/>
    <cellStyle name="Обычный 8 99 2" xfId="10302"/>
    <cellStyle name="Обычный 8 99 3" xfId="22060"/>
    <cellStyle name="Обычный 8_Лист 1" xfId="13466"/>
    <cellStyle name="Обычный_11chis" xfId="2082"/>
    <cellStyle name="Обычный_Акмолинская 1991-2015" xfId="3218"/>
    <cellStyle name="Обычный_бюлетень" xfId="44087"/>
    <cellStyle name="Обычный_Лист1" xfId="2083"/>
    <cellStyle name="Плохой 10" xfId="2084"/>
    <cellStyle name="Плохой 10 10" xfId="10304"/>
    <cellStyle name="Плохой 10 11" xfId="10305"/>
    <cellStyle name="Плохой 10 12" xfId="10306"/>
    <cellStyle name="Плохой 10 13" xfId="10307"/>
    <cellStyle name="Плохой 10 14" xfId="10308"/>
    <cellStyle name="Плохой 10 2" xfId="2085"/>
    <cellStyle name="Плохой 10 2 2" xfId="10309"/>
    <cellStyle name="Плохой 10 3" xfId="2086"/>
    <cellStyle name="Плохой 10 3 2" xfId="10310"/>
    <cellStyle name="Плохой 10 4" xfId="10303"/>
    <cellStyle name="Плохой 10 5" xfId="10311"/>
    <cellStyle name="Плохой 10 6" xfId="10312"/>
    <cellStyle name="Плохой 10 7" xfId="10313"/>
    <cellStyle name="Плохой 10 8" xfId="10314"/>
    <cellStyle name="Плохой 10 9" xfId="10315"/>
    <cellStyle name="Плохой 11" xfId="2087"/>
    <cellStyle name="Плохой 11 10" xfId="10317"/>
    <cellStyle name="Плохой 11 11" xfId="10318"/>
    <cellStyle name="Плохой 11 12" xfId="10319"/>
    <cellStyle name="Плохой 11 13" xfId="10320"/>
    <cellStyle name="Плохой 11 14" xfId="10321"/>
    <cellStyle name="Плохой 11 2" xfId="2088"/>
    <cellStyle name="Плохой 11 2 2" xfId="10322"/>
    <cellStyle name="Плохой 11 3" xfId="2089"/>
    <cellStyle name="Плохой 11 3 2" xfId="10323"/>
    <cellStyle name="Плохой 11 4" xfId="10316"/>
    <cellStyle name="Плохой 11 5" xfId="10324"/>
    <cellStyle name="Плохой 11 6" xfId="10325"/>
    <cellStyle name="Плохой 11 7" xfId="10326"/>
    <cellStyle name="Плохой 11 8" xfId="10327"/>
    <cellStyle name="Плохой 11 9" xfId="10328"/>
    <cellStyle name="Плохой 12" xfId="2090"/>
    <cellStyle name="Плохой 12 10" xfId="10330"/>
    <cellStyle name="Плохой 12 11" xfId="10331"/>
    <cellStyle name="Плохой 12 12" xfId="10332"/>
    <cellStyle name="Плохой 12 13" xfId="10333"/>
    <cellStyle name="Плохой 12 14" xfId="10334"/>
    <cellStyle name="Плохой 12 2" xfId="2091"/>
    <cellStyle name="Плохой 12 2 2" xfId="10335"/>
    <cellStyle name="Плохой 12 3" xfId="2092"/>
    <cellStyle name="Плохой 12 3 2" xfId="10336"/>
    <cellStyle name="Плохой 12 4" xfId="10329"/>
    <cellStyle name="Плохой 12 5" xfId="10337"/>
    <cellStyle name="Плохой 12 6" xfId="10338"/>
    <cellStyle name="Плохой 12 7" xfId="10339"/>
    <cellStyle name="Плохой 12 8" xfId="10340"/>
    <cellStyle name="Плохой 12 9" xfId="10341"/>
    <cellStyle name="Плохой 13" xfId="2093"/>
    <cellStyle name="Плохой 13 10" xfId="10343"/>
    <cellStyle name="Плохой 13 11" xfId="10344"/>
    <cellStyle name="Плохой 13 12" xfId="10345"/>
    <cellStyle name="Плохой 13 13" xfId="10346"/>
    <cellStyle name="Плохой 13 14" xfId="10347"/>
    <cellStyle name="Плохой 13 2" xfId="2094"/>
    <cellStyle name="Плохой 13 2 2" xfId="10348"/>
    <cellStyle name="Плохой 13 3" xfId="2095"/>
    <cellStyle name="Плохой 13 3 2" xfId="10349"/>
    <cellStyle name="Плохой 13 4" xfId="10342"/>
    <cellStyle name="Плохой 13 5" xfId="10350"/>
    <cellStyle name="Плохой 13 6" xfId="10351"/>
    <cellStyle name="Плохой 13 7" xfId="10352"/>
    <cellStyle name="Плохой 13 8" xfId="10353"/>
    <cellStyle name="Плохой 13 9" xfId="10354"/>
    <cellStyle name="Плохой 14" xfId="2096"/>
    <cellStyle name="Плохой 14 10" xfId="10356"/>
    <cellStyle name="Плохой 14 11" xfId="10357"/>
    <cellStyle name="Плохой 14 12" xfId="10358"/>
    <cellStyle name="Плохой 14 13" xfId="10359"/>
    <cellStyle name="Плохой 14 14" xfId="10360"/>
    <cellStyle name="Плохой 14 2" xfId="2097"/>
    <cellStyle name="Плохой 14 2 2" xfId="10361"/>
    <cellStyle name="Плохой 14 3" xfId="2098"/>
    <cellStyle name="Плохой 14 3 2" xfId="10362"/>
    <cellStyle name="Плохой 14 4" xfId="10355"/>
    <cellStyle name="Плохой 14 5" xfId="10363"/>
    <cellStyle name="Плохой 14 6" xfId="10364"/>
    <cellStyle name="Плохой 14 7" xfId="10365"/>
    <cellStyle name="Плохой 14 8" xfId="10366"/>
    <cellStyle name="Плохой 14 9" xfId="10367"/>
    <cellStyle name="Плохой 15" xfId="2099"/>
    <cellStyle name="Плохой 15 10" xfId="10369"/>
    <cellStyle name="Плохой 15 11" xfId="10370"/>
    <cellStyle name="Плохой 15 12" xfId="10371"/>
    <cellStyle name="Плохой 15 13" xfId="10372"/>
    <cellStyle name="Плохой 15 14" xfId="10373"/>
    <cellStyle name="Плохой 15 2" xfId="2100"/>
    <cellStyle name="Плохой 15 2 2" xfId="10374"/>
    <cellStyle name="Плохой 15 3" xfId="2101"/>
    <cellStyle name="Плохой 15 3 2" xfId="10375"/>
    <cellStyle name="Плохой 15 4" xfId="10368"/>
    <cellStyle name="Плохой 15 5" xfId="10376"/>
    <cellStyle name="Плохой 15 6" xfId="10377"/>
    <cellStyle name="Плохой 15 7" xfId="10378"/>
    <cellStyle name="Плохой 15 8" xfId="10379"/>
    <cellStyle name="Плохой 15 9" xfId="10380"/>
    <cellStyle name="Плохой 16" xfId="2102"/>
    <cellStyle name="Плохой 16 10" xfId="10382"/>
    <cellStyle name="Плохой 16 11" xfId="10383"/>
    <cellStyle name="Плохой 16 12" xfId="10384"/>
    <cellStyle name="Плохой 16 13" xfId="10385"/>
    <cellStyle name="Плохой 16 14" xfId="10386"/>
    <cellStyle name="Плохой 16 2" xfId="2103"/>
    <cellStyle name="Плохой 16 2 2" xfId="10387"/>
    <cellStyle name="Плохой 16 3" xfId="2104"/>
    <cellStyle name="Плохой 16 3 2" xfId="10388"/>
    <cellStyle name="Плохой 16 4" xfId="10381"/>
    <cellStyle name="Плохой 16 5" xfId="10389"/>
    <cellStyle name="Плохой 16 6" xfId="10390"/>
    <cellStyle name="Плохой 16 7" xfId="10391"/>
    <cellStyle name="Плохой 16 8" xfId="10392"/>
    <cellStyle name="Плохой 16 9" xfId="10393"/>
    <cellStyle name="Плохой 17" xfId="2105"/>
    <cellStyle name="Плохой 17 10" xfId="10395"/>
    <cellStyle name="Плохой 17 11" xfId="10396"/>
    <cellStyle name="Плохой 17 12" xfId="10397"/>
    <cellStyle name="Плохой 17 13" xfId="10398"/>
    <cellStyle name="Плохой 17 14" xfId="10399"/>
    <cellStyle name="Плохой 17 2" xfId="2106"/>
    <cellStyle name="Плохой 17 2 2" xfId="10400"/>
    <cellStyle name="Плохой 17 3" xfId="2107"/>
    <cellStyle name="Плохой 17 3 2" xfId="10401"/>
    <cellStyle name="Плохой 17 4" xfId="10394"/>
    <cellStyle name="Плохой 17 5" xfId="10402"/>
    <cellStyle name="Плохой 17 6" xfId="10403"/>
    <cellStyle name="Плохой 17 7" xfId="10404"/>
    <cellStyle name="Плохой 17 8" xfId="10405"/>
    <cellStyle name="Плохой 17 9" xfId="10406"/>
    <cellStyle name="Плохой 18" xfId="2108"/>
    <cellStyle name="Плохой 18 2" xfId="2109"/>
    <cellStyle name="Плохой 18 2 2" xfId="10408"/>
    <cellStyle name="Плохой 18 3" xfId="10407"/>
    <cellStyle name="Плохой 19" xfId="2110"/>
    <cellStyle name="Плохой 19 2" xfId="2111"/>
    <cellStyle name="Плохой 19 2 2" xfId="10410"/>
    <cellStyle name="Плохой 19 3" xfId="10409"/>
    <cellStyle name="Плохой 2" xfId="2112"/>
    <cellStyle name="Плохой 2 10" xfId="10412"/>
    <cellStyle name="Плохой 2 11" xfId="10413"/>
    <cellStyle name="Плохой 2 12" xfId="10414"/>
    <cellStyle name="Плохой 2 13" xfId="10415"/>
    <cellStyle name="Плохой 2 14" xfId="10416"/>
    <cellStyle name="Плохой 2 2" xfId="2113"/>
    <cellStyle name="Плохой 2 2 2" xfId="10417"/>
    <cellStyle name="Плохой 2 3" xfId="2114"/>
    <cellStyle name="Плохой 2 3 2" xfId="10418"/>
    <cellStyle name="Плохой 2 4" xfId="10411"/>
    <cellStyle name="Плохой 2 5" xfId="10419"/>
    <cellStyle name="Плохой 2 6" xfId="10420"/>
    <cellStyle name="Плохой 2 7" xfId="10421"/>
    <cellStyle name="Плохой 2 8" xfId="10422"/>
    <cellStyle name="Плохой 2 9" xfId="10423"/>
    <cellStyle name="Плохой 3" xfId="2115"/>
    <cellStyle name="Плохой 3 10" xfId="10425"/>
    <cellStyle name="Плохой 3 11" xfId="10426"/>
    <cellStyle name="Плохой 3 12" xfId="10427"/>
    <cellStyle name="Плохой 3 13" xfId="10428"/>
    <cellStyle name="Плохой 3 14" xfId="10429"/>
    <cellStyle name="Плохой 3 2" xfId="2116"/>
    <cellStyle name="Плохой 3 2 2" xfId="10430"/>
    <cellStyle name="Плохой 3 3" xfId="2117"/>
    <cellStyle name="Плохой 3 3 2" xfId="10431"/>
    <cellStyle name="Плохой 3 4" xfId="10424"/>
    <cellStyle name="Плохой 3 5" xfId="10432"/>
    <cellStyle name="Плохой 3 6" xfId="10433"/>
    <cellStyle name="Плохой 3 7" xfId="10434"/>
    <cellStyle name="Плохой 3 8" xfId="10435"/>
    <cellStyle name="Плохой 3 9" xfId="10436"/>
    <cellStyle name="Плохой 4" xfId="2118"/>
    <cellStyle name="Плохой 4 10" xfId="10438"/>
    <cellStyle name="Плохой 4 11" xfId="10439"/>
    <cellStyle name="Плохой 4 12" xfId="10440"/>
    <cellStyle name="Плохой 4 13" xfId="10441"/>
    <cellStyle name="Плохой 4 14" xfId="10442"/>
    <cellStyle name="Плохой 4 2" xfId="2119"/>
    <cellStyle name="Плохой 4 2 2" xfId="10443"/>
    <cellStyle name="Плохой 4 3" xfId="2120"/>
    <cellStyle name="Плохой 4 3 2" xfId="10444"/>
    <cellStyle name="Плохой 4 4" xfId="10437"/>
    <cellStyle name="Плохой 4 5" xfId="10445"/>
    <cellStyle name="Плохой 4 6" xfId="10446"/>
    <cellStyle name="Плохой 4 7" xfId="10447"/>
    <cellStyle name="Плохой 4 8" xfId="10448"/>
    <cellStyle name="Плохой 4 9" xfId="10449"/>
    <cellStyle name="Плохой 5" xfId="2121"/>
    <cellStyle name="Плохой 5 10" xfId="10451"/>
    <cellStyle name="Плохой 5 11" xfId="10452"/>
    <cellStyle name="Плохой 5 12" xfId="10453"/>
    <cellStyle name="Плохой 5 13" xfId="10454"/>
    <cellStyle name="Плохой 5 14" xfId="10455"/>
    <cellStyle name="Плохой 5 2" xfId="2122"/>
    <cellStyle name="Плохой 5 2 2" xfId="10456"/>
    <cellStyle name="Плохой 5 3" xfId="2123"/>
    <cellStyle name="Плохой 5 3 2" xfId="10457"/>
    <cellStyle name="Плохой 5 4" xfId="10450"/>
    <cellStyle name="Плохой 5 5" xfId="10458"/>
    <cellStyle name="Плохой 5 6" xfId="10459"/>
    <cellStyle name="Плохой 5 7" xfId="10460"/>
    <cellStyle name="Плохой 5 8" xfId="10461"/>
    <cellStyle name="Плохой 5 9" xfId="10462"/>
    <cellStyle name="Плохой 6" xfId="2124"/>
    <cellStyle name="Плохой 6 10" xfId="10464"/>
    <cellStyle name="Плохой 6 11" xfId="10465"/>
    <cellStyle name="Плохой 6 12" xfId="10466"/>
    <cellStyle name="Плохой 6 13" xfId="10467"/>
    <cellStyle name="Плохой 6 14" xfId="10468"/>
    <cellStyle name="Плохой 6 2" xfId="2125"/>
    <cellStyle name="Плохой 6 2 2" xfId="10469"/>
    <cellStyle name="Плохой 6 3" xfId="2126"/>
    <cellStyle name="Плохой 6 3 2" xfId="10470"/>
    <cellStyle name="Плохой 6 4" xfId="10463"/>
    <cellStyle name="Плохой 6 5" xfId="10471"/>
    <cellStyle name="Плохой 6 6" xfId="10472"/>
    <cellStyle name="Плохой 6 7" xfId="10473"/>
    <cellStyle name="Плохой 6 8" xfId="10474"/>
    <cellStyle name="Плохой 6 9" xfId="10475"/>
    <cellStyle name="Плохой 7" xfId="2127"/>
    <cellStyle name="Плохой 7 10" xfId="10477"/>
    <cellStyle name="Плохой 7 11" xfId="10478"/>
    <cellStyle name="Плохой 7 12" xfId="10479"/>
    <cellStyle name="Плохой 7 13" xfId="10480"/>
    <cellStyle name="Плохой 7 14" xfId="10481"/>
    <cellStyle name="Плохой 7 2" xfId="2128"/>
    <cellStyle name="Плохой 7 2 2" xfId="10482"/>
    <cellStyle name="Плохой 7 3" xfId="2129"/>
    <cellStyle name="Плохой 7 3 2" xfId="10483"/>
    <cellStyle name="Плохой 7 4" xfId="10476"/>
    <cellStyle name="Плохой 7 5" xfId="10484"/>
    <cellStyle name="Плохой 7 6" xfId="10485"/>
    <cellStyle name="Плохой 7 7" xfId="10486"/>
    <cellStyle name="Плохой 7 8" xfId="10487"/>
    <cellStyle name="Плохой 7 9" xfId="10488"/>
    <cellStyle name="Плохой 8" xfId="2130"/>
    <cellStyle name="Плохой 8 10" xfId="10490"/>
    <cellStyle name="Плохой 8 11" xfId="10491"/>
    <cellStyle name="Плохой 8 12" xfId="10492"/>
    <cellStyle name="Плохой 8 13" xfId="10493"/>
    <cellStyle name="Плохой 8 14" xfId="10494"/>
    <cellStyle name="Плохой 8 2" xfId="2131"/>
    <cellStyle name="Плохой 8 2 2" xfId="10495"/>
    <cellStyle name="Плохой 8 3" xfId="2132"/>
    <cellStyle name="Плохой 8 3 2" xfId="10496"/>
    <cellStyle name="Плохой 8 4" xfId="10489"/>
    <cellStyle name="Плохой 8 5" xfId="10497"/>
    <cellStyle name="Плохой 8 6" xfId="10498"/>
    <cellStyle name="Плохой 8 7" xfId="10499"/>
    <cellStyle name="Плохой 8 8" xfId="10500"/>
    <cellStyle name="Плохой 8 9" xfId="10501"/>
    <cellStyle name="Плохой 9" xfId="2133"/>
    <cellStyle name="Плохой 9 10" xfId="10503"/>
    <cellStyle name="Плохой 9 11" xfId="10504"/>
    <cellStyle name="Плохой 9 12" xfId="10505"/>
    <cellStyle name="Плохой 9 13" xfId="10506"/>
    <cellStyle name="Плохой 9 14" xfId="10507"/>
    <cellStyle name="Плохой 9 2" xfId="2134"/>
    <cellStyle name="Плохой 9 2 2" xfId="10508"/>
    <cellStyle name="Плохой 9 3" xfId="2135"/>
    <cellStyle name="Плохой 9 3 2" xfId="10509"/>
    <cellStyle name="Плохой 9 4" xfId="10502"/>
    <cellStyle name="Плохой 9 5" xfId="10510"/>
    <cellStyle name="Плохой 9 6" xfId="10511"/>
    <cellStyle name="Плохой 9 7" xfId="10512"/>
    <cellStyle name="Плохой 9 8" xfId="10513"/>
    <cellStyle name="Плохой 9 9" xfId="10514"/>
    <cellStyle name="Пояснение 10" xfId="2136"/>
    <cellStyle name="Пояснение 10 10" xfId="10516"/>
    <cellStyle name="Пояснение 10 11" xfId="10517"/>
    <cellStyle name="Пояснение 10 12" xfId="10518"/>
    <cellStyle name="Пояснение 10 13" xfId="10519"/>
    <cellStyle name="Пояснение 10 14" xfId="10520"/>
    <cellStyle name="Пояснение 10 2" xfId="2137"/>
    <cellStyle name="Пояснение 10 2 2" xfId="10521"/>
    <cellStyle name="Пояснение 10 3" xfId="2138"/>
    <cellStyle name="Пояснение 10 3 2" xfId="10522"/>
    <cellStyle name="Пояснение 10 4" xfId="10515"/>
    <cellStyle name="Пояснение 10 5" xfId="10523"/>
    <cellStyle name="Пояснение 10 6" xfId="10524"/>
    <cellStyle name="Пояснение 10 7" xfId="10525"/>
    <cellStyle name="Пояснение 10 8" xfId="10526"/>
    <cellStyle name="Пояснение 10 9" xfId="10527"/>
    <cellStyle name="Пояснение 11" xfId="2139"/>
    <cellStyle name="Пояснение 11 10" xfId="10529"/>
    <cellStyle name="Пояснение 11 11" xfId="10530"/>
    <cellStyle name="Пояснение 11 12" xfId="10531"/>
    <cellStyle name="Пояснение 11 13" xfId="10532"/>
    <cellStyle name="Пояснение 11 14" xfId="10533"/>
    <cellStyle name="Пояснение 11 2" xfId="2140"/>
    <cellStyle name="Пояснение 11 2 2" xfId="10534"/>
    <cellStyle name="Пояснение 11 3" xfId="2141"/>
    <cellStyle name="Пояснение 11 3 2" xfId="10535"/>
    <cellStyle name="Пояснение 11 4" xfId="10528"/>
    <cellStyle name="Пояснение 11 5" xfId="10536"/>
    <cellStyle name="Пояснение 11 6" xfId="10537"/>
    <cellStyle name="Пояснение 11 7" xfId="10538"/>
    <cellStyle name="Пояснение 11 8" xfId="10539"/>
    <cellStyle name="Пояснение 11 9" xfId="10540"/>
    <cellStyle name="Пояснение 12" xfId="2142"/>
    <cellStyle name="Пояснение 12 10" xfId="10542"/>
    <cellStyle name="Пояснение 12 11" xfId="10543"/>
    <cellStyle name="Пояснение 12 12" xfId="10544"/>
    <cellStyle name="Пояснение 12 13" xfId="10545"/>
    <cellStyle name="Пояснение 12 14" xfId="10546"/>
    <cellStyle name="Пояснение 12 2" xfId="2143"/>
    <cellStyle name="Пояснение 12 2 2" xfId="10547"/>
    <cellStyle name="Пояснение 12 3" xfId="2144"/>
    <cellStyle name="Пояснение 12 3 2" xfId="10548"/>
    <cellStyle name="Пояснение 12 4" xfId="10541"/>
    <cellStyle name="Пояснение 12 5" xfId="10549"/>
    <cellStyle name="Пояснение 12 6" xfId="10550"/>
    <cellStyle name="Пояснение 12 7" xfId="10551"/>
    <cellStyle name="Пояснение 12 8" xfId="10552"/>
    <cellStyle name="Пояснение 12 9" xfId="10553"/>
    <cellStyle name="Пояснение 13" xfId="2145"/>
    <cellStyle name="Пояснение 13 10" xfId="10555"/>
    <cellStyle name="Пояснение 13 11" xfId="10556"/>
    <cellStyle name="Пояснение 13 12" xfId="10557"/>
    <cellStyle name="Пояснение 13 13" xfId="10558"/>
    <cellStyle name="Пояснение 13 14" xfId="10559"/>
    <cellStyle name="Пояснение 13 2" xfId="2146"/>
    <cellStyle name="Пояснение 13 2 2" xfId="10560"/>
    <cellStyle name="Пояснение 13 3" xfId="2147"/>
    <cellStyle name="Пояснение 13 3 2" xfId="10561"/>
    <cellStyle name="Пояснение 13 4" xfId="10554"/>
    <cellStyle name="Пояснение 13 5" xfId="10562"/>
    <cellStyle name="Пояснение 13 6" xfId="10563"/>
    <cellStyle name="Пояснение 13 7" xfId="10564"/>
    <cellStyle name="Пояснение 13 8" xfId="10565"/>
    <cellStyle name="Пояснение 13 9" xfId="10566"/>
    <cellStyle name="Пояснение 14" xfId="2148"/>
    <cellStyle name="Пояснение 14 10" xfId="10568"/>
    <cellStyle name="Пояснение 14 11" xfId="10569"/>
    <cellStyle name="Пояснение 14 12" xfId="10570"/>
    <cellStyle name="Пояснение 14 13" xfId="10571"/>
    <cellStyle name="Пояснение 14 14" xfId="10572"/>
    <cellStyle name="Пояснение 14 2" xfId="2149"/>
    <cellStyle name="Пояснение 14 2 2" xfId="10573"/>
    <cellStyle name="Пояснение 14 3" xfId="2150"/>
    <cellStyle name="Пояснение 14 3 2" xfId="10574"/>
    <cellStyle name="Пояснение 14 4" xfId="10567"/>
    <cellStyle name="Пояснение 14 5" xfId="10575"/>
    <cellStyle name="Пояснение 14 6" xfId="10576"/>
    <cellStyle name="Пояснение 14 7" xfId="10577"/>
    <cellStyle name="Пояснение 14 8" xfId="10578"/>
    <cellStyle name="Пояснение 14 9" xfId="10579"/>
    <cellStyle name="Пояснение 15" xfId="2151"/>
    <cellStyle name="Пояснение 15 10" xfId="10581"/>
    <cellStyle name="Пояснение 15 11" xfId="10582"/>
    <cellStyle name="Пояснение 15 12" xfId="10583"/>
    <cellStyle name="Пояснение 15 13" xfId="10584"/>
    <cellStyle name="Пояснение 15 14" xfId="10585"/>
    <cellStyle name="Пояснение 15 2" xfId="2152"/>
    <cellStyle name="Пояснение 15 2 2" xfId="10586"/>
    <cellStyle name="Пояснение 15 3" xfId="2153"/>
    <cellStyle name="Пояснение 15 3 2" xfId="10587"/>
    <cellStyle name="Пояснение 15 4" xfId="10580"/>
    <cellStyle name="Пояснение 15 5" xfId="10588"/>
    <cellStyle name="Пояснение 15 6" xfId="10589"/>
    <cellStyle name="Пояснение 15 7" xfId="10590"/>
    <cellStyle name="Пояснение 15 8" xfId="10591"/>
    <cellStyle name="Пояснение 15 9" xfId="10592"/>
    <cellStyle name="Пояснение 16" xfId="2154"/>
    <cellStyle name="Пояснение 16 10" xfId="10594"/>
    <cellStyle name="Пояснение 16 11" xfId="10595"/>
    <cellStyle name="Пояснение 16 12" xfId="10596"/>
    <cellStyle name="Пояснение 16 13" xfId="10597"/>
    <cellStyle name="Пояснение 16 14" xfId="10598"/>
    <cellStyle name="Пояснение 16 2" xfId="2155"/>
    <cellStyle name="Пояснение 16 2 2" xfId="10599"/>
    <cellStyle name="Пояснение 16 3" xfId="2156"/>
    <cellStyle name="Пояснение 16 3 2" xfId="10600"/>
    <cellStyle name="Пояснение 16 4" xfId="10593"/>
    <cellStyle name="Пояснение 16 5" xfId="10601"/>
    <cellStyle name="Пояснение 16 6" xfId="10602"/>
    <cellStyle name="Пояснение 16 7" xfId="10603"/>
    <cellStyle name="Пояснение 16 8" xfId="10604"/>
    <cellStyle name="Пояснение 16 9" xfId="10605"/>
    <cellStyle name="Пояснение 17" xfId="2157"/>
    <cellStyle name="Пояснение 17 10" xfId="10607"/>
    <cellStyle name="Пояснение 17 11" xfId="10608"/>
    <cellStyle name="Пояснение 17 12" xfId="10609"/>
    <cellStyle name="Пояснение 17 13" xfId="10610"/>
    <cellStyle name="Пояснение 17 14" xfId="10611"/>
    <cellStyle name="Пояснение 17 2" xfId="2158"/>
    <cellStyle name="Пояснение 17 2 2" xfId="10612"/>
    <cellStyle name="Пояснение 17 3" xfId="2159"/>
    <cellStyle name="Пояснение 17 3 2" xfId="10613"/>
    <cellStyle name="Пояснение 17 4" xfId="10606"/>
    <cellStyle name="Пояснение 17 5" xfId="10614"/>
    <cellStyle name="Пояснение 17 6" xfId="10615"/>
    <cellStyle name="Пояснение 17 7" xfId="10616"/>
    <cellStyle name="Пояснение 17 8" xfId="10617"/>
    <cellStyle name="Пояснение 17 9" xfId="10618"/>
    <cellStyle name="Пояснение 18" xfId="2160"/>
    <cellStyle name="Пояснение 18 2" xfId="2161"/>
    <cellStyle name="Пояснение 18 2 2" xfId="10620"/>
    <cellStyle name="Пояснение 18 3" xfId="10619"/>
    <cellStyle name="Пояснение 19" xfId="2162"/>
    <cellStyle name="Пояснение 19 2" xfId="2163"/>
    <cellStyle name="Пояснение 19 2 2" xfId="10622"/>
    <cellStyle name="Пояснение 19 3" xfId="10621"/>
    <cellStyle name="Пояснение 2" xfId="2164"/>
    <cellStyle name="Пояснение 2 10" xfId="10624"/>
    <cellStyle name="Пояснение 2 11" xfId="10625"/>
    <cellStyle name="Пояснение 2 12" xfId="10626"/>
    <cellStyle name="Пояснение 2 13" xfId="10627"/>
    <cellStyle name="Пояснение 2 14" xfId="10628"/>
    <cellStyle name="Пояснение 2 2" xfId="2165"/>
    <cellStyle name="Пояснение 2 2 2" xfId="10629"/>
    <cellStyle name="Пояснение 2 3" xfId="2166"/>
    <cellStyle name="Пояснение 2 3 2" xfId="10630"/>
    <cellStyle name="Пояснение 2 4" xfId="10623"/>
    <cellStyle name="Пояснение 2 5" xfId="10631"/>
    <cellStyle name="Пояснение 2 6" xfId="10632"/>
    <cellStyle name="Пояснение 2 7" xfId="10633"/>
    <cellStyle name="Пояснение 2 8" xfId="10634"/>
    <cellStyle name="Пояснение 2 9" xfId="10635"/>
    <cellStyle name="Пояснение 3" xfId="2167"/>
    <cellStyle name="Пояснение 3 10" xfId="10637"/>
    <cellStyle name="Пояснение 3 11" xfId="10638"/>
    <cellStyle name="Пояснение 3 12" xfId="10639"/>
    <cellStyle name="Пояснение 3 13" xfId="10640"/>
    <cellStyle name="Пояснение 3 14" xfId="10641"/>
    <cellStyle name="Пояснение 3 2" xfId="2168"/>
    <cellStyle name="Пояснение 3 2 2" xfId="10642"/>
    <cellStyle name="Пояснение 3 3" xfId="2169"/>
    <cellStyle name="Пояснение 3 3 2" xfId="10643"/>
    <cellStyle name="Пояснение 3 4" xfId="10636"/>
    <cellStyle name="Пояснение 3 5" xfId="10644"/>
    <cellStyle name="Пояснение 3 6" xfId="10645"/>
    <cellStyle name="Пояснение 3 7" xfId="10646"/>
    <cellStyle name="Пояснение 3 8" xfId="10647"/>
    <cellStyle name="Пояснение 3 9" xfId="10648"/>
    <cellStyle name="Пояснение 4" xfId="2170"/>
    <cellStyle name="Пояснение 4 10" xfId="10650"/>
    <cellStyle name="Пояснение 4 11" xfId="10651"/>
    <cellStyle name="Пояснение 4 12" xfId="10652"/>
    <cellStyle name="Пояснение 4 13" xfId="10653"/>
    <cellStyle name="Пояснение 4 14" xfId="10654"/>
    <cellStyle name="Пояснение 4 2" xfId="2171"/>
    <cellStyle name="Пояснение 4 2 2" xfId="10655"/>
    <cellStyle name="Пояснение 4 3" xfId="2172"/>
    <cellStyle name="Пояснение 4 3 2" xfId="10656"/>
    <cellStyle name="Пояснение 4 4" xfId="10649"/>
    <cellStyle name="Пояснение 4 5" xfId="10657"/>
    <cellStyle name="Пояснение 4 6" xfId="10658"/>
    <cellStyle name="Пояснение 4 7" xfId="10659"/>
    <cellStyle name="Пояснение 4 8" xfId="10660"/>
    <cellStyle name="Пояснение 4 9" xfId="10661"/>
    <cellStyle name="Пояснение 5" xfId="2173"/>
    <cellStyle name="Пояснение 5 10" xfId="10663"/>
    <cellStyle name="Пояснение 5 11" xfId="10664"/>
    <cellStyle name="Пояснение 5 12" xfId="10665"/>
    <cellStyle name="Пояснение 5 13" xfId="10666"/>
    <cellStyle name="Пояснение 5 14" xfId="10667"/>
    <cellStyle name="Пояснение 5 2" xfId="2174"/>
    <cellStyle name="Пояснение 5 2 2" xfId="10668"/>
    <cellStyle name="Пояснение 5 3" xfId="2175"/>
    <cellStyle name="Пояснение 5 3 2" xfId="10669"/>
    <cellStyle name="Пояснение 5 4" xfId="10662"/>
    <cellStyle name="Пояснение 5 5" xfId="10670"/>
    <cellStyle name="Пояснение 5 6" xfId="10671"/>
    <cellStyle name="Пояснение 5 7" xfId="10672"/>
    <cellStyle name="Пояснение 5 8" xfId="10673"/>
    <cellStyle name="Пояснение 5 9" xfId="10674"/>
    <cellStyle name="Пояснение 6" xfId="2176"/>
    <cellStyle name="Пояснение 6 10" xfId="10676"/>
    <cellStyle name="Пояснение 6 11" xfId="10677"/>
    <cellStyle name="Пояснение 6 12" xfId="10678"/>
    <cellStyle name="Пояснение 6 13" xfId="10679"/>
    <cellStyle name="Пояснение 6 14" xfId="10680"/>
    <cellStyle name="Пояснение 6 2" xfId="2177"/>
    <cellStyle name="Пояснение 6 2 2" xfId="10681"/>
    <cellStyle name="Пояснение 6 3" xfId="2178"/>
    <cellStyle name="Пояснение 6 3 2" xfId="10682"/>
    <cellStyle name="Пояснение 6 4" xfId="10675"/>
    <cellStyle name="Пояснение 6 5" xfId="10683"/>
    <cellStyle name="Пояснение 6 6" xfId="10684"/>
    <cellStyle name="Пояснение 6 7" xfId="10685"/>
    <cellStyle name="Пояснение 6 8" xfId="10686"/>
    <cellStyle name="Пояснение 6 9" xfId="10687"/>
    <cellStyle name="Пояснение 7" xfId="2179"/>
    <cellStyle name="Пояснение 7 10" xfId="10689"/>
    <cellStyle name="Пояснение 7 11" xfId="10690"/>
    <cellStyle name="Пояснение 7 12" xfId="10691"/>
    <cellStyle name="Пояснение 7 13" xfId="10692"/>
    <cellStyle name="Пояснение 7 14" xfId="10693"/>
    <cellStyle name="Пояснение 7 2" xfId="2180"/>
    <cellStyle name="Пояснение 7 2 2" xfId="10694"/>
    <cellStyle name="Пояснение 7 3" xfId="2181"/>
    <cellStyle name="Пояснение 7 3 2" xfId="10695"/>
    <cellStyle name="Пояснение 7 4" xfId="10688"/>
    <cellStyle name="Пояснение 7 5" xfId="10696"/>
    <cellStyle name="Пояснение 7 6" xfId="10697"/>
    <cellStyle name="Пояснение 7 7" xfId="10698"/>
    <cellStyle name="Пояснение 7 8" xfId="10699"/>
    <cellStyle name="Пояснение 7 9" xfId="10700"/>
    <cellStyle name="Пояснение 8" xfId="2182"/>
    <cellStyle name="Пояснение 8 10" xfId="10702"/>
    <cellStyle name="Пояснение 8 11" xfId="10703"/>
    <cellStyle name="Пояснение 8 12" xfId="10704"/>
    <cellStyle name="Пояснение 8 13" xfId="10705"/>
    <cellStyle name="Пояснение 8 14" xfId="10706"/>
    <cellStyle name="Пояснение 8 2" xfId="2183"/>
    <cellStyle name="Пояснение 8 2 2" xfId="10707"/>
    <cellStyle name="Пояснение 8 3" xfId="2184"/>
    <cellStyle name="Пояснение 8 3 2" xfId="10708"/>
    <cellStyle name="Пояснение 8 4" xfId="10701"/>
    <cellStyle name="Пояснение 8 5" xfId="10709"/>
    <cellStyle name="Пояснение 8 6" xfId="10710"/>
    <cellStyle name="Пояснение 8 7" xfId="10711"/>
    <cellStyle name="Пояснение 8 8" xfId="10712"/>
    <cellStyle name="Пояснение 8 9" xfId="10713"/>
    <cellStyle name="Пояснение 9" xfId="2185"/>
    <cellStyle name="Пояснение 9 10" xfId="10715"/>
    <cellStyle name="Пояснение 9 11" xfId="10716"/>
    <cellStyle name="Пояснение 9 12" xfId="10717"/>
    <cellStyle name="Пояснение 9 13" xfId="10718"/>
    <cellStyle name="Пояснение 9 14" xfId="10719"/>
    <cellStyle name="Пояснение 9 2" xfId="2186"/>
    <cellStyle name="Пояснение 9 2 2" xfId="10720"/>
    <cellStyle name="Пояснение 9 3" xfId="2187"/>
    <cellStyle name="Пояснение 9 3 2" xfId="10721"/>
    <cellStyle name="Пояснение 9 4" xfId="10714"/>
    <cellStyle name="Пояснение 9 5" xfId="10722"/>
    <cellStyle name="Пояснение 9 6" xfId="10723"/>
    <cellStyle name="Пояснение 9 7" xfId="10724"/>
    <cellStyle name="Пояснение 9 8" xfId="10725"/>
    <cellStyle name="Пояснение 9 9" xfId="10726"/>
    <cellStyle name="Примечание 10" xfId="2188"/>
    <cellStyle name="Примечание 10 10" xfId="2648"/>
    <cellStyle name="Примечание 10 10 2" xfId="10728"/>
    <cellStyle name="Примечание 10 10 3" xfId="12634"/>
    <cellStyle name="Примечание 10 10 3 2" xfId="17966"/>
    <cellStyle name="Примечание 10 10 3 2 2" xfId="31776"/>
    <cellStyle name="Примечание 10 10 3 2 3" xfId="41649"/>
    <cellStyle name="Примечание 10 10 3 3" xfId="26508"/>
    <cellStyle name="Примечание 10 10 3 4" xfId="36383"/>
    <cellStyle name="Примечание 10 10 4" xfId="13856"/>
    <cellStyle name="Примечание 10 10 4 2" xfId="16499"/>
    <cellStyle name="Примечание 10 10 4 2 2" xfId="30315"/>
    <cellStyle name="Примечание 10 10 4 2 3" xfId="40190"/>
    <cellStyle name="Примечание 10 10 4 3" xfId="19139"/>
    <cellStyle name="Примечание 10 10 4 3 2" xfId="32949"/>
    <cellStyle name="Примечание 10 10 4 3 3" xfId="42819"/>
    <cellStyle name="Примечание 10 10 4 4" xfId="27678"/>
    <cellStyle name="Примечание 10 10 4 5" xfId="37553"/>
    <cellStyle name="Примечание 10 10 5" xfId="15354"/>
    <cellStyle name="Примечание 10 10 5 2" xfId="29174"/>
    <cellStyle name="Примечание 10 10 5 3" xfId="39049"/>
    <cellStyle name="Примечание 10 10 6" xfId="25082"/>
    <cellStyle name="Примечание 10 10 7" xfId="34957"/>
    <cellStyle name="Примечание 10 11" xfId="2725"/>
    <cellStyle name="Примечание 10 11 2" xfId="10729"/>
    <cellStyle name="Примечание 10 11 3" xfId="12701"/>
    <cellStyle name="Примечание 10 11 3 2" xfId="18033"/>
    <cellStyle name="Примечание 10 11 3 2 2" xfId="31843"/>
    <cellStyle name="Примечание 10 11 3 2 3" xfId="41716"/>
    <cellStyle name="Примечание 10 11 3 3" xfId="26575"/>
    <cellStyle name="Примечание 10 11 3 4" xfId="36450"/>
    <cellStyle name="Примечание 10 11 4" xfId="13924"/>
    <cellStyle name="Примечание 10 11 4 2" xfId="16567"/>
    <cellStyle name="Примечание 10 11 4 2 2" xfId="30382"/>
    <cellStyle name="Примечание 10 11 4 2 3" xfId="40257"/>
    <cellStyle name="Примечание 10 11 4 3" xfId="19207"/>
    <cellStyle name="Примечание 10 11 4 3 2" xfId="33017"/>
    <cellStyle name="Примечание 10 11 4 3 3" xfId="42886"/>
    <cellStyle name="Примечание 10 11 4 4" xfId="27745"/>
    <cellStyle name="Примечание 10 11 4 5" xfId="37620"/>
    <cellStyle name="Примечание 10 11 5" xfId="15422"/>
    <cellStyle name="Примечание 10 11 5 2" xfId="29241"/>
    <cellStyle name="Примечание 10 11 5 3" xfId="39116"/>
    <cellStyle name="Примечание 10 11 6" xfId="25149"/>
    <cellStyle name="Примечание 10 11 7" xfId="35024"/>
    <cellStyle name="Примечание 10 12" xfId="2832"/>
    <cellStyle name="Примечание 10 12 2" xfId="10730"/>
    <cellStyle name="Примечание 10 12 3" xfId="12804"/>
    <cellStyle name="Примечание 10 12 3 2" xfId="18136"/>
    <cellStyle name="Примечание 10 12 3 2 2" xfId="31946"/>
    <cellStyle name="Примечание 10 12 3 2 3" xfId="41819"/>
    <cellStyle name="Примечание 10 12 3 3" xfId="26678"/>
    <cellStyle name="Примечание 10 12 3 4" xfId="36553"/>
    <cellStyle name="Примечание 10 12 4" xfId="14027"/>
    <cellStyle name="Примечание 10 12 4 2" xfId="16670"/>
    <cellStyle name="Примечание 10 12 4 2 2" xfId="30485"/>
    <cellStyle name="Примечание 10 12 4 2 3" xfId="40360"/>
    <cellStyle name="Примечание 10 12 4 3" xfId="19310"/>
    <cellStyle name="Примечание 10 12 4 3 2" xfId="33120"/>
    <cellStyle name="Примечание 10 12 4 3 3" xfId="42989"/>
    <cellStyle name="Примечание 10 12 4 4" xfId="27848"/>
    <cellStyle name="Примечание 10 12 4 5" xfId="37723"/>
    <cellStyle name="Примечание 10 12 5" xfId="15525"/>
    <cellStyle name="Примечание 10 12 5 2" xfId="29344"/>
    <cellStyle name="Примечание 10 12 5 3" xfId="39219"/>
    <cellStyle name="Примечание 10 12 6" xfId="25252"/>
    <cellStyle name="Примечание 10 12 7" xfId="35127"/>
    <cellStyle name="Примечание 10 13" xfId="2880"/>
    <cellStyle name="Примечание 10 13 2" xfId="10731"/>
    <cellStyle name="Примечание 10 13 3" xfId="12850"/>
    <cellStyle name="Примечание 10 13 3 2" xfId="18182"/>
    <cellStyle name="Примечание 10 13 3 2 2" xfId="31992"/>
    <cellStyle name="Примечание 10 13 3 2 3" xfId="41865"/>
    <cellStyle name="Примечание 10 13 3 3" xfId="26724"/>
    <cellStyle name="Примечание 10 13 3 4" xfId="36599"/>
    <cellStyle name="Примечание 10 13 4" xfId="14073"/>
    <cellStyle name="Примечание 10 13 4 2" xfId="16716"/>
    <cellStyle name="Примечание 10 13 4 2 2" xfId="30531"/>
    <cellStyle name="Примечание 10 13 4 2 3" xfId="40406"/>
    <cellStyle name="Примечание 10 13 4 3" xfId="19356"/>
    <cellStyle name="Примечание 10 13 4 3 2" xfId="33166"/>
    <cellStyle name="Примечание 10 13 4 3 3" xfId="43035"/>
    <cellStyle name="Примечание 10 13 4 4" xfId="27894"/>
    <cellStyle name="Примечание 10 13 4 5" xfId="37769"/>
    <cellStyle name="Примечание 10 13 5" xfId="15571"/>
    <cellStyle name="Примечание 10 13 5 2" xfId="29390"/>
    <cellStyle name="Примечание 10 13 5 3" xfId="39265"/>
    <cellStyle name="Примечание 10 13 6" xfId="25298"/>
    <cellStyle name="Примечание 10 13 7" xfId="35173"/>
    <cellStyle name="Примечание 10 14" xfId="2934"/>
    <cellStyle name="Примечание 10 14 2" xfId="10732"/>
    <cellStyle name="Примечание 10 14 3" xfId="12903"/>
    <cellStyle name="Примечание 10 14 3 2" xfId="18235"/>
    <cellStyle name="Примечание 10 14 3 2 2" xfId="32045"/>
    <cellStyle name="Примечание 10 14 3 2 3" xfId="41918"/>
    <cellStyle name="Примечание 10 14 3 3" xfId="26777"/>
    <cellStyle name="Примечание 10 14 3 4" xfId="36652"/>
    <cellStyle name="Примечание 10 14 4" xfId="14126"/>
    <cellStyle name="Примечание 10 14 4 2" xfId="16769"/>
    <cellStyle name="Примечание 10 14 4 2 2" xfId="30584"/>
    <cellStyle name="Примечание 10 14 4 2 3" xfId="40459"/>
    <cellStyle name="Примечание 10 14 4 3" xfId="19409"/>
    <cellStyle name="Примечание 10 14 4 3 2" xfId="33219"/>
    <cellStyle name="Примечание 10 14 4 3 3" xfId="43088"/>
    <cellStyle name="Примечание 10 14 4 4" xfId="27947"/>
    <cellStyle name="Примечание 10 14 4 5" xfId="37822"/>
    <cellStyle name="Примечание 10 14 5" xfId="15624"/>
    <cellStyle name="Примечание 10 14 5 2" xfId="29443"/>
    <cellStyle name="Примечание 10 14 5 3" xfId="39318"/>
    <cellStyle name="Примечание 10 14 6" xfId="25351"/>
    <cellStyle name="Примечание 10 14 7" xfId="35226"/>
    <cellStyle name="Примечание 10 15" xfId="2982"/>
    <cellStyle name="Примечание 10 15 2" xfId="12050"/>
    <cellStyle name="Примечание 10 15 2 2" xfId="14948"/>
    <cellStyle name="Примечание 10 15 2 2 2" xfId="20231"/>
    <cellStyle name="Примечание 10 15 2 2 2 2" xfId="23214"/>
    <cellStyle name="Примечание 10 15 2 2 2 3" xfId="34041"/>
    <cellStyle name="Примечание 10 15 2 2 2 4" xfId="43909"/>
    <cellStyle name="Примечание 10 15 2 2 3" xfId="23502"/>
    <cellStyle name="Примечание 10 15 2 2 4" xfId="28768"/>
    <cellStyle name="Примечание 10 15 2 2 5" xfId="38643"/>
    <cellStyle name="Примечание 10 15 2 3" xfId="14395"/>
    <cellStyle name="Примечание 10 15 2 3 2" xfId="16908"/>
    <cellStyle name="Примечание 10 15 2 3 2 2" xfId="30723"/>
    <cellStyle name="Примечание 10 15 2 3 2 3" xfId="40598"/>
    <cellStyle name="Примечание 10 15 2 3 3" xfId="19678"/>
    <cellStyle name="Примечание 10 15 2 3 3 2" xfId="33488"/>
    <cellStyle name="Примечание 10 15 2 3 3 3" xfId="43357"/>
    <cellStyle name="Примечание 10 15 2 3 4" xfId="28216"/>
    <cellStyle name="Примечание 10 15 2 3 5" xfId="38091"/>
    <cellStyle name="Примечание 10 15 2 4" xfId="15973"/>
    <cellStyle name="Примечание 10 15 2 4 2" xfId="21829"/>
    <cellStyle name="Примечание 10 15 2 4 3" xfId="29792"/>
    <cellStyle name="Примечание 10 15 2 4 4" xfId="39667"/>
    <cellStyle name="Примечание 10 15 2 5" xfId="24126"/>
    <cellStyle name="Примечание 10 15 2 6" xfId="25924"/>
    <cellStyle name="Примечание 10 15 2 7" xfId="35799"/>
    <cellStyle name="Примечание 10 15 3" xfId="12950"/>
    <cellStyle name="Примечание 10 15 3 2" xfId="18282"/>
    <cellStyle name="Примечание 10 15 3 2 2" xfId="32092"/>
    <cellStyle name="Примечание 10 15 3 2 3" xfId="41965"/>
    <cellStyle name="Примечание 10 15 3 3" xfId="23486"/>
    <cellStyle name="Примечание 10 15 3 4" xfId="26824"/>
    <cellStyle name="Примечание 10 15 3 5" xfId="36699"/>
    <cellStyle name="Примечание 10 15 4" xfId="14173"/>
    <cellStyle name="Примечание 10 15 4 2" xfId="16816"/>
    <cellStyle name="Примечание 10 15 4 2 2" xfId="30631"/>
    <cellStyle name="Примечание 10 15 4 2 3" xfId="40506"/>
    <cellStyle name="Примечание 10 15 4 3" xfId="19456"/>
    <cellStyle name="Примечание 10 15 4 3 2" xfId="33266"/>
    <cellStyle name="Примечание 10 15 4 3 3" xfId="43135"/>
    <cellStyle name="Примечание 10 15 4 4" xfId="27994"/>
    <cellStyle name="Примечание 10 15 4 5" xfId="37869"/>
    <cellStyle name="Примечание 10 15 5" xfId="21741"/>
    <cellStyle name="Примечание 10 15 6" xfId="22478"/>
    <cellStyle name="Примечание 10 15 7" xfId="23966"/>
    <cellStyle name="Примечание 10 15 8" xfId="25398"/>
    <cellStyle name="Примечание 10 15 9" xfId="35273"/>
    <cellStyle name="Примечание 10 16" xfId="12130"/>
    <cellStyle name="Примечание 10 16 2" xfId="15028"/>
    <cellStyle name="Примечание 10 16 2 2" xfId="20311"/>
    <cellStyle name="Примечание 10 16 2 2 2" xfId="23230"/>
    <cellStyle name="Примечание 10 16 2 2 3" xfId="34121"/>
    <cellStyle name="Примечание 10 16 2 2 4" xfId="43989"/>
    <cellStyle name="Примечание 10 16 2 3" xfId="23582"/>
    <cellStyle name="Примечание 10 16 2 4" xfId="28848"/>
    <cellStyle name="Примечание 10 16 2 5" xfId="38723"/>
    <cellStyle name="Примечание 10 16 3" xfId="13013"/>
    <cellStyle name="Примечание 10 16 3 2" xfId="15994"/>
    <cellStyle name="Примечание 10 16 3 2 2" xfId="29813"/>
    <cellStyle name="Примечание 10 16 3 2 3" xfId="39688"/>
    <cellStyle name="Примечание 10 16 3 3" xfId="18345"/>
    <cellStyle name="Примечание 10 16 3 3 2" xfId="32155"/>
    <cellStyle name="Примечание 10 16 3 3 3" xfId="42028"/>
    <cellStyle name="Примечание 10 16 3 4" xfId="26887"/>
    <cellStyle name="Примечание 10 16 3 5" xfId="36762"/>
    <cellStyle name="Примечание 10 16 4" xfId="21509"/>
    <cellStyle name="Примечание 10 16 5" xfId="21877"/>
    <cellStyle name="Примечание 10 16 6" xfId="22702"/>
    <cellStyle name="Примечание 10 16 7" xfId="24206"/>
    <cellStyle name="Примечание 10 16 8" xfId="26004"/>
    <cellStyle name="Примечание 10 16 9" xfId="35879"/>
    <cellStyle name="Примечание 10 17" xfId="12210"/>
    <cellStyle name="Примечание 10 17 2" xfId="15108"/>
    <cellStyle name="Примечание 10 17 2 2" xfId="20391"/>
    <cellStyle name="Примечание 10 17 2 2 2" xfId="23246"/>
    <cellStyle name="Примечание 10 17 2 2 3" xfId="34201"/>
    <cellStyle name="Примечание 10 17 2 2 4" xfId="44069"/>
    <cellStyle name="Примечание 10 17 2 3" xfId="23662"/>
    <cellStyle name="Примечание 10 17 2 4" xfId="28928"/>
    <cellStyle name="Примечание 10 17 2 5" xfId="38803"/>
    <cellStyle name="Примечание 10 17 3" xfId="14413"/>
    <cellStyle name="Примечание 10 17 3 2" xfId="16926"/>
    <cellStyle name="Примечание 10 17 3 2 2" xfId="30741"/>
    <cellStyle name="Примечание 10 17 3 2 3" xfId="40616"/>
    <cellStyle name="Примечание 10 17 3 3" xfId="19696"/>
    <cellStyle name="Примечание 10 17 3 3 2" xfId="33506"/>
    <cellStyle name="Примечание 10 17 3 3 3" xfId="43375"/>
    <cellStyle name="Примечание 10 17 3 4" xfId="28234"/>
    <cellStyle name="Примечание 10 17 3 5" xfId="38109"/>
    <cellStyle name="Примечание 10 17 4" xfId="21589"/>
    <cellStyle name="Примечание 10 17 5" xfId="21925"/>
    <cellStyle name="Примечание 10 17 6" xfId="22782"/>
    <cellStyle name="Примечание 10 17 7" xfId="24286"/>
    <cellStyle name="Примечание 10 17 8" xfId="26084"/>
    <cellStyle name="Примечание 10 17 9" xfId="35959"/>
    <cellStyle name="Примечание 10 18" xfId="11790"/>
    <cellStyle name="Примечание 10 18 2" xfId="14688"/>
    <cellStyle name="Примечание 10 18 2 2" xfId="19971"/>
    <cellStyle name="Примечание 10 18 2 2 2" xfId="33781"/>
    <cellStyle name="Примечание 10 18 2 2 3" xfId="43649"/>
    <cellStyle name="Примечание 10 18 2 3" xfId="28508"/>
    <cellStyle name="Примечание 10 18 2 4" xfId="38383"/>
    <cellStyle name="Примечание 10 18 3" xfId="13055"/>
    <cellStyle name="Примечание 10 18 3 2" xfId="16006"/>
    <cellStyle name="Примечание 10 18 3 2 2" xfId="29825"/>
    <cellStyle name="Примечание 10 18 3 2 3" xfId="39700"/>
    <cellStyle name="Примечание 10 18 3 3" xfId="18387"/>
    <cellStyle name="Примечание 10 18 3 3 2" xfId="32197"/>
    <cellStyle name="Примечание 10 18 3 3 3" xfId="42070"/>
    <cellStyle name="Примечание 10 18 3 4" xfId="26929"/>
    <cellStyle name="Примечание 10 18 3 5" xfId="36804"/>
    <cellStyle name="Примечание 10 18 4" xfId="15921"/>
    <cellStyle name="Примечание 10 18 4 2" xfId="23277"/>
    <cellStyle name="Примечание 10 18 4 3" xfId="29740"/>
    <cellStyle name="Примечание 10 18 4 4" xfId="39615"/>
    <cellStyle name="Примечание 10 18 5" xfId="25664"/>
    <cellStyle name="Примечание 10 18 6" xfId="35539"/>
    <cellStyle name="Примечание 10 19" xfId="13517"/>
    <cellStyle name="Примечание 10 19 2" xfId="16215"/>
    <cellStyle name="Примечание 10 19 2 2" xfId="30032"/>
    <cellStyle name="Примечание 10 19 2 3" xfId="39907"/>
    <cellStyle name="Примечание 10 19 3" xfId="18846"/>
    <cellStyle name="Примечание 10 19 3 2" xfId="32656"/>
    <cellStyle name="Примечание 10 19 3 3" xfId="42527"/>
    <cellStyle name="Примечание 10 19 4" xfId="27386"/>
    <cellStyle name="Примечание 10 19 5" xfId="37261"/>
    <cellStyle name="Примечание 10 2" xfId="2189"/>
    <cellStyle name="Примечание 10 2 10" xfId="2833"/>
    <cellStyle name="Примечание 10 2 10 2" xfId="12805"/>
    <cellStyle name="Примечание 10 2 10 2 2" xfId="18137"/>
    <cellStyle name="Примечание 10 2 10 2 2 2" xfId="31947"/>
    <cellStyle name="Примечание 10 2 10 2 2 3" xfId="41820"/>
    <cellStyle name="Примечание 10 2 10 2 3" xfId="26679"/>
    <cellStyle name="Примечание 10 2 10 2 4" xfId="36554"/>
    <cellStyle name="Примечание 10 2 10 3" xfId="14028"/>
    <cellStyle name="Примечание 10 2 10 3 2" xfId="16671"/>
    <cellStyle name="Примечание 10 2 10 3 2 2" xfId="30486"/>
    <cellStyle name="Примечание 10 2 10 3 2 3" xfId="40361"/>
    <cellStyle name="Примечание 10 2 10 3 3" xfId="19311"/>
    <cellStyle name="Примечание 10 2 10 3 3 2" xfId="33121"/>
    <cellStyle name="Примечание 10 2 10 3 3 3" xfId="42990"/>
    <cellStyle name="Примечание 10 2 10 3 4" xfId="27849"/>
    <cellStyle name="Примечание 10 2 10 3 5" xfId="37724"/>
    <cellStyle name="Примечание 10 2 10 4" xfId="15526"/>
    <cellStyle name="Примечание 10 2 10 4 2" xfId="29345"/>
    <cellStyle name="Примечание 10 2 10 4 3" xfId="39220"/>
    <cellStyle name="Примечание 10 2 10 5" xfId="25253"/>
    <cellStyle name="Примечание 10 2 10 6" xfId="35128"/>
    <cellStyle name="Примечание 10 2 11" xfId="2881"/>
    <cellStyle name="Примечание 10 2 11 2" xfId="12851"/>
    <cellStyle name="Примечание 10 2 11 2 2" xfId="18183"/>
    <cellStyle name="Примечание 10 2 11 2 2 2" xfId="31993"/>
    <cellStyle name="Примечание 10 2 11 2 2 3" xfId="41866"/>
    <cellStyle name="Примечание 10 2 11 2 3" xfId="26725"/>
    <cellStyle name="Примечание 10 2 11 2 4" xfId="36600"/>
    <cellStyle name="Примечание 10 2 11 3" xfId="14074"/>
    <cellStyle name="Примечание 10 2 11 3 2" xfId="16717"/>
    <cellStyle name="Примечание 10 2 11 3 2 2" xfId="30532"/>
    <cellStyle name="Примечание 10 2 11 3 2 3" xfId="40407"/>
    <cellStyle name="Примечание 10 2 11 3 3" xfId="19357"/>
    <cellStyle name="Примечание 10 2 11 3 3 2" xfId="33167"/>
    <cellStyle name="Примечание 10 2 11 3 3 3" xfId="43036"/>
    <cellStyle name="Примечание 10 2 11 3 4" xfId="27895"/>
    <cellStyle name="Примечание 10 2 11 3 5" xfId="37770"/>
    <cellStyle name="Примечание 10 2 11 4" xfId="15572"/>
    <cellStyle name="Примечание 10 2 11 4 2" xfId="29391"/>
    <cellStyle name="Примечание 10 2 11 4 3" xfId="39266"/>
    <cellStyle name="Примечание 10 2 11 5" xfId="25299"/>
    <cellStyle name="Примечание 10 2 11 6" xfId="35174"/>
    <cellStyle name="Примечание 10 2 12" xfId="2935"/>
    <cellStyle name="Примечание 10 2 12 2" xfId="12904"/>
    <cellStyle name="Примечание 10 2 12 2 2" xfId="18236"/>
    <cellStyle name="Примечание 10 2 12 2 2 2" xfId="32046"/>
    <cellStyle name="Примечание 10 2 12 2 2 3" xfId="41919"/>
    <cellStyle name="Примечание 10 2 12 2 3" xfId="26778"/>
    <cellStyle name="Примечание 10 2 12 2 4" xfId="36653"/>
    <cellStyle name="Примечание 10 2 12 3" xfId="14127"/>
    <cellStyle name="Примечание 10 2 12 3 2" xfId="16770"/>
    <cellStyle name="Примечание 10 2 12 3 2 2" xfId="30585"/>
    <cellStyle name="Примечание 10 2 12 3 2 3" xfId="40460"/>
    <cellStyle name="Примечание 10 2 12 3 3" xfId="19410"/>
    <cellStyle name="Примечание 10 2 12 3 3 2" xfId="33220"/>
    <cellStyle name="Примечание 10 2 12 3 3 3" xfId="43089"/>
    <cellStyle name="Примечание 10 2 12 3 4" xfId="27948"/>
    <cellStyle name="Примечание 10 2 12 3 5" xfId="37823"/>
    <cellStyle name="Примечание 10 2 12 4" xfId="15625"/>
    <cellStyle name="Примечание 10 2 12 4 2" xfId="29444"/>
    <cellStyle name="Примечание 10 2 12 4 3" xfId="39319"/>
    <cellStyle name="Примечание 10 2 12 5" xfId="25352"/>
    <cellStyle name="Примечание 10 2 12 6" xfId="35227"/>
    <cellStyle name="Примечание 10 2 13" xfId="2983"/>
    <cellStyle name="Примечание 10 2 13 2" xfId="12951"/>
    <cellStyle name="Примечание 10 2 13 2 2" xfId="18283"/>
    <cellStyle name="Примечание 10 2 13 2 2 2" xfId="32093"/>
    <cellStyle name="Примечание 10 2 13 2 2 3" xfId="41966"/>
    <cellStyle name="Примечание 10 2 13 2 3" xfId="26825"/>
    <cellStyle name="Примечание 10 2 13 2 4" xfId="36700"/>
    <cellStyle name="Примечание 10 2 13 3" xfId="14174"/>
    <cellStyle name="Примечание 10 2 13 3 2" xfId="16817"/>
    <cellStyle name="Примечание 10 2 13 3 2 2" xfId="30632"/>
    <cellStyle name="Примечание 10 2 13 3 2 3" xfId="40507"/>
    <cellStyle name="Примечание 10 2 13 3 3" xfId="19457"/>
    <cellStyle name="Примечание 10 2 13 3 3 2" xfId="33267"/>
    <cellStyle name="Примечание 10 2 13 3 3 3" xfId="43136"/>
    <cellStyle name="Примечание 10 2 13 3 4" xfId="27995"/>
    <cellStyle name="Примечание 10 2 13 3 5" xfId="37870"/>
    <cellStyle name="Примечание 10 2 13 4" xfId="15671"/>
    <cellStyle name="Примечание 10 2 13 4 2" xfId="29490"/>
    <cellStyle name="Примечание 10 2 13 4 3" xfId="39365"/>
    <cellStyle name="Примечание 10 2 13 5" xfId="25399"/>
    <cellStyle name="Примечание 10 2 13 6" xfId="35274"/>
    <cellStyle name="Примечание 10 2 14" xfId="11791"/>
    <cellStyle name="Примечание 10 2 14 2" xfId="14689"/>
    <cellStyle name="Примечание 10 2 14 2 2" xfId="19972"/>
    <cellStyle name="Примечание 10 2 14 2 2 2" xfId="33782"/>
    <cellStyle name="Примечание 10 2 14 2 2 3" xfId="43650"/>
    <cellStyle name="Примечание 10 2 14 2 3" xfId="28509"/>
    <cellStyle name="Примечание 10 2 14 2 4" xfId="38384"/>
    <cellStyle name="Примечание 10 2 14 3" xfId="14232"/>
    <cellStyle name="Примечание 10 2 14 3 2" xfId="16875"/>
    <cellStyle name="Примечание 10 2 14 3 2 2" xfId="30690"/>
    <cellStyle name="Примечание 10 2 14 3 2 3" xfId="40565"/>
    <cellStyle name="Примечание 10 2 14 3 3" xfId="19515"/>
    <cellStyle name="Примечание 10 2 14 3 3 2" xfId="33325"/>
    <cellStyle name="Примечание 10 2 14 3 3 3" xfId="43194"/>
    <cellStyle name="Примечание 10 2 14 3 4" xfId="28053"/>
    <cellStyle name="Примечание 10 2 14 3 5" xfId="37928"/>
    <cellStyle name="Примечание 10 2 14 4" xfId="15922"/>
    <cellStyle name="Примечание 10 2 14 4 2" xfId="24553"/>
    <cellStyle name="Примечание 10 2 14 4 3" xfId="29741"/>
    <cellStyle name="Примечание 10 2 14 4 4" xfId="39616"/>
    <cellStyle name="Примечание 10 2 14 5" xfId="25665"/>
    <cellStyle name="Примечание 10 2 14 6" xfId="35540"/>
    <cellStyle name="Примечание 10 2 15" xfId="12370"/>
    <cellStyle name="Примечание 10 2 15 2" xfId="17702"/>
    <cellStyle name="Примечание 10 2 15 2 2" xfId="31512"/>
    <cellStyle name="Примечание 10 2 15 2 3" xfId="41385"/>
    <cellStyle name="Примечание 10 2 15 3" xfId="26244"/>
    <cellStyle name="Примечание 10 2 15 4" xfId="36119"/>
    <cellStyle name="Примечание 10 2 16" xfId="13518"/>
    <cellStyle name="Примечание 10 2 16 2" xfId="16216"/>
    <cellStyle name="Примечание 10 2 16 2 2" xfId="30033"/>
    <cellStyle name="Примечание 10 2 16 2 3" xfId="39908"/>
    <cellStyle name="Примечание 10 2 16 3" xfId="18847"/>
    <cellStyle name="Примечание 10 2 16 3 2" xfId="32657"/>
    <cellStyle name="Примечание 10 2 16 3 3" xfId="42528"/>
    <cellStyle name="Примечание 10 2 16 4" xfId="27387"/>
    <cellStyle name="Примечание 10 2 16 5" xfId="37262"/>
    <cellStyle name="Примечание 10 2 17" xfId="13468"/>
    <cellStyle name="Примечание 10 2 17 2" xfId="18797"/>
    <cellStyle name="Примечание 10 2 17 2 2" xfId="32607"/>
    <cellStyle name="Примечание 10 2 17 2 3" xfId="42478"/>
    <cellStyle name="Примечание 10 2 17 3" xfId="27337"/>
    <cellStyle name="Примечание 10 2 17 4" xfId="37212"/>
    <cellStyle name="Примечание 10 2 18" xfId="17369"/>
    <cellStyle name="Примечание 10 2 18 2" xfId="31180"/>
    <cellStyle name="Примечание 10 2 18 3" xfId="41054"/>
    <cellStyle name="Примечание 10 2 19" xfId="24803"/>
    <cellStyle name="Примечание 10 2 2" xfId="2564"/>
    <cellStyle name="Примечание 10 2 2 2" xfId="10733"/>
    <cellStyle name="Примечание 10 2 2 3" xfId="12550"/>
    <cellStyle name="Примечание 10 2 2 3 2" xfId="17882"/>
    <cellStyle name="Примечание 10 2 2 3 2 2" xfId="31692"/>
    <cellStyle name="Примечание 10 2 2 3 2 3" xfId="41565"/>
    <cellStyle name="Примечание 10 2 2 3 3" xfId="26424"/>
    <cellStyle name="Примечание 10 2 2 3 4" xfId="36299"/>
    <cellStyle name="Примечание 10 2 2 4" xfId="13772"/>
    <cellStyle name="Примечание 10 2 2 4 2" xfId="16415"/>
    <cellStyle name="Примечание 10 2 2 4 2 2" xfId="30231"/>
    <cellStyle name="Примечание 10 2 2 4 2 3" xfId="40106"/>
    <cellStyle name="Примечание 10 2 2 4 3" xfId="19055"/>
    <cellStyle name="Примечание 10 2 2 4 3 2" xfId="32865"/>
    <cellStyle name="Примечание 10 2 2 4 3 3" xfId="42735"/>
    <cellStyle name="Примечание 10 2 2 4 4" xfId="27594"/>
    <cellStyle name="Примечание 10 2 2 4 5" xfId="37469"/>
    <cellStyle name="Примечание 10 2 2 5" xfId="15270"/>
    <cellStyle name="Примечание 10 2 2 5 2" xfId="29090"/>
    <cellStyle name="Примечание 10 2 2 5 3" xfId="38965"/>
    <cellStyle name="Примечание 10 2 2 6" xfId="24998"/>
    <cellStyle name="Примечание 10 2 2 7" xfId="34873"/>
    <cellStyle name="Примечание 10 2 20" xfId="34420"/>
    <cellStyle name="Примечание 10 2 21" xfId="34670"/>
    <cellStyle name="Примечание 10 2 3" xfId="2476"/>
    <cellStyle name="Примечание 10 2 3 2" xfId="12481"/>
    <cellStyle name="Примечание 10 2 3 2 2" xfId="17813"/>
    <cellStyle name="Примечание 10 2 3 2 2 2" xfId="31623"/>
    <cellStyle name="Примечание 10 2 3 2 2 3" xfId="41496"/>
    <cellStyle name="Примечание 10 2 3 2 3" xfId="26355"/>
    <cellStyle name="Примечание 10 2 3 2 4" xfId="36230"/>
    <cellStyle name="Примечание 10 2 3 3" xfId="13703"/>
    <cellStyle name="Примечание 10 2 3 3 2" xfId="16346"/>
    <cellStyle name="Примечание 10 2 3 3 2 2" xfId="30162"/>
    <cellStyle name="Примечание 10 2 3 3 2 3" xfId="40037"/>
    <cellStyle name="Примечание 10 2 3 3 3" xfId="18986"/>
    <cellStyle name="Примечание 10 2 3 3 3 2" xfId="32796"/>
    <cellStyle name="Примечание 10 2 3 3 3 3" xfId="42666"/>
    <cellStyle name="Примечание 10 2 3 3 4" xfId="27525"/>
    <cellStyle name="Примечание 10 2 3 3 5" xfId="37400"/>
    <cellStyle name="Примечание 10 2 3 4" xfId="15201"/>
    <cellStyle name="Примечание 10 2 3 4 2" xfId="29021"/>
    <cellStyle name="Примечание 10 2 3 4 3" xfId="38896"/>
    <cellStyle name="Примечание 10 2 3 5" xfId="24929"/>
    <cellStyle name="Примечание 10 2 3 6" xfId="34804"/>
    <cellStyle name="Примечание 10 2 4" xfId="2499"/>
    <cellStyle name="Примечание 10 2 4 2" xfId="12485"/>
    <cellStyle name="Примечание 10 2 4 2 2" xfId="17817"/>
    <cellStyle name="Примечание 10 2 4 2 2 2" xfId="31627"/>
    <cellStyle name="Примечание 10 2 4 2 2 3" xfId="41500"/>
    <cellStyle name="Примечание 10 2 4 2 3" xfId="26359"/>
    <cellStyle name="Примечание 10 2 4 2 4" xfId="36234"/>
    <cellStyle name="Примечание 10 2 4 3" xfId="13707"/>
    <cellStyle name="Примечание 10 2 4 3 2" xfId="16350"/>
    <cellStyle name="Примечание 10 2 4 3 2 2" xfId="30166"/>
    <cellStyle name="Примечание 10 2 4 3 2 3" xfId="40041"/>
    <cellStyle name="Примечание 10 2 4 3 3" xfId="18990"/>
    <cellStyle name="Примечание 10 2 4 3 3 2" xfId="32800"/>
    <cellStyle name="Примечание 10 2 4 3 3 3" xfId="42670"/>
    <cellStyle name="Примечание 10 2 4 3 4" xfId="27529"/>
    <cellStyle name="Примечание 10 2 4 3 5" xfId="37404"/>
    <cellStyle name="Примечание 10 2 4 4" xfId="15205"/>
    <cellStyle name="Примечание 10 2 4 4 2" xfId="29025"/>
    <cellStyle name="Примечание 10 2 4 4 3" xfId="38900"/>
    <cellStyle name="Примечание 10 2 4 5" xfId="24933"/>
    <cellStyle name="Примечание 10 2 4 6" xfId="34808"/>
    <cellStyle name="Примечание 10 2 5" xfId="2427"/>
    <cellStyle name="Примечание 10 2 5 2" xfId="12432"/>
    <cellStyle name="Примечание 10 2 5 2 2" xfId="17764"/>
    <cellStyle name="Примечание 10 2 5 2 2 2" xfId="31574"/>
    <cellStyle name="Примечание 10 2 5 2 2 3" xfId="41447"/>
    <cellStyle name="Примечание 10 2 5 2 3" xfId="26306"/>
    <cellStyle name="Примечание 10 2 5 2 4" xfId="36181"/>
    <cellStyle name="Примечание 10 2 5 3" xfId="13654"/>
    <cellStyle name="Примечание 10 2 5 3 2" xfId="16297"/>
    <cellStyle name="Примечание 10 2 5 3 2 2" xfId="30113"/>
    <cellStyle name="Примечание 10 2 5 3 2 3" xfId="39988"/>
    <cellStyle name="Примечание 10 2 5 3 3" xfId="18937"/>
    <cellStyle name="Примечание 10 2 5 3 3 2" xfId="32747"/>
    <cellStyle name="Примечание 10 2 5 3 3 3" xfId="42617"/>
    <cellStyle name="Примечание 10 2 5 3 4" xfId="27476"/>
    <cellStyle name="Примечание 10 2 5 3 5" xfId="37351"/>
    <cellStyle name="Примечание 10 2 5 4" xfId="15152"/>
    <cellStyle name="Примечание 10 2 5 4 2" xfId="28972"/>
    <cellStyle name="Примечание 10 2 5 4 3" xfId="38847"/>
    <cellStyle name="Примечание 10 2 5 5" xfId="24880"/>
    <cellStyle name="Примечание 10 2 5 6" xfId="34755"/>
    <cellStyle name="Примечание 10 2 6" xfId="2549"/>
    <cellStyle name="Примечание 10 2 6 2" xfId="12535"/>
    <cellStyle name="Примечание 10 2 6 2 2" xfId="17867"/>
    <cellStyle name="Примечание 10 2 6 2 2 2" xfId="31677"/>
    <cellStyle name="Примечание 10 2 6 2 2 3" xfId="41550"/>
    <cellStyle name="Примечание 10 2 6 2 3" xfId="26409"/>
    <cellStyle name="Примечание 10 2 6 2 4" xfId="36284"/>
    <cellStyle name="Примечание 10 2 6 3" xfId="13757"/>
    <cellStyle name="Примечание 10 2 6 3 2" xfId="16400"/>
    <cellStyle name="Примечание 10 2 6 3 2 2" xfId="30216"/>
    <cellStyle name="Примечание 10 2 6 3 2 3" xfId="40091"/>
    <cellStyle name="Примечание 10 2 6 3 3" xfId="19040"/>
    <cellStyle name="Примечание 10 2 6 3 3 2" xfId="32850"/>
    <cellStyle name="Примечание 10 2 6 3 3 3" xfId="42720"/>
    <cellStyle name="Примечание 10 2 6 3 4" xfId="27579"/>
    <cellStyle name="Примечание 10 2 6 3 5" xfId="37454"/>
    <cellStyle name="Примечание 10 2 6 4" xfId="15255"/>
    <cellStyle name="Примечание 10 2 6 4 2" xfId="29075"/>
    <cellStyle name="Примечание 10 2 6 4 3" xfId="38950"/>
    <cellStyle name="Примечание 10 2 6 5" xfId="24983"/>
    <cellStyle name="Примечание 10 2 6 6" xfId="34858"/>
    <cellStyle name="Примечание 10 2 7" xfId="2727"/>
    <cellStyle name="Примечание 10 2 7 2" xfId="12703"/>
    <cellStyle name="Примечание 10 2 7 2 2" xfId="18035"/>
    <cellStyle name="Примечание 10 2 7 2 2 2" xfId="31845"/>
    <cellStyle name="Примечание 10 2 7 2 2 3" xfId="41718"/>
    <cellStyle name="Примечание 10 2 7 2 3" xfId="26577"/>
    <cellStyle name="Примечание 10 2 7 2 4" xfId="36452"/>
    <cellStyle name="Примечание 10 2 7 3" xfId="13926"/>
    <cellStyle name="Примечание 10 2 7 3 2" xfId="16569"/>
    <cellStyle name="Примечание 10 2 7 3 2 2" xfId="30384"/>
    <cellStyle name="Примечание 10 2 7 3 2 3" xfId="40259"/>
    <cellStyle name="Примечание 10 2 7 3 3" xfId="19209"/>
    <cellStyle name="Примечание 10 2 7 3 3 2" xfId="33019"/>
    <cellStyle name="Примечание 10 2 7 3 3 3" xfId="42888"/>
    <cellStyle name="Примечание 10 2 7 3 4" xfId="27747"/>
    <cellStyle name="Примечание 10 2 7 3 5" xfId="37622"/>
    <cellStyle name="Примечание 10 2 7 4" xfId="15424"/>
    <cellStyle name="Примечание 10 2 7 4 2" xfId="29243"/>
    <cellStyle name="Примечание 10 2 7 4 3" xfId="39118"/>
    <cellStyle name="Примечание 10 2 7 5" xfId="25151"/>
    <cellStyle name="Примечание 10 2 7 6" xfId="35026"/>
    <cellStyle name="Примечание 10 2 8" xfId="2649"/>
    <cellStyle name="Примечание 10 2 8 2" xfId="12635"/>
    <cellStyle name="Примечание 10 2 8 2 2" xfId="17967"/>
    <cellStyle name="Примечание 10 2 8 2 2 2" xfId="31777"/>
    <cellStyle name="Примечание 10 2 8 2 2 3" xfId="41650"/>
    <cellStyle name="Примечание 10 2 8 2 3" xfId="26509"/>
    <cellStyle name="Примечание 10 2 8 2 4" xfId="36384"/>
    <cellStyle name="Примечание 10 2 8 3" xfId="13857"/>
    <cellStyle name="Примечание 10 2 8 3 2" xfId="16500"/>
    <cellStyle name="Примечание 10 2 8 3 2 2" xfId="30316"/>
    <cellStyle name="Примечание 10 2 8 3 2 3" xfId="40191"/>
    <cellStyle name="Примечание 10 2 8 3 3" xfId="19140"/>
    <cellStyle name="Примечание 10 2 8 3 3 2" xfId="32950"/>
    <cellStyle name="Примечание 10 2 8 3 3 3" xfId="42820"/>
    <cellStyle name="Примечание 10 2 8 3 4" xfId="27679"/>
    <cellStyle name="Примечание 10 2 8 3 5" xfId="37554"/>
    <cellStyle name="Примечание 10 2 8 4" xfId="15355"/>
    <cellStyle name="Примечание 10 2 8 4 2" xfId="29175"/>
    <cellStyle name="Примечание 10 2 8 4 3" xfId="39050"/>
    <cellStyle name="Примечание 10 2 8 5" xfId="25083"/>
    <cellStyle name="Примечание 10 2 8 6" xfId="34958"/>
    <cellStyle name="Примечание 10 2 9" xfId="2777"/>
    <cellStyle name="Примечание 10 2 9 2" xfId="12752"/>
    <cellStyle name="Примечание 10 2 9 2 2" xfId="18084"/>
    <cellStyle name="Примечание 10 2 9 2 2 2" xfId="31894"/>
    <cellStyle name="Примечание 10 2 9 2 2 3" xfId="41767"/>
    <cellStyle name="Примечание 10 2 9 2 3" xfId="26626"/>
    <cellStyle name="Примечание 10 2 9 2 4" xfId="36501"/>
    <cellStyle name="Примечание 10 2 9 3" xfId="13975"/>
    <cellStyle name="Примечание 10 2 9 3 2" xfId="16618"/>
    <cellStyle name="Примечание 10 2 9 3 2 2" xfId="30433"/>
    <cellStyle name="Примечание 10 2 9 3 2 3" xfId="40308"/>
    <cellStyle name="Примечание 10 2 9 3 3" xfId="19258"/>
    <cellStyle name="Примечание 10 2 9 3 3 2" xfId="33068"/>
    <cellStyle name="Примечание 10 2 9 3 3 3" xfId="42937"/>
    <cellStyle name="Примечание 10 2 9 3 4" xfId="27796"/>
    <cellStyle name="Примечание 10 2 9 3 5" xfId="37671"/>
    <cellStyle name="Примечание 10 2 9 4" xfId="15473"/>
    <cellStyle name="Примечание 10 2 9 4 2" xfId="29292"/>
    <cellStyle name="Примечание 10 2 9 4 3" xfId="39167"/>
    <cellStyle name="Примечание 10 2 9 5" xfId="25200"/>
    <cellStyle name="Примечание 10 2 9 6" xfId="35075"/>
    <cellStyle name="Примечание 10 20" xfId="13467"/>
    <cellStyle name="Примечание 10 20 2" xfId="18796"/>
    <cellStyle name="Примечание 10 20 2 2" xfId="32606"/>
    <cellStyle name="Примечание 10 20 2 3" xfId="42477"/>
    <cellStyle name="Примечание 10 20 3" xfId="27336"/>
    <cellStyle name="Примечание 10 20 4" xfId="37211"/>
    <cellStyle name="Примечание 10 21" xfId="17368"/>
    <cellStyle name="Примечание 10 21 2" xfId="21130"/>
    <cellStyle name="Примечание 10 21 3" xfId="31179"/>
    <cellStyle name="Примечание 10 21 4" xfId="41053"/>
    <cellStyle name="Примечание 10 22" xfId="23886"/>
    <cellStyle name="Примечание 10 23" xfId="24802"/>
    <cellStyle name="Примечание 10 24" xfId="34419"/>
    <cellStyle name="Примечание 10 25" xfId="34669"/>
    <cellStyle name="Примечание 10 3" xfId="2190"/>
    <cellStyle name="Примечание 10 3 10" xfId="2834"/>
    <cellStyle name="Примечание 10 3 10 2" xfId="12806"/>
    <cellStyle name="Примечание 10 3 10 2 2" xfId="18138"/>
    <cellStyle name="Примечание 10 3 10 2 2 2" xfId="31948"/>
    <cellStyle name="Примечание 10 3 10 2 2 3" xfId="41821"/>
    <cellStyle name="Примечание 10 3 10 2 3" xfId="26680"/>
    <cellStyle name="Примечание 10 3 10 2 4" xfId="36555"/>
    <cellStyle name="Примечание 10 3 10 3" xfId="14029"/>
    <cellStyle name="Примечание 10 3 10 3 2" xfId="16672"/>
    <cellStyle name="Примечание 10 3 10 3 2 2" xfId="30487"/>
    <cellStyle name="Примечание 10 3 10 3 2 3" xfId="40362"/>
    <cellStyle name="Примечание 10 3 10 3 3" xfId="19312"/>
    <cellStyle name="Примечание 10 3 10 3 3 2" xfId="33122"/>
    <cellStyle name="Примечание 10 3 10 3 3 3" xfId="42991"/>
    <cellStyle name="Примечание 10 3 10 3 4" xfId="27850"/>
    <cellStyle name="Примечание 10 3 10 3 5" xfId="37725"/>
    <cellStyle name="Примечание 10 3 10 4" xfId="15527"/>
    <cellStyle name="Примечание 10 3 10 4 2" xfId="29346"/>
    <cellStyle name="Примечание 10 3 10 4 3" xfId="39221"/>
    <cellStyle name="Примечание 10 3 10 5" xfId="25254"/>
    <cellStyle name="Примечание 10 3 10 6" xfId="35129"/>
    <cellStyle name="Примечание 10 3 11" xfId="2882"/>
    <cellStyle name="Примечание 10 3 11 2" xfId="12852"/>
    <cellStyle name="Примечание 10 3 11 2 2" xfId="18184"/>
    <cellStyle name="Примечание 10 3 11 2 2 2" xfId="31994"/>
    <cellStyle name="Примечание 10 3 11 2 2 3" xfId="41867"/>
    <cellStyle name="Примечание 10 3 11 2 3" xfId="26726"/>
    <cellStyle name="Примечание 10 3 11 2 4" xfId="36601"/>
    <cellStyle name="Примечание 10 3 11 3" xfId="14075"/>
    <cellStyle name="Примечание 10 3 11 3 2" xfId="16718"/>
    <cellStyle name="Примечание 10 3 11 3 2 2" xfId="30533"/>
    <cellStyle name="Примечание 10 3 11 3 2 3" xfId="40408"/>
    <cellStyle name="Примечание 10 3 11 3 3" xfId="19358"/>
    <cellStyle name="Примечание 10 3 11 3 3 2" xfId="33168"/>
    <cellStyle name="Примечание 10 3 11 3 3 3" xfId="43037"/>
    <cellStyle name="Примечание 10 3 11 3 4" xfId="27896"/>
    <cellStyle name="Примечание 10 3 11 3 5" xfId="37771"/>
    <cellStyle name="Примечание 10 3 11 4" xfId="15573"/>
    <cellStyle name="Примечание 10 3 11 4 2" xfId="29392"/>
    <cellStyle name="Примечание 10 3 11 4 3" xfId="39267"/>
    <cellStyle name="Примечание 10 3 11 5" xfId="25300"/>
    <cellStyle name="Примечание 10 3 11 6" xfId="35175"/>
    <cellStyle name="Примечание 10 3 12" xfId="2936"/>
    <cellStyle name="Примечание 10 3 12 2" xfId="12905"/>
    <cellStyle name="Примечание 10 3 12 2 2" xfId="18237"/>
    <cellStyle name="Примечание 10 3 12 2 2 2" xfId="32047"/>
    <cellStyle name="Примечание 10 3 12 2 2 3" xfId="41920"/>
    <cellStyle name="Примечание 10 3 12 2 3" xfId="26779"/>
    <cellStyle name="Примечание 10 3 12 2 4" xfId="36654"/>
    <cellStyle name="Примечание 10 3 12 3" xfId="14128"/>
    <cellStyle name="Примечание 10 3 12 3 2" xfId="16771"/>
    <cellStyle name="Примечание 10 3 12 3 2 2" xfId="30586"/>
    <cellStyle name="Примечание 10 3 12 3 2 3" xfId="40461"/>
    <cellStyle name="Примечание 10 3 12 3 3" xfId="19411"/>
    <cellStyle name="Примечание 10 3 12 3 3 2" xfId="33221"/>
    <cellStyle name="Примечание 10 3 12 3 3 3" xfId="43090"/>
    <cellStyle name="Примечание 10 3 12 3 4" xfId="27949"/>
    <cellStyle name="Примечание 10 3 12 3 5" xfId="37824"/>
    <cellStyle name="Примечание 10 3 12 4" xfId="15626"/>
    <cellStyle name="Примечание 10 3 12 4 2" xfId="29445"/>
    <cellStyle name="Примечание 10 3 12 4 3" xfId="39320"/>
    <cellStyle name="Примечание 10 3 12 5" xfId="25353"/>
    <cellStyle name="Примечание 10 3 12 6" xfId="35228"/>
    <cellStyle name="Примечание 10 3 13" xfId="2985"/>
    <cellStyle name="Примечание 10 3 13 2" xfId="12952"/>
    <cellStyle name="Примечание 10 3 13 2 2" xfId="18284"/>
    <cellStyle name="Примечание 10 3 13 2 2 2" xfId="32094"/>
    <cellStyle name="Примечание 10 3 13 2 2 3" xfId="41967"/>
    <cellStyle name="Примечание 10 3 13 2 3" xfId="26826"/>
    <cellStyle name="Примечание 10 3 13 2 4" xfId="36701"/>
    <cellStyle name="Примечание 10 3 13 3" xfId="14175"/>
    <cellStyle name="Примечание 10 3 13 3 2" xfId="16818"/>
    <cellStyle name="Примечание 10 3 13 3 2 2" xfId="30633"/>
    <cellStyle name="Примечание 10 3 13 3 2 3" xfId="40508"/>
    <cellStyle name="Примечание 10 3 13 3 3" xfId="19458"/>
    <cellStyle name="Примечание 10 3 13 3 3 2" xfId="33268"/>
    <cellStyle name="Примечание 10 3 13 3 3 3" xfId="43137"/>
    <cellStyle name="Примечание 10 3 13 3 4" xfId="27996"/>
    <cellStyle name="Примечание 10 3 13 3 5" xfId="37871"/>
    <cellStyle name="Примечание 10 3 13 4" xfId="15672"/>
    <cellStyle name="Примечание 10 3 13 4 2" xfId="29491"/>
    <cellStyle name="Примечание 10 3 13 4 3" xfId="39366"/>
    <cellStyle name="Примечание 10 3 13 5" xfId="25400"/>
    <cellStyle name="Примечание 10 3 13 6" xfId="35275"/>
    <cellStyle name="Примечание 10 3 14" xfId="11792"/>
    <cellStyle name="Примечание 10 3 14 2" xfId="14690"/>
    <cellStyle name="Примечание 10 3 14 2 2" xfId="19973"/>
    <cellStyle name="Примечание 10 3 14 2 2 2" xfId="33783"/>
    <cellStyle name="Примечание 10 3 14 2 2 3" xfId="43651"/>
    <cellStyle name="Примечание 10 3 14 2 3" xfId="28510"/>
    <cellStyle name="Примечание 10 3 14 2 4" xfId="38385"/>
    <cellStyle name="Примечание 10 3 14 3" xfId="14231"/>
    <cellStyle name="Примечание 10 3 14 3 2" xfId="16874"/>
    <cellStyle name="Примечание 10 3 14 3 2 2" xfId="30689"/>
    <cellStyle name="Примечание 10 3 14 3 2 3" xfId="40564"/>
    <cellStyle name="Примечание 10 3 14 3 3" xfId="19514"/>
    <cellStyle name="Примечание 10 3 14 3 3 2" xfId="33324"/>
    <cellStyle name="Примечание 10 3 14 3 3 3" xfId="43193"/>
    <cellStyle name="Примечание 10 3 14 3 4" xfId="28052"/>
    <cellStyle name="Примечание 10 3 14 3 5" xfId="37927"/>
    <cellStyle name="Примечание 10 3 14 4" xfId="15923"/>
    <cellStyle name="Примечание 10 3 14 4 2" xfId="24554"/>
    <cellStyle name="Примечание 10 3 14 4 3" xfId="29742"/>
    <cellStyle name="Примечание 10 3 14 4 4" xfId="39617"/>
    <cellStyle name="Примечание 10 3 14 5" xfId="25666"/>
    <cellStyle name="Примечание 10 3 14 6" xfId="35541"/>
    <cellStyle name="Примечание 10 3 15" xfId="12371"/>
    <cellStyle name="Примечание 10 3 15 2" xfId="17703"/>
    <cellStyle name="Примечание 10 3 15 2 2" xfId="31513"/>
    <cellStyle name="Примечание 10 3 15 2 3" xfId="41386"/>
    <cellStyle name="Примечание 10 3 15 3" xfId="26245"/>
    <cellStyle name="Примечание 10 3 15 4" xfId="36120"/>
    <cellStyle name="Примечание 10 3 16" xfId="13519"/>
    <cellStyle name="Примечание 10 3 16 2" xfId="16217"/>
    <cellStyle name="Примечание 10 3 16 2 2" xfId="30034"/>
    <cellStyle name="Примечание 10 3 16 2 3" xfId="39909"/>
    <cellStyle name="Примечание 10 3 16 3" xfId="18848"/>
    <cellStyle name="Примечание 10 3 16 3 2" xfId="32658"/>
    <cellStyle name="Примечание 10 3 16 3 3" xfId="42529"/>
    <cellStyle name="Примечание 10 3 16 4" xfId="27388"/>
    <cellStyle name="Примечание 10 3 16 5" xfId="37263"/>
    <cellStyle name="Примечание 10 3 17" xfId="13469"/>
    <cellStyle name="Примечание 10 3 17 2" xfId="18798"/>
    <cellStyle name="Примечание 10 3 17 2 2" xfId="32608"/>
    <cellStyle name="Примечание 10 3 17 2 3" xfId="42479"/>
    <cellStyle name="Примечание 10 3 17 3" xfId="27338"/>
    <cellStyle name="Примечание 10 3 17 4" xfId="37213"/>
    <cellStyle name="Примечание 10 3 18" xfId="17370"/>
    <cellStyle name="Примечание 10 3 18 2" xfId="31181"/>
    <cellStyle name="Примечание 10 3 18 3" xfId="41055"/>
    <cellStyle name="Примечание 10 3 19" xfId="24804"/>
    <cellStyle name="Примечание 10 3 2" xfId="2565"/>
    <cellStyle name="Примечание 10 3 2 2" xfId="10734"/>
    <cellStyle name="Примечание 10 3 2 3" xfId="12551"/>
    <cellStyle name="Примечание 10 3 2 3 2" xfId="17883"/>
    <cellStyle name="Примечание 10 3 2 3 2 2" xfId="31693"/>
    <cellStyle name="Примечание 10 3 2 3 2 3" xfId="41566"/>
    <cellStyle name="Примечание 10 3 2 3 3" xfId="26425"/>
    <cellStyle name="Примечание 10 3 2 3 4" xfId="36300"/>
    <cellStyle name="Примечание 10 3 2 4" xfId="13773"/>
    <cellStyle name="Примечание 10 3 2 4 2" xfId="16416"/>
    <cellStyle name="Примечание 10 3 2 4 2 2" xfId="30232"/>
    <cellStyle name="Примечание 10 3 2 4 2 3" xfId="40107"/>
    <cellStyle name="Примечание 10 3 2 4 3" xfId="19056"/>
    <cellStyle name="Примечание 10 3 2 4 3 2" xfId="32866"/>
    <cellStyle name="Примечание 10 3 2 4 3 3" xfId="42736"/>
    <cellStyle name="Примечание 10 3 2 4 4" xfId="27595"/>
    <cellStyle name="Примечание 10 3 2 4 5" xfId="37470"/>
    <cellStyle name="Примечание 10 3 2 5" xfId="15271"/>
    <cellStyle name="Примечание 10 3 2 5 2" xfId="29091"/>
    <cellStyle name="Примечание 10 3 2 5 3" xfId="38966"/>
    <cellStyle name="Примечание 10 3 2 6" xfId="24999"/>
    <cellStyle name="Примечание 10 3 2 7" xfId="34874"/>
    <cellStyle name="Примечание 10 3 20" xfId="34421"/>
    <cellStyle name="Примечание 10 3 21" xfId="34671"/>
    <cellStyle name="Примечание 10 3 3" xfId="2475"/>
    <cellStyle name="Примечание 10 3 3 2" xfId="12480"/>
    <cellStyle name="Примечание 10 3 3 2 2" xfId="17812"/>
    <cellStyle name="Примечание 10 3 3 2 2 2" xfId="31622"/>
    <cellStyle name="Примечание 10 3 3 2 2 3" xfId="41495"/>
    <cellStyle name="Примечание 10 3 3 2 3" xfId="26354"/>
    <cellStyle name="Примечание 10 3 3 2 4" xfId="36229"/>
    <cellStyle name="Примечание 10 3 3 3" xfId="13702"/>
    <cellStyle name="Примечание 10 3 3 3 2" xfId="16345"/>
    <cellStyle name="Примечание 10 3 3 3 2 2" xfId="30161"/>
    <cellStyle name="Примечание 10 3 3 3 2 3" xfId="40036"/>
    <cellStyle name="Примечание 10 3 3 3 3" xfId="18985"/>
    <cellStyle name="Примечание 10 3 3 3 3 2" xfId="32795"/>
    <cellStyle name="Примечание 10 3 3 3 3 3" xfId="42665"/>
    <cellStyle name="Примечание 10 3 3 3 4" xfId="27524"/>
    <cellStyle name="Примечание 10 3 3 3 5" xfId="37399"/>
    <cellStyle name="Примечание 10 3 3 4" xfId="15200"/>
    <cellStyle name="Примечание 10 3 3 4 2" xfId="29020"/>
    <cellStyle name="Примечание 10 3 3 4 3" xfId="38895"/>
    <cellStyle name="Примечание 10 3 3 5" xfId="24928"/>
    <cellStyle name="Примечание 10 3 3 6" xfId="34803"/>
    <cellStyle name="Примечание 10 3 4" xfId="2500"/>
    <cellStyle name="Примечание 10 3 4 2" xfId="12486"/>
    <cellStyle name="Примечание 10 3 4 2 2" xfId="17818"/>
    <cellStyle name="Примечание 10 3 4 2 2 2" xfId="31628"/>
    <cellStyle name="Примечание 10 3 4 2 2 3" xfId="41501"/>
    <cellStyle name="Примечание 10 3 4 2 3" xfId="26360"/>
    <cellStyle name="Примечание 10 3 4 2 4" xfId="36235"/>
    <cellStyle name="Примечание 10 3 4 3" xfId="13708"/>
    <cellStyle name="Примечание 10 3 4 3 2" xfId="16351"/>
    <cellStyle name="Примечание 10 3 4 3 2 2" xfId="30167"/>
    <cellStyle name="Примечание 10 3 4 3 2 3" xfId="40042"/>
    <cellStyle name="Примечание 10 3 4 3 3" xfId="18991"/>
    <cellStyle name="Примечание 10 3 4 3 3 2" xfId="32801"/>
    <cellStyle name="Примечание 10 3 4 3 3 3" xfId="42671"/>
    <cellStyle name="Примечание 10 3 4 3 4" xfId="27530"/>
    <cellStyle name="Примечание 10 3 4 3 5" xfId="37405"/>
    <cellStyle name="Примечание 10 3 4 4" xfId="15206"/>
    <cellStyle name="Примечание 10 3 4 4 2" xfId="29026"/>
    <cellStyle name="Примечание 10 3 4 4 3" xfId="38901"/>
    <cellStyle name="Примечание 10 3 4 5" xfId="24934"/>
    <cellStyle name="Примечание 10 3 4 6" xfId="34809"/>
    <cellStyle name="Примечание 10 3 5" xfId="2426"/>
    <cellStyle name="Примечание 10 3 5 2" xfId="12431"/>
    <cellStyle name="Примечание 10 3 5 2 2" xfId="17763"/>
    <cellStyle name="Примечание 10 3 5 2 2 2" xfId="31573"/>
    <cellStyle name="Примечание 10 3 5 2 2 3" xfId="41446"/>
    <cellStyle name="Примечание 10 3 5 2 3" xfId="26305"/>
    <cellStyle name="Примечание 10 3 5 2 4" xfId="36180"/>
    <cellStyle name="Примечание 10 3 5 3" xfId="13653"/>
    <cellStyle name="Примечание 10 3 5 3 2" xfId="16296"/>
    <cellStyle name="Примечание 10 3 5 3 2 2" xfId="30112"/>
    <cellStyle name="Примечание 10 3 5 3 2 3" xfId="39987"/>
    <cellStyle name="Примечание 10 3 5 3 3" xfId="18936"/>
    <cellStyle name="Примечание 10 3 5 3 3 2" xfId="32746"/>
    <cellStyle name="Примечание 10 3 5 3 3 3" xfId="42616"/>
    <cellStyle name="Примечание 10 3 5 3 4" xfId="27475"/>
    <cellStyle name="Примечание 10 3 5 3 5" xfId="37350"/>
    <cellStyle name="Примечание 10 3 5 4" xfId="15151"/>
    <cellStyle name="Примечание 10 3 5 4 2" xfId="28971"/>
    <cellStyle name="Примечание 10 3 5 4 3" xfId="38846"/>
    <cellStyle name="Примечание 10 3 5 5" xfId="24879"/>
    <cellStyle name="Примечание 10 3 5 6" xfId="34754"/>
    <cellStyle name="Примечание 10 3 6" xfId="2550"/>
    <cellStyle name="Примечание 10 3 6 2" xfId="12536"/>
    <cellStyle name="Примечание 10 3 6 2 2" xfId="17868"/>
    <cellStyle name="Примечание 10 3 6 2 2 2" xfId="31678"/>
    <cellStyle name="Примечание 10 3 6 2 2 3" xfId="41551"/>
    <cellStyle name="Примечание 10 3 6 2 3" xfId="26410"/>
    <cellStyle name="Примечание 10 3 6 2 4" xfId="36285"/>
    <cellStyle name="Примечание 10 3 6 3" xfId="13758"/>
    <cellStyle name="Примечание 10 3 6 3 2" xfId="16401"/>
    <cellStyle name="Примечание 10 3 6 3 2 2" xfId="30217"/>
    <cellStyle name="Примечание 10 3 6 3 2 3" xfId="40092"/>
    <cellStyle name="Примечание 10 3 6 3 3" xfId="19041"/>
    <cellStyle name="Примечание 10 3 6 3 3 2" xfId="32851"/>
    <cellStyle name="Примечание 10 3 6 3 3 3" xfId="42721"/>
    <cellStyle name="Примечание 10 3 6 3 4" xfId="27580"/>
    <cellStyle name="Примечание 10 3 6 3 5" xfId="37455"/>
    <cellStyle name="Примечание 10 3 6 4" xfId="15256"/>
    <cellStyle name="Примечание 10 3 6 4 2" xfId="29076"/>
    <cellStyle name="Примечание 10 3 6 4 3" xfId="38951"/>
    <cellStyle name="Примечание 10 3 6 5" xfId="24984"/>
    <cellStyle name="Примечание 10 3 6 6" xfId="34859"/>
    <cellStyle name="Примечание 10 3 7" xfId="2728"/>
    <cellStyle name="Примечание 10 3 7 2" xfId="12704"/>
    <cellStyle name="Примечание 10 3 7 2 2" xfId="18036"/>
    <cellStyle name="Примечание 10 3 7 2 2 2" xfId="31846"/>
    <cellStyle name="Примечание 10 3 7 2 2 3" xfId="41719"/>
    <cellStyle name="Примечание 10 3 7 2 3" xfId="26578"/>
    <cellStyle name="Примечание 10 3 7 2 4" xfId="36453"/>
    <cellStyle name="Примечание 10 3 7 3" xfId="13927"/>
    <cellStyle name="Примечание 10 3 7 3 2" xfId="16570"/>
    <cellStyle name="Примечание 10 3 7 3 2 2" xfId="30385"/>
    <cellStyle name="Примечание 10 3 7 3 2 3" xfId="40260"/>
    <cellStyle name="Примечание 10 3 7 3 3" xfId="19210"/>
    <cellStyle name="Примечание 10 3 7 3 3 2" xfId="33020"/>
    <cellStyle name="Примечание 10 3 7 3 3 3" xfId="42889"/>
    <cellStyle name="Примечание 10 3 7 3 4" xfId="27748"/>
    <cellStyle name="Примечание 10 3 7 3 5" xfId="37623"/>
    <cellStyle name="Примечание 10 3 7 4" xfId="15425"/>
    <cellStyle name="Примечание 10 3 7 4 2" xfId="29244"/>
    <cellStyle name="Примечание 10 3 7 4 3" xfId="39119"/>
    <cellStyle name="Примечание 10 3 7 5" xfId="25152"/>
    <cellStyle name="Примечание 10 3 7 6" xfId="35027"/>
    <cellStyle name="Примечание 10 3 8" xfId="2650"/>
    <cellStyle name="Примечание 10 3 8 2" xfId="12636"/>
    <cellStyle name="Примечание 10 3 8 2 2" xfId="17968"/>
    <cellStyle name="Примечание 10 3 8 2 2 2" xfId="31778"/>
    <cellStyle name="Примечание 10 3 8 2 2 3" xfId="41651"/>
    <cellStyle name="Примечание 10 3 8 2 3" xfId="26510"/>
    <cellStyle name="Примечание 10 3 8 2 4" xfId="36385"/>
    <cellStyle name="Примечание 10 3 8 3" xfId="13858"/>
    <cellStyle name="Примечание 10 3 8 3 2" xfId="16501"/>
    <cellStyle name="Примечание 10 3 8 3 2 2" xfId="30317"/>
    <cellStyle name="Примечание 10 3 8 3 2 3" xfId="40192"/>
    <cellStyle name="Примечание 10 3 8 3 3" xfId="19141"/>
    <cellStyle name="Примечание 10 3 8 3 3 2" xfId="32951"/>
    <cellStyle name="Примечание 10 3 8 3 3 3" xfId="42821"/>
    <cellStyle name="Примечание 10 3 8 3 4" xfId="27680"/>
    <cellStyle name="Примечание 10 3 8 3 5" xfId="37555"/>
    <cellStyle name="Примечание 10 3 8 4" xfId="15356"/>
    <cellStyle name="Примечание 10 3 8 4 2" xfId="29176"/>
    <cellStyle name="Примечание 10 3 8 4 3" xfId="39051"/>
    <cellStyle name="Примечание 10 3 8 5" xfId="25084"/>
    <cellStyle name="Примечание 10 3 8 6" xfId="34959"/>
    <cellStyle name="Примечание 10 3 9" xfId="2778"/>
    <cellStyle name="Примечание 10 3 9 2" xfId="12753"/>
    <cellStyle name="Примечание 10 3 9 2 2" xfId="18085"/>
    <cellStyle name="Примечание 10 3 9 2 2 2" xfId="31895"/>
    <cellStyle name="Примечание 10 3 9 2 2 3" xfId="41768"/>
    <cellStyle name="Примечание 10 3 9 2 3" xfId="26627"/>
    <cellStyle name="Примечание 10 3 9 2 4" xfId="36502"/>
    <cellStyle name="Примечание 10 3 9 3" xfId="13976"/>
    <cellStyle name="Примечание 10 3 9 3 2" xfId="16619"/>
    <cellStyle name="Примечание 10 3 9 3 2 2" xfId="30434"/>
    <cellStyle name="Примечание 10 3 9 3 2 3" xfId="40309"/>
    <cellStyle name="Примечание 10 3 9 3 3" xfId="19259"/>
    <cellStyle name="Примечание 10 3 9 3 3 2" xfId="33069"/>
    <cellStyle name="Примечание 10 3 9 3 3 3" xfId="42938"/>
    <cellStyle name="Примечание 10 3 9 3 4" xfId="27797"/>
    <cellStyle name="Примечание 10 3 9 3 5" xfId="37672"/>
    <cellStyle name="Примечание 10 3 9 4" xfId="15474"/>
    <cellStyle name="Примечание 10 3 9 4 2" xfId="29293"/>
    <cellStyle name="Примечание 10 3 9 4 3" xfId="39168"/>
    <cellStyle name="Примечание 10 3 9 5" xfId="25201"/>
    <cellStyle name="Примечание 10 3 9 6" xfId="35076"/>
    <cellStyle name="Примечание 10 4" xfId="2563"/>
    <cellStyle name="Примечание 10 4 2" xfId="10727"/>
    <cellStyle name="Примечание 10 4 3" xfId="12549"/>
    <cellStyle name="Примечание 10 4 3 2" xfId="17881"/>
    <cellStyle name="Примечание 10 4 3 2 2" xfId="31691"/>
    <cellStyle name="Примечание 10 4 3 2 3" xfId="41564"/>
    <cellStyle name="Примечание 10 4 3 3" xfId="26423"/>
    <cellStyle name="Примечание 10 4 3 4" xfId="36298"/>
    <cellStyle name="Примечание 10 4 4" xfId="13771"/>
    <cellStyle name="Примечание 10 4 4 2" xfId="16414"/>
    <cellStyle name="Примечание 10 4 4 2 2" xfId="30230"/>
    <cellStyle name="Примечание 10 4 4 2 3" xfId="40105"/>
    <cellStyle name="Примечание 10 4 4 3" xfId="19054"/>
    <cellStyle name="Примечание 10 4 4 3 2" xfId="32864"/>
    <cellStyle name="Примечание 10 4 4 3 3" xfId="42734"/>
    <cellStyle name="Примечание 10 4 4 4" xfId="27593"/>
    <cellStyle name="Примечание 10 4 4 5" xfId="37468"/>
    <cellStyle name="Примечание 10 4 5" xfId="15269"/>
    <cellStyle name="Примечание 10 4 5 2" xfId="29089"/>
    <cellStyle name="Примечание 10 4 5 3" xfId="38964"/>
    <cellStyle name="Примечание 10 4 6" xfId="24997"/>
    <cellStyle name="Примечание 10 4 7" xfId="34872"/>
    <cellStyle name="Примечание 10 5" xfId="2477"/>
    <cellStyle name="Примечание 10 5 2" xfId="10735"/>
    <cellStyle name="Примечание 10 5 3" xfId="12482"/>
    <cellStyle name="Примечание 10 5 3 2" xfId="17814"/>
    <cellStyle name="Примечание 10 5 3 2 2" xfId="31624"/>
    <cellStyle name="Примечание 10 5 3 2 3" xfId="41497"/>
    <cellStyle name="Примечание 10 5 3 3" xfId="26356"/>
    <cellStyle name="Примечание 10 5 3 4" xfId="36231"/>
    <cellStyle name="Примечание 10 5 4" xfId="13704"/>
    <cellStyle name="Примечание 10 5 4 2" xfId="16347"/>
    <cellStyle name="Примечание 10 5 4 2 2" xfId="30163"/>
    <cellStyle name="Примечание 10 5 4 2 3" xfId="40038"/>
    <cellStyle name="Примечание 10 5 4 3" xfId="18987"/>
    <cellStyle name="Примечание 10 5 4 3 2" xfId="32797"/>
    <cellStyle name="Примечание 10 5 4 3 3" xfId="42667"/>
    <cellStyle name="Примечание 10 5 4 4" xfId="27526"/>
    <cellStyle name="Примечание 10 5 4 5" xfId="37401"/>
    <cellStyle name="Примечание 10 5 5" xfId="15202"/>
    <cellStyle name="Примечание 10 5 5 2" xfId="29022"/>
    <cellStyle name="Примечание 10 5 5 3" xfId="38897"/>
    <cellStyle name="Примечание 10 5 6" xfId="24930"/>
    <cellStyle name="Примечание 10 5 7" xfId="34805"/>
    <cellStyle name="Примечание 10 6" xfId="2498"/>
    <cellStyle name="Примечание 10 6 2" xfId="10736"/>
    <cellStyle name="Примечание 10 6 3" xfId="12484"/>
    <cellStyle name="Примечание 10 6 3 2" xfId="17816"/>
    <cellStyle name="Примечание 10 6 3 2 2" xfId="31626"/>
    <cellStyle name="Примечание 10 6 3 2 3" xfId="41499"/>
    <cellStyle name="Примечание 10 6 3 3" xfId="26358"/>
    <cellStyle name="Примечание 10 6 3 4" xfId="36233"/>
    <cellStyle name="Примечание 10 6 4" xfId="13706"/>
    <cellStyle name="Примечание 10 6 4 2" xfId="16349"/>
    <cellStyle name="Примечание 10 6 4 2 2" xfId="30165"/>
    <cellStyle name="Примечание 10 6 4 2 3" xfId="40040"/>
    <cellStyle name="Примечание 10 6 4 3" xfId="18989"/>
    <cellStyle name="Примечание 10 6 4 3 2" xfId="32799"/>
    <cellStyle name="Примечание 10 6 4 3 3" xfId="42669"/>
    <cellStyle name="Примечание 10 6 4 4" xfId="27528"/>
    <cellStyle name="Примечание 10 6 4 5" xfId="37403"/>
    <cellStyle name="Примечание 10 6 5" xfId="15204"/>
    <cellStyle name="Примечание 10 6 5 2" xfId="29024"/>
    <cellStyle name="Примечание 10 6 5 3" xfId="38899"/>
    <cellStyle name="Примечание 10 6 6" xfId="24932"/>
    <cellStyle name="Примечание 10 6 7" xfId="34807"/>
    <cellStyle name="Примечание 10 7" xfId="2478"/>
    <cellStyle name="Примечание 10 7 2" xfId="10737"/>
    <cellStyle name="Примечание 10 7 3" xfId="12483"/>
    <cellStyle name="Примечание 10 7 3 2" xfId="17815"/>
    <cellStyle name="Примечание 10 7 3 2 2" xfId="31625"/>
    <cellStyle name="Примечание 10 7 3 2 3" xfId="41498"/>
    <cellStyle name="Примечание 10 7 3 3" xfId="26357"/>
    <cellStyle name="Примечание 10 7 3 4" xfId="36232"/>
    <cellStyle name="Примечание 10 7 4" xfId="13705"/>
    <cellStyle name="Примечание 10 7 4 2" xfId="16348"/>
    <cellStyle name="Примечание 10 7 4 2 2" xfId="30164"/>
    <cellStyle name="Примечание 10 7 4 2 3" xfId="40039"/>
    <cellStyle name="Примечание 10 7 4 3" xfId="18988"/>
    <cellStyle name="Примечание 10 7 4 3 2" xfId="32798"/>
    <cellStyle name="Примечание 10 7 4 3 3" xfId="42668"/>
    <cellStyle name="Примечание 10 7 4 4" xfId="27527"/>
    <cellStyle name="Примечание 10 7 4 5" xfId="37402"/>
    <cellStyle name="Примечание 10 7 5" xfId="15203"/>
    <cellStyle name="Примечание 10 7 5 2" xfId="29023"/>
    <cellStyle name="Примечание 10 7 5 3" xfId="38898"/>
    <cellStyle name="Примечание 10 7 6" xfId="24931"/>
    <cellStyle name="Примечание 10 7 7" xfId="34806"/>
    <cellStyle name="Примечание 10 8" xfId="2548"/>
    <cellStyle name="Примечание 10 8 2" xfId="10738"/>
    <cellStyle name="Примечание 10 8 3" xfId="12534"/>
    <cellStyle name="Примечание 10 8 3 2" xfId="17866"/>
    <cellStyle name="Примечание 10 8 3 2 2" xfId="31676"/>
    <cellStyle name="Примечание 10 8 3 2 3" xfId="41549"/>
    <cellStyle name="Примечание 10 8 3 3" xfId="26408"/>
    <cellStyle name="Примечание 10 8 3 4" xfId="36283"/>
    <cellStyle name="Примечание 10 8 4" xfId="13756"/>
    <cellStyle name="Примечание 10 8 4 2" xfId="16399"/>
    <cellStyle name="Примечание 10 8 4 2 2" xfId="30215"/>
    <cellStyle name="Примечание 10 8 4 2 3" xfId="40090"/>
    <cellStyle name="Примечание 10 8 4 3" xfId="19039"/>
    <cellStyle name="Примечание 10 8 4 3 2" xfId="32849"/>
    <cellStyle name="Примечание 10 8 4 3 3" xfId="42719"/>
    <cellStyle name="Примечание 10 8 4 4" xfId="27578"/>
    <cellStyle name="Примечание 10 8 4 5" xfId="37453"/>
    <cellStyle name="Примечание 10 8 5" xfId="15254"/>
    <cellStyle name="Примечание 10 8 5 2" xfId="29074"/>
    <cellStyle name="Примечание 10 8 5 3" xfId="38949"/>
    <cellStyle name="Примечание 10 8 6" xfId="24982"/>
    <cellStyle name="Примечание 10 8 7" xfId="34857"/>
    <cellStyle name="Примечание 10 9" xfId="2726"/>
    <cellStyle name="Примечание 10 9 2" xfId="10739"/>
    <cellStyle name="Примечание 10 9 3" xfId="12702"/>
    <cellStyle name="Примечание 10 9 3 2" xfId="18034"/>
    <cellStyle name="Примечание 10 9 3 2 2" xfId="31844"/>
    <cellStyle name="Примечание 10 9 3 2 3" xfId="41717"/>
    <cellStyle name="Примечание 10 9 3 3" xfId="26576"/>
    <cellStyle name="Примечание 10 9 3 4" xfId="36451"/>
    <cellStyle name="Примечание 10 9 4" xfId="13925"/>
    <cellStyle name="Примечание 10 9 4 2" xfId="16568"/>
    <cellStyle name="Примечание 10 9 4 2 2" xfId="30383"/>
    <cellStyle name="Примечание 10 9 4 2 3" xfId="40258"/>
    <cellStyle name="Примечание 10 9 4 3" xfId="19208"/>
    <cellStyle name="Примечание 10 9 4 3 2" xfId="33018"/>
    <cellStyle name="Примечание 10 9 4 3 3" xfId="42887"/>
    <cellStyle name="Примечание 10 9 4 4" xfId="27746"/>
    <cellStyle name="Примечание 10 9 4 5" xfId="37621"/>
    <cellStyle name="Примечание 10 9 5" xfId="15423"/>
    <cellStyle name="Примечание 10 9 5 2" xfId="29242"/>
    <cellStyle name="Примечание 10 9 5 3" xfId="39117"/>
    <cellStyle name="Примечание 10 9 6" xfId="25150"/>
    <cellStyle name="Примечание 10 9 7" xfId="35025"/>
    <cellStyle name="Примечание 11" xfId="2191"/>
    <cellStyle name="Примечание 11 10" xfId="2651"/>
    <cellStyle name="Примечание 11 10 2" xfId="10741"/>
    <cellStyle name="Примечание 11 10 3" xfId="12637"/>
    <cellStyle name="Примечание 11 10 3 2" xfId="17969"/>
    <cellStyle name="Примечание 11 10 3 2 2" xfId="31779"/>
    <cellStyle name="Примечание 11 10 3 2 3" xfId="41652"/>
    <cellStyle name="Примечание 11 10 3 3" xfId="26511"/>
    <cellStyle name="Примечание 11 10 3 4" xfId="36386"/>
    <cellStyle name="Примечание 11 10 4" xfId="13859"/>
    <cellStyle name="Примечание 11 10 4 2" xfId="16502"/>
    <cellStyle name="Примечание 11 10 4 2 2" xfId="30318"/>
    <cellStyle name="Примечание 11 10 4 2 3" xfId="40193"/>
    <cellStyle name="Примечание 11 10 4 3" xfId="19142"/>
    <cellStyle name="Примечание 11 10 4 3 2" xfId="32952"/>
    <cellStyle name="Примечание 11 10 4 3 3" xfId="42822"/>
    <cellStyle name="Примечание 11 10 4 4" xfId="27681"/>
    <cellStyle name="Примечание 11 10 4 5" xfId="37556"/>
    <cellStyle name="Примечание 11 10 5" xfId="15357"/>
    <cellStyle name="Примечание 11 10 5 2" xfId="29177"/>
    <cellStyle name="Примечание 11 10 5 3" xfId="39052"/>
    <cellStyle name="Примечание 11 10 6" xfId="25085"/>
    <cellStyle name="Примечание 11 10 7" xfId="34960"/>
    <cellStyle name="Примечание 11 11" xfId="2779"/>
    <cellStyle name="Примечание 11 11 2" xfId="10742"/>
    <cellStyle name="Примечание 11 11 3" xfId="12754"/>
    <cellStyle name="Примечание 11 11 3 2" xfId="18086"/>
    <cellStyle name="Примечание 11 11 3 2 2" xfId="31896"/>
    <cellStyle name="Примечание 11 11 3 2 3" xfId="41769"/>
    <cellStyle name="Примечание 11 11 3 3" xfId="26628"/>
    <cellStyle name="Примечание 11 11 3 4" xfId="36503"/>
    <cellStyle name="Примечание 11 11 4" xfId="13977"/>
    <cellStyle name="Примечание 11 11 4 2" xfId="16620"/>
    <cellStyle name="Примечание 11 11 4 2 2" xfId="30435"/>
    <cellStyle name="Примечание 11 11 4 2 3" xfId="40310"/>
    <cellStyle name="Примечание 11 11 4 3" xfId="19260"/>
    <cellStyle name="Примечание 11 11 4 3 2" xfId="33070"/>
    <cellStyle name="Примечание 11 11 4 3 3" xfId="42939"/>
    <cellStyle name="Примечание 11 11 4 4" xfId="27798"/>
    <cellStyle name="Примечание 11 11 4 5" xfId="37673"/>
    <cellStyle name="Примечание 11 11 5" xfId="15475"/>
    <cellStyle name="Примечание 11 11 5 2" xfId="29294"/>
    <cellStyle name="Примечание 11 11 5 3" xfId="39169"/>
    <cellStyle name="Примечание 11 11 6" xfId="25202"/>
    <cellStyle name="Примечание 11 11 7" xfId="35077"/>
    <cellStyle name="Примечание 11 12" xfId="2835"/>
    <cellStyle name="Примечание 11 12 2" xfId="10743"/>
    <cellStyle name="Примечание 11 12 3" xfId="12807"/>
    <cellStyle name="Примечание 11 12 3 2" xfId="18139"/>
    <cellStyle name="Примечание 11 12 3 2 2" xfId="31949"/>
    <cellStyle name="Примечание 11 12 3 2 3" xfId="41822"/>
    <cellStyle name="Примечание 11 12 3 3" xfId="26681"/>
    <cellStyle name="Примечание 11 12 3 4" xfId="36556"/>
    <cellStyle name="Примечание 11 12 4" xfId="14030"/>
    <cellStyle name="Примечание 11 12 4 2" xfId="16673"/>
    <cellStyle name="Примечание 11 12 4 2 2" xfId="30488"/>
    <cellStyle name="Примечание 11 12 4 2 3" xfId="40363"/>
    <cellStyle name="Примечание 11 12 4 3" xfId="19313"/>
    <cellStyle name="Примечание 11 12 4 3 2" xfId="33123"/>
    <cellStyle name="Примечание 11 12 4 3 3" xfId="42992"/>
    <cellStyle name="Примечание 11 12 4 4" xfId="27851"/>
    <cellStyle name="Примечание 11 12 4 5" xfId="37726"/>
    <cellStyle name="Примечание 11 12 5" xfId="15528"/>
    <cellStyle name="Примечание 11 12 5 2" xfId="29347"/>
    <cellStyle name="Примечание 11 12 5 3" xfId="39222"/>
    <cellStyle name="Примечание 11 12 6" xfId="25255"/>
    <cellStyle name="Примечание 11 12 7" xfId="35130"/>
    <cellStyle name="Примечание 11 13" xfId="2883"/>
    <cellStyle name="Примечание 11 13 2" xfId="10744"/>
    <cellStyle name="Примечание 11 13 3" xfId="12853"/>
    <cellStyle name="Примечание 11 13 3 2" xfId="18185"/>
    <cellStyle name="Примечание 11 13 3 2 2" xfId="31995"/>
    <cellStyle name="Примечание 11 13 3 2 3" xfId="41868"/>
    <cellStyle name="Примечание 11 13 3 3" xfId="26727"/>
    <cellStyle name="Примечание 11 13 3 4" xfId="36602"/>
    <cellStyle name="Примечание 11 13 4" xfId="14076"/>
    <cellStyle name="Примечание 11 13 4 2" xfId="16719"/>
    <cellStyle name="Примечание 11 13 4 2 2" xfId="30534"/>
    <cellStyle name="Примечание 11 13 4 2 3" xfId="40409"/>
    <cellStyle name="Примечание 11 13 4 3" xfId="19359"/>
    <cellStyle name="Примечание 11 13 4 3 2" xfId="33169"/>
    <cellStyle name="Примечание 11 13 4 3 3" xfId="43038"/>
    <cellStyle name="Примечание 11 13 4 4" xfId="27897"/>
    <cellStyle name="Примечание 11 13 4 5" xfId="37772"/>
    <cellStyle name="Примечание 11 13 5" xfId="15574"/>
    <cellStyle name="Примечание 11 13 5 2" xfId="29393"/>
    <cellStyle name="Примечание 11 13 5 3" xfId="39268"/>
    <cellStyle name="Примечание 11 13 6" xfId="25301"/>
    <cellStyle name="Примечание 11 13 7" xfId="35176"/>
    <cellStyle name="Примечание 11 14" xfId="2937"/>
    <cellStyle name="Примечание 11 14 2" xfId="10745"/>
    <cellStyle name="Примечание 11 14 3" xfId="12906"/>
    <cellStyle name="Примечание 11 14 3 2" xfId="18238"/>
    <cellStyle name="Примечание 11 14 3 2 2" xfId="32048"/>
    <cellStyle name="Примечание 11 14 3 2 3" xfId="41921"/>
    <cellStyle name="Примечание 11 14 3 3" xfId="26780"/>
    <cellStyle name="Примечание 11 14 3 4" xfId="36655"/>
    <cellStyle name="Примечание 11 14 4" xfId="14129"/>
    <cellStyle name="Примечание 11 14 4 2" xfId="16772"/>
    <cellStyle name="Примечание 11 14 4 2 2" xfId="30587"/>
    <cellStyle name="Примечание 11 14 4 2 3" xfId="40462"/>
    <cellStyle name="Примечание 11 14 4 3" xfId="19412"/>
    <cellStyle name="Примечание 11 14 4 3 2" xfId="33222"/>
    <cellStyle name="Примечание 11 14 4 3 3" xfId="43091"/>
    <cellStyle name="Примечание 11 14 4 4" xfId="27950"/>
    <cellStyle name="Примечание 11 14 4 5" xfId="37825"/>
    <cellStyle name="Примечание 11 14 5" xfId="15627"/>
    <cellStyle name="Примечание 11 14 5 2" xfId="29446"/>
    <cellStyle name="Примечание 11 14 5 3" xfId="39321"/>
    <cellStyle name="Примечание 11 14 6" xfId="25354"/>
    <cellStyle name="Примечание 11 14 7" xfId="35229"/>
    <cellStyle name="Примечание 11 15" xfId="2986"/>
    <cellStyle name="Примечание 11 15 2" xfId="12051"/>
    <cellStyle name="Примечание 11 15 2 2" xfId="14949"/>
    <cellStyle name="Примечание 11 15 2 2 2" xfId="20232"/>
    <cellStyle name="Примечание 11 15 2 2 2 2" xfId="23215"/>
    <cellStyle name="Примечание 11 15 2 2 2 3" xfId="34042"/>
    <cellStyle name="Примечание 11 15 2 2 2 4" xfId="43910"/>
    <cellStyle name="Примечание 11 15 2 2 3" xfId="23503"/>
    <cellStyle name="Примечание 11 15 2 2 4" xfId="28769"/>
    <cellStyle name="Примечание 11 15 2 2 5" xfId="38644"/>
    <cellStyle name="Примечание 11 15 2 3" xfId="14472"/>
    <cellStyle name="Примечание 11 15 2 3 2" xfId="16946"/>
    <cellStyle name="Примечание 11 15 2 3 2 2" xfId="30760"/>
    <cellStyle name="Примечание 11 15 2 3 2 3" xfId="40635"/>
    <cellStyle name="Примечание 11 15 2 3 3" xfId="19755"/>
    <cellStyle name="Примечание 11 15 2 3 3 2" xfId="33565"/>
    <cellStyle name="Примечание 11 15 2 3 3 3" xfId="43433"/>
    <cellStyle name="Примечание 11 15 2 3 4" xfId="28292"/>
    <cellStyle name="Примечание 11 15 2 3 5" xfId="38167"/>
    <cellStyle name="Примечание 11 15 2 4" xfId="15974"/>
    <cellStyle name="Примечание 11 15 2 4 2" xfId="21830"/>
    <cellStyle name="Примечание 11 15 2 4 3" xfId="29793"/>
    <cellStyle name="Примечание 11 15 2 4 4" xfId="39668"/>
    <cellStyle name="Примечание 11 15 2 5" xfId="24127"/>
    <cellStyle name="Примечание 11 15 2 6" xfId="25925"/>
    <cellStyle name="Примечание 11 15 2 7" xfId="35800"/>
    <cellStyle name="Примечание 11 15 3" xfId="12953"/>
    <cellStyle name="Примечание 11 15 3 2" xfId="18285"/>
    <cellStyle name="Примечание 11 15 3 2 2" xfId="32095"/>
    <cellStyle name="Примечание 11 15 3 2 3" xfId="41968"/>
    <cellStyle name="Примечание 11 15 3 3" xfId="23487"/>
    <cellStyle name="Примечание 11 15 3 4" xfId="26827"/>
    <cellStyle name="Примечание 11 15 3 5" xfId="36702"/>
    <cellStyle name="Примечание 11 15 4" xfId="14176"/>
    <cellStyle name="Примечание 11 15 4 2" xfId="16819"/>
    <cellStyle name="Примечание 11 15 4 2 2" xfId="30634"/>
    <cellStyle name="Примечание 11 15 4 2 3" xfId="40509"/>
    <cellStyle name="Примечание 11 15 4 3" xfId="19459"/>
    <cellStyle name="Примечание 11 15 4 3 2" xfId="33269"/>
    <cellStyle name="Примечание 11 15 4 3 3" xfId="43138"/>
    <cellStyle name="Примечание 11 15 4 4" xfId="27997"/>
    <cellStyle name="Примечание 11 15 4 5" xfId="37872"/>
    <cellStyle name="Примечание 11 15 5" xfId="21742"/>
    <cellStyle name="Примечание 11 15 6" xfId="22479"/>
    <cellStyle name="Примечание 11 15 7" xfId="23967"/>
    <cellStyle name="Примечание 11 15 8" xfId="25401"/>
    <cellStyle name="Примечание 11 15 9" xfId="35276"/>
    <cellStyle name="Примечание 11 16" xfId="12131"/>
    <cellStyle name="Примечание 11 16 2" xfId="15029"/>
    <cellStyle name="Примечание 11 16 2 2" xfId="20312"/>
    <cellStyle name="Примечание 11 16 2 2 2" xfId="23231"/>
    <cellStyle name="Примечание 11 16 2 2 3" xfId="34122"/>
    <cellStyle name="Примечание 11 16 2 2 4" xfId="43990"/>
    <cellStyle name="Примечание 11 16 2 3" xfId="23583"/>
    <cellStyle name="Примечание 11 16 2 4" xfId="28849"/>
    <cellStyle name="Примечание 11 16 2 5" xfId="38724"/>
    <cellStyle name="Примечание 11 16 3" xfId="14405"/>
    <cellStyle name="Примечание 11 16 3 2" xfId="16918"/>
    <cellStyle name="Примечание 11 16 3 2 2" xfId="30733"/>
    <cellStyle name="Примечание 11 16 3 2 3" xfId="40608"/>
    <cellStyle name="Примечание 11 16 3 3" xfId="19688"/>
    <cellStyle name="Примечание 11 16 3 3 2" xfId="33498"/>
    <cellStyle name="Примечание 11 16 3 3 3" xfId="43367"/>
    <cellStyle name="Примечание 11 16 3 4" xfId="28226"/>
    <cellStyle name="Примечание 11 16 3 5" xfId="38101"/>
    <cellStyle name="Примечание 11 16 4" xfId="21510"/>
    <cellStyle name="Примечание 11 16 5" xfId="21878"/>
    <cellStyle name="Примечание 11 16 6" xfId="22703"/>
    <cellStyle name="Примечание 11 16 7" xfId="24207"/>
    <cellStyle name="Примечание 11 16 8" xfId="26005"/>
    <cellStyle name="Примечание 11 16 9" xfId="35880"/>
    <cellStyle name="Примечание 11 17" xfId="12211"/>
    <cellStyle name="Примечание 11 17 2" xfId="15109"/>
    <cellStyle name="Примечание 11 17 2 2" xfId="20392"/>
    <cellStyle name="Примечание 11 17 2 2 2" xfId="23247"/>
    <cellStyle name="Примечание 11 17 2 2 3" xfId="34202"/>
    <cellStyle name="Примечание 11 17 2 2 4" xfId="44070"/>
    <cellStyle name="Примечание 11 17 2 3" xfId="23663"/>
    <cellStyle name="Примечание 11 17 2 4" xfId="28929"/>
    <cellStyle name="Примечание 11 17 2 5" xfId="38804"/>
    <cellStyle name="Примечание 11 17 3" xfId="14414"/>
    <cellStyle name="Примечание 11 17 3 2" xfId="16927"/>
    <cellStyle name="Примечание 11 17 3 2 2" xfId="30742"/>
    <cellStyle name="Примечание 11 17 3 2 3" xfId="40617"/>
    <cellStyle name="Примечание 11 17 3 3" xfId="19697"/>
    <cellStyle name="Примечание 11 17 3 3 2" xfId="33507"/>
    <cellStyle name="Примечание 11 17 3 3 3" xfId="43376"/>
    <cellStyle name="Примечание 11 17 3 4" xfId="28235"/>
    <cellStyle name="Примечание 11 17 3 5" xfId="38110"/>
    <cellStyle name="Примечание 11 17 4" xfId="21590"/>
    <cellStyle name="Примечание 11 17 5" xfId="21926"/>
    <cellStyle name="Примечание 11 17 6" xfId="22783"/>
    <cellStyle name="Примечание 11 17 7" xfId="24287"/>
    <cellStyle name="Примечание 11 17 8" xfId="26085"/>
    <cellStyle name="Примечание 11 17 9" xfId="35960"/>
    <cellStyle name="Примечание 11 18" xfId="11793"/>
    <cellStyle name="Примечание 11 18 2" xfId="14691"/>
    <cellStyle name="Примечание 11 18 2 2" xfId="19974"/>
    <cellStyle name="Примечание 11 18 2 2 2" xfId="33784"/>
    <cellStyle name="Примечание 11 18 2 2 3" xfId="43652"/>
    <cellStyle name="Примечание 11 18 2 3" xfId="28511"/>
    <cellStyle name="Примечание 11 18 2 4" xfId="38386"/>
    <cellStyle name="Примечание 11 18 3" xfId="13054"/>
    <cellStyle name="Примечание 11 18 3 2" xfId="16005"/>
    <cellStyle name="Примечание 11 18 3 2 2" xfId="29824"/>
    <cellStyle name="Примечание 11 18 3 2 3" xfId="39699"/>
    <cellStyle name="Примечание 11 18 3 3" xfId="18386"/>
    <cellStyle name="Примечание 11 18 3 3 2" xfId="32196"/>
    <cellStyle name="Примечание 11 18 3 3 3" xfId="42069"/>
    <cellStyle name="Примечание 11 18 3 4" xfId="26928"/>
    <cellStyle name="Примечание 11 18 3 5" xfId="36803"/>
    <cellStyle name="Примечание 11 18 4" xfId="15924"/>
    <cellStyle name="Примечание 11 18 4 2" xfId="23276"/>
    <cellStyle name="Примечание 11 18 4 3" xfId="29743"/>
    <cellStyle name="Примечание 11 18 4 4" xfId="39618"/>
    <cellStyle name="Примечание 11 18 5" xfId="25667"/>
    <cellStyle name="Примечание 11 18 6" xfId="35542"/>
    <cellStyle name="Примечание 11 19" xfId="13520"/>
    <cellStyle name="Примечание 11 19 2" xfId="16218"/>
    <cellStyle name="Примечание 11 19 2 2" xfId="30035"/>
    <cellStyle name="Примечание 11 19 2 3" xfId="39910"/>
    <cellStyle name="Примечание 11 19 3" xfId="18849"/>
    <cellStyle name="Примечание 11 19 3 2" xfId="32659"/>
    <cellStyle name="Примечание 11 19 3 3" xfId="42530"/>
    <cellStyle name="Примечание 11 19 4" xfId="27389"/>
    <cellStyle name="Примечание 11 19 5" xfId="37264"/>
    <cellStyle name="Примечание 11 2" xfId="2192"/>
    <cellStyle name="Примечание 11 2 10" xfId="2836"/>
    <cellStyle name="Примечание 11 2 10 2" xfId="12808"/>
    <cellStyle name="Примечание 11 2 10 2 2" xfId="18140"/>
    <cellStyle name="Примечание 11 2 10 2 2 2" xfId="31950"/>
    <cellStyle name="Примечание 11 2 10 2 2 3" xfId="41823"/>
    <cellStyle name="Примечание 11 2 10 2 3" xfId="26682"/>
    <cellStyle name="Примечание 11 2 10 2 4" xfId="36557"/>
    <cellStyle name="Примечание 11 2 10 3" xfId="14031"/>
    <cellStyle name="Примечание 11 2 10 3 2" xfId="16674"/>
    <cellStyle name="Примечание 11 2 10 3 2 2" xfId="30489"/>
    <cellStyle name="Примечание 11 2 10 3 2 3" xfId="40364"/>
    <cellStyle name="Примечание 11 2 10 3 3" xfId="19314"/>
    <cellStyle name="Примечание 11 2 10 3 3 2" xfId="33124"/>
    <cellStyle name="Примечание 11 2 10 3 3 3" xfId="42993"/>
    <cellStyle name="Примечание 11 2 10 3 4" xfId="27852"/>
    <cellStyle name="Примечание 11 2 10 3 5" xfId="37727"/>
    <cellStyle name="Примечание 11 2 10 4" xfId="15529"/>
    <cellStyle name="Примечание 11 2 10 4 2" xfId="29348"/>
    <cellStyle name="Примечание 11 2 10 4 3" xfId="39223"/>
    <cellStyle name="Примечание 11 2 10 5" xfId="25256"/>
    <cellStyle name="Примечание 11 2 10 6" xfId="35131"/>
    <cellStyle name="Примечание 11 2 11" xfId="2884"/>
    <cellStyle name="Примечание 11 2 11 2" xfId="12854"/>
    <cellStyle name="Примечание 11 2 11 2 2" xfId="18186"/>
    <cellStyle name="Примечание 11 2 11 2 2 2" xfId="31996"/>
    <cellStyle name="Примечание 11 2 11 2 2 3" xfId="41869"/>
    <cellStyle name="Примечание 11 2 11 2 3" xfId="26728"/>
    <cellStyle name="Примечание 11 2 11 2 4" xfId="36603"/>
    <cellStyle name="Примечание 11 2 11 3" xfId="14077"/>
    <cellStyle name="Примечание 11 2 11 3 2" xfId="16720"/>
    <cellStyle name="Примечание 11 2 11 3 2 2" xfId="30535"/>
    <cellStyle name="Примечание 11 2 11 3 2 3" xfId="40410"/>
    <cellStyle name="Примечание 11 2 11 3 3" xfId="19360"/>
    <cellStyle name="Примечание 11 2 11 3 3 2" xfId="33170"/>
    <cellStyle name="Примечание 11 2 11 3 3 3" xfId="43039"/>
    <cellStyle name="Примечание 11 2 11 3 4" xfId="27898"/>
    <cellStyle name="Примечание 11 2 11 3 5" xfId="37773"/>
    <cellStyle name="Примечание 11 2 11 4" xfId="15575"/>
    <cellStyle name="Примечание 11 2 11 4 2" xfId="29394"/>
    <cellStyle name="Примечание 11 2 11 4 3" xfId="39269"/>
    <cellStyle name="Примечание 11 2 11 5" xfId="25302"/>
    <cellStyle name="Примечание 11 2 11 6" xfId="35177"/>
    <cellStyle name="Примечание 11 2 12" xfId="2938"/>
    <cellStyle name="Примечание 11 2 12 2" xfId="12907"/>
    <cellStyle name="Примечание 11 2 12 2 2" xfId="18239"/>
    <cellStyle name="Примечание 11 2 12 2 2 2" xfId="32049"/>
    <cellStyle name="Примечание 11 2 12 2 2 3" xfId="41922"/>
    <cellStyle name="Примечание 11 2 12 2 3" xfId="26781"/>
    <cellStyle name="Примечание 11 2 12 2 4" xfId="36656"/>
    <cellStyle name="Примечание 11 2 12 3" xfId="14130"/>
    <cellStyle name="Примечание 11 2 12 3 2" xfId="16773"/>
    <cellStyle name="Примечание 11 2 12 3 2 2" xfId="30588"/>
    <cellStyle name="Примечание 11 2 12 3 2 3" xfId="40463"/>
    <cellStyle name="Примечание 11 2 12 3 3" xfId="19413"/>
    <cellStyle name="Примечание 11 2 12 3 3 2" xfId="33223"/>
    <cellStyle name="Примечание 11 2 12 3 3 3" xfId="43092"/>
    <cellStyle name="Примечание 11 2 12 3 4" xfId="27951"/>
    <cellStyle name="Примечание 11 2 12 3 5" xfId="37826"/>
    <cellStyle name="Примечание 11 2 12 4" xfId="15628"/>
    <cellStyle name="Примечание 11 2 12 4 2" xfId="29447"/>
    <cellStyle name="Примечание 11 2 12 4 3" xfId="39322"/>
    <cellStyle name="Примечание 11 2 12 5" xfId="25355"/>
    <cellStyle name="Примечание 11 2 12 6" xfId="35230"/>
    <cellStyle name="Примечание 11 2 13" xfId="2987"/>
    <cellStyle name="Примечание 11 2 13 2" xfId="12954"/>
    <cellStyle name="Примечание 11 2 13 2 2" xfId="18286"/>
    <cellStyle name="Примечание 11 2 13 2 2 2" xfId="32096"/>
    <cellStyle name="Примечание 11 2 13 2 2 3" xfId="41969"/>
    <cellStyle name="Примечание 11 2 13 2 3" xfId="26828"/>
    <cellStyle name="Примечание 11 2 13 2 4" xfId="36703"/>
    <cellStyle name="Примечание 11 2 13 3" xfId="14177"/>
    <cellStyle name="Примечание 11 2 13 3 2" xfId="16820"/>
    <cellStyle name="Примечание 11 2 13 3 2 2" xfId="30635"/>
    <cellStyle name="Примечание 11 2 13 3 2 3" xfId="40510"/>
    <cellStyle name="Примечание 11 2 13 3 3" xfId="19460"/>
    <cellStyle name="Примечание 11 2 13 3 3 2" xfId="33270"/>
    <cellStyle name="Примечание 11 2 13 3 3 3" xfId="43139"/>
    <cellStyle name="Примечание 11 2 13 3 4" xfId="27998"/>
    <cellStyle name="Примечание 11 2 13 3 5" xfId="37873"/>
    <cellStyle name="Примечание 11 2 13 4" xfId="15673"/>
    <cellStyle name="Примечание 11 2 13 4 2" xfId="29492"/>
    <cellStyle name="Примечание 11 2 13 4 3" xfId="39367"/>
    <cellStyle name="Примечание 11 2 13 5" xfId="25402"/>
    <cellStyle name="Примечание 11 2 13 6" xfId="35277"/>
    <cellStyle name="Примечание 11 2 14" xfId="11794"/>
    <cellStyle name="Примечание 11 2 14 2" xfId="14692"/>
    <cellStyle name="Примечание 11 2 14 2 2" xfId="19975"/>
    <cellStyle name="Примечание 11 2 14 2 2 2" xfId="33785"/>
    <cellStyle name="Примечание 11 2 14 2 2 3" xfId="43653"/>
    <cellStyle name="Примечание 11 2 14 2 3" xfId="28512"/>
    <cellStyle name="Примечание 11 2 14 2 4" xfId="38387"/>
    <cellStyle name="Примечание 11 2 14 3" xfId="14234"/>
    <cellStyle name="Примечание 11 2 14 3 2" xfId="16877"/>
    <cellStyle name="Примечание 11 2 14 3 2 2" xfId="30692"/>
    <cellStyle name="Примечание 11 2 14 3 2 3" xfId="40567"/>
    <cellStyle name="Примечание 11 2 14 3 3" xfId="19517"/>
    <cellStyle name="Примечание 11 2 14 3 3 2" xfId="33327"/>
    <cellStyle name="Примечание 11 2 14 3 3 3" xfId="43196"/>
    <cellStyle name="Примечание 11 2 14 3 4" xfId="28055"/>
    <cellStyle name="Примечание 11 2 14 3 5" xfId="37930"/>
    <cellStyle name="Примечание 11 2 14 4" xfId="15925"/>
    <cellStyle name="Примечание 11 2 14 4 2" xfId="24555"/>
    <cellStyle name="Примечание 11 2 14 4 3" xfId="29744"/>
    <cellStyle name="Примечание 11 2 14 4 4" xfId="39619"/>
    <cellStyle name="Примечание 11 2 14 5" xfId="25668"/>
    <cellStyle name="Примечание 11 2 14 6" xfId="35543"/>
    <cellStyle name="Примечание 11 2 15" xfId="12372"/>
    <cellStyle name="Примечание 11 2 15 2" xfId="17704"/>
    <cellStyle name="Примечание 11 2 15 2 2" xfId="31514"/>
    <cellStyle name="Примечание 11 2 15 2 3" xfId="41387"/>
    <cellStyle name="Примечание 11 2 15 3" xfId="26246"/>
    <cellStyle name="Примечание 11 2 15 4" xfId="36121"/>
    <cellStyle name="Примечание 11 2 16" xfId="13521"/>
    <cellStyle name="Примечание 11 2 16 2" xfId="16219"/>
    <cellStyle name="Примечание 11 2 16 2 2" xfId="30036"/>
    <cellStyle name="Примечание 11 2 16 2 3" xfId="39911"/>
    <cellStyle name="Примечание 11 2 16 3" xfId="18850"/>
    <cellStyle name="Примечание 11 2 16 3 2" xfId="32660"/>
    <cellStyle name="Примечание 11 2 16 3 3" xfId="42531"/>
    <cellStyle name="Примечание 11 2 16 4" xfId="27390"/>
    <cellStyle name="Примечание 11 2 16 5" xfId="37265"/>
    <cellStyle name="Примечание 11 2 17" xfId="13471"/>
    <cellStyle name="Примечание 11 2 17 2" xfId="18800"/>
    <cellStyle name="Примечание 11 2 17 2 2" xfId="32610"/>
    <cellStyle name="Примечание 11 2 17 2 3" xfId="42481"/>
    <cellStyle name="Примечание 11 2 17 3" xfId="27340"/>
    <cellStyle name="Примечание 11 2 17 4" xfId="37215"/>
    <cellStyle name="Примечание 11 2 18" xfId="17372"/>
    <cellStyle name="Примечание 11 2 18 2" xfId="31183"/>
    <cellStyle name="Примечание 11 2 18 3" xfId="41057"/>
    <cellStyle name="Примечание 11 2 19" xfId="24806"/>
    <cellStyle name="Примечание 11 2 2" xfId="2567"/>
    <cellStyle name="Примечание 11 2 2 2" xfId="10746"/>
    <cellStyle name="Примечание 11 2 2 3" xfId="12553"/>
    <cellStyle name="Примечание 11 2 2 3 2" xfId="17885"/>
    <cellStyle name="Примечание 11 2 2 3 2 2" xfId="31695"/>
    <cellStyle name="Примечание 11 2 2 3 2 3" xfId="41568"/>
    <cellStyle name="Примечание 11 2 2 3 3" xfId="26427"/>
    <cellStyle name="Примечание 11 2 2 3 4" xfId="36302"/>
    <cellStyle name="Примечание 11 2 2 4" xfId="13775"/>
    <cellStyle name="Примечание 11 2 2 4 2" xfId="16418"/>
    <cellStyle name="Примечание 11 2 2 4 2 2" xfId="30234"/>
    <cellStyle name="Примечание 11 2 2 4 2 3" xfId="40109"/>
    <cellStyle name="Примечание 11 2 2 4 3" xfId="19058"/>
    <cellStyle name="Примечание 11 2 2 4 3 2" xfId="32868"/>
    <cellStyle name="Примечание 11 2 2 4 3 3" xfId="42738"/>
    <cellStyle name="Примечание 11 2 2 4 4" xfId="27597"/>
    <cellStyle name="Примечание 11 2 2 4 5" xfId="37472"/>
    <cellStyle name="Примечание 11 2 2 5" xfId="15273"/>
    <cellStyle name="Примечание 11 2 2 5 2" xfId="29093"/>
    <cellStyle name="Примечание 11 2 2 5 3" xfId="38968"/>
    <cellStyle name="Примечание 11 2 2 6" xfId="25001"/>
    <cellStyle name="Примечание 11 2 2 7" xfId="34876"/>
    <cellStyle name="Примечание 11 2 20" xfId="34423"/>
    <cellStyle name="Примечание 11 2 21" xfId="34673"/>
    <cellStyle name="Примечание 11 2 3" xfId="2473"/>
    <cellStyle name="Примечание 11 2 3 2" xfId="12478"/>
    <cellStyle name="Примечание 11 2 3 2 2" xfId="17810"/>
    <cellStyle name="Примечание 11 2 3 2 2 2" xfId="31620"/>
    <cellStyle name="Примечание 11 2 3 2 2 3" xfId="41493"/>
    <cellStyle name="Примечание 11 2 3 2 3" xfId="26352"/>
    <cellStyle name="Примечание 11 2 3 2 4" xfId="36227"/>
    <cellStyle name="Примечание 11 2 3 3" xfId="13700"/>
    <cellStyle name="Примечание 11 2 3 3 2" xfId="16343"/>
    <cellStyle name="Примечание 11 2 3 3 2 2" xfId="30159"/>
    <cellStyle name="Примечание 11 2 3 3 2 3" xfId="40034"/>
    <cellStyle name="Примечание 11 2 3 3 3" xfId="18983"/>
    <cellStyle name="Примечание 11 2 3 3 3 2" xfId="32793"/>
    <cellStyle name="Примечание 11 2 3 3 3 3" xfId="42663"/>
    <cellStyle name="Примечание 11 2 3 3 4" xfId="27522"/>
    <cellStyle name="Примечание 11 2 3 3 5" xfId="37397"/>
    <cellStyle name="Примечание 11 2 3 4" xfId="15198"/>
    <cellStyle name="Примечание 11 2 3 4 2" xfId="29018"/>
    <cellStyle name="Примечание 11 2 3 4 3" xfId="38893"/>
    <cellStyle name="Примечание 11 2 3 5" xfId="24926"/>
    <cellStyle name="Примечание 11 2 3 6" xfId="34801"/>
    <cellStyle name="Примечание 11 2 4" xfId="2502"/>
    <cellStyle name="Примечание 11 2 4 2" xfId="12488"/>
    <cellStyle name="Примечание 11 2 4 2 2" xfId="17820"/>
    <cellStyle name="Примечание 11 2 4 2 2 2" xfId="31630"/>
    <cellStyle name="Примечание 11 2 4 2 2 3" xfId="41503"/>
    <cellStyle name="Примечание 11 2 4 2 3" xfId="26362"/>
    <cellStyle name="Примечание 11 2 4 2 4" xfId="36237"/>
    <cellStyle name="Примечание 11 2 4 3" xfId="13710"/>
    <cellStyle name="Примечание 11 2 4 3 2" xfId="16353"/>
    <cellStyle name="Примечание 11 2 4 3 2 2" xfId="30169"/>
    <cellStyle name="Примечание 11 2 4 3 2 3" xfId="40044"/>
    <cellStyle name="Примечание 11 2 4 3 3" xfId="18993"/>
    <cellStyle name="Примечание 11 2 4 3 3 2" xfId="32803"/>
    <cellStyle name="Примечание 11 2 4 3 3 3" xfId="42673"/>
    <cellStyle name="Примечание 11 2 4 3 4" xfId="27532"/>
    <cellStyle name="Примечание 11 2 4 3 5" xfId="37407"/>
    <cellStyle name="Примечание 11 2 4 4" xfId="15208"/>
    <cellStyle name="Примечание 11 2 4 4 2" xfId="29028"/>
    <cellStyle name="Примечание 11 2 4 4 3" xfId="38903"/>
    <cellStyle name="Примечание 11 2 4 5" xfId="24936"/>
    <cellStyle name="Примечание 11 2 4 6" xfId="34811"/>
    <cellStyle name="Примечание 11 2 5" xfId="2424"/>
    <cellStyle name="Примечание 11 2 5 2" xfId="12429"/>
    <cellStyle name="Примечание 11 2 5 2 2" xfId="17761"/>
    <cellStyle name="Примечание 11 2 5 2 2 2" xfId="31571"/>
    <cellStyle name="Примечание 11 2 5 2 2 3" xfId="41444"/>
    <cellStyle name="Примечание 11 2 5 2 3" xfId="26303"/>
    <cellStyle name="Примечание 11 2 5 2 4" xfId="36178"/>
    <cellStyle name="Примечание 11 2 5 3" xfId="13651"/>
    <cellStyle name="Примечание 11 2 5 3 2" xfId="16294"/>
    <cellStyle name="Примечание 11 2 5 3 2 2" xfId="30110"/>
    <cellStyle name="Примечание 11 2 5 3 2 3" xfId="39985"/>
    <cellStyle name="Примечание 11 2 5 3 3" xfId="18934"/>
    <cellStyle name="Примечание 11 2 5 3 3 2" xfId="32744"/>
    <cellStyle name="Примечание 11 2 5 3 3 3" xfId="42614"/>
    <cellStyle name="Примечание 11 2 5 3 4" xfId="27473"/>
    <cellStyle name="Примечание 11 2 5 3 5" xfId="37348"/>
    <cellStyle name="Примечание 11 2 5 4" xfId="15149"/>
    <cellStyle name="Примечание 11 2 5 4 2" xfId="28969"/>
    <cellStyle name="Примечание 11 2 5 4 3" xfId="38844"/>
    <cellStyle name="Примечание 11 2 5 5" xfId="24877"/>
    <cellStyle name="Примечание 11 2 5 6" xfId="34752"/>
    <cellStyle name="Примечание 11 2 6" xfId="2552"/>
    <cellStyle name="Примечание 11 2 6 2" xfId="12538"/>
    <cellStyle name="Примечание 11 2 6 2 2" xfId="17870"/>
    <cellStyle name="Примечание 11 2 6 2 2 2" xfId="31680"/>
    <cellStyle name="Примечание 11 2 6 2 2 3" xfId="41553"/>
    <cellStyle name="Примечание 11 2 6 2 3" xfId="26412"/>
    <cellStyle name="Примечание 11 2 6 2 4" xfId="36287"/>
    <cellStyle name="Примечание 11 2 6 3" xfId="13760"/>
    <cellStyle name="Примечание 11 2 6 3 2" xfId="16403"/>
    <cellStyle name="Примечание 11 2 6 3 2 2" xfId="30219"/>
    <cellStyle name="Примечание 11 2 6 3 2 3" xfId="40094"/>
    <cellStyle name="Примечание 11 2 6 3 3" xfId="19043"/>
    <cellStyle name="Примечание 11 2 6 3 3 2" xfId="32853"/>
    <cellStyle name="Примечание 11 2 6 3 3 3" xfId="42723"/>
    <cellStyle name="Примечание 11 2 6 3 4" xfId="27582"/>
    <cellStyle name="Примечание 11 2 6 3 5" xfId="37457"/>
    <cellStyle name="Примечание 11 2 6 4" xfId="15258"/>
    <cellStyle name="Примечание 11 2 6 4 2" xfId="29078"/>
    <cellStyle name="Примечание 11 2 6 4 3" xfId="38953"/>
    <cellStyle name="Примечание 11 2 6 5" xfId="24986"/>
    <cellStyle name="Примечание 11 2 6 6" xfId="34861"/>
    <cellStyle name="Примечание 11 2 7" xfId="2730"/>
    <cellStyle name="Примечание 11 2 7 2" xfId="12706"/>
    <cellStyle name="Примечание 11 2 7 2 2" xfId="18038"/>
    <cellStyle name="Примечание 11 2 7 2 2 2" xfId="31848"/>
    <cellStyle name="Примечание 11 2 7 2 2 3" xfId="41721"/>
    <cellStyle name="Примечание 11 2 7 2 3" xfId="26580"/>
    <cellStyle name="Примечание 11 2 7 2 4" xfId="36455"/>
    <cellStyle name="Примечание 11 2 7 3" xfId="13929"/>
    <cellStyle name="Примечание 11 2 7 3 2" xfId="16572"/>
    <cellStyle name="Примечание 11 2 7 3 2 2" xfId="30387"/>
    <cellStyle name="Примечание 11 2 7 3 2 3" xfId="40262"/>
    <cellStyle name="Примечание 11 2 7 3 3" xfId="19212"/>
    <cellStyle name="Примечание 11 2 7 3 3 2" xfId="33022"/>
    <cellStyle name="Примечание 11 2 7 3 3 3" xfId="42891"/>
    <cellStyle name="Примечание 11 2 7 3 4" xfId="27750"/>
    <cellStyle name="Примечание 11 2 7 3 5" xfId="37625"/>
    <cellStyle name="Примечание 11 2 7 4" xfId="15427"/>
    <cellStyle name="Примечание 11 2 7 4 2" xfId="29246"/>
    <cellStyle name="Примечание 11 2 7 4 3" xfId="39121"/>
    <cellStyle name="Примечание 11 2 7 5" xfId="25154"/>
    <cellStyle name="Примечание 11 2 7 6" xfId="35029"/>
    <cellStyle name="Примечание 11 2 8" xfId="2652"/>
    <cellStyle name="Примечание 11 2 8 2" xfId="12638"/>
    <cellStyle name="Примечание 11 2 8 2 2" xfId="17970"/>
    <cellStyle name="Примечание 11 2 8 2 2 2" xfId="31780"/>
    <cellStyle name="Примечание 11 2 8 2 2 3" xfId="41653"/>
    <cellStyle name="Примечание 11 2 8 2 3" xfId="26512"/>
    <cellStyle name="Примечание 11 2 8 2 4" xfId="36387"/>
    <cellStyle name="Примечание 11 2 8 3" xfId="13860"/>
    <cellStyle name="Примечание 11 2 8 3 2" xfId="16503"/>
    <cellStyle name="Примечание 11 2 8 3 2 2" xfId="30319"/>
    <cellStyle name="Примечание 11 2 8 3 2 3" xfId="40194"/>
    <cellStyle name="Примечание 11 2 8 3 3" xfId="19143"/>
    <cellStyle name="Примечание 11 2 8 3 3 2" xfId="32953"/>
    <cellStyle name="Примечание 11 2 8 3 3 3" xfId="42823"/>
    <cellStyle name="Примечание 11 2 8 3 4" xfId="27682"/>
    <cellStyle name="Примечание 11 2 8 3 5" xfId="37557"/>
    <cellStyle name="Примечание 11 2 8 4" xfId="15358"/>
    <cellStyle name="Примечание 11 2 8 4 2" xfId="29178"/>
    <cellStyle name="Примечание 11 2 8 4 3" xfId="39053"/>
    <cellStyle name="Примечание 11 2 8 5" xfId="25086"/>
    <cellStyle name="Примечание 11 2 8 6" xfId="34961"/>
    <cellStyle name="Примечание 11 2 9" xfId="2780"/>
    <cellStyle name="Примечание 11 2 9 2" xfId="12755"/>
    <cellStyle name="Примечание 11 2 9 2 2" xfId="18087"/>
    <cellStyle name="Примечание 11 2 9 2 2 2" xfId="31897"/>
    <cellStyle name="Примечание 11 2 9 2 2 3" xfId="41770"/>
    <cellStyle name="Примечание 11 2 9 2 3" xfId="26629"/>
    <cellStyle name="Примечание 11 2 9 2 4" xfId="36504"/>
    <cellStyle name="Примечание 11 2 9 3" xfId="13978"/>
    <cellStyle name="Примечание 11 2 9 3 2" xfId="16621"/>
    <cellStyle name="Примечание 11 2 9 3 2 2" xfId="30436"/>
    <cellStyle name="Примечание 11 2 9 3 2 3" xfId="40311"/>
    <cellStyle name="Примечание 11 2 9 3 3" xfId="19261"/>
    <cellStyle name="Примечание 11 2 9 3 3 2" xfId="33071"/>
    <cellStyle name="Примечание 11 2 9 3 3 3" xfId="42940"/>
    <cellStyle name="Примечание 11 2 9 3 4" xfId="27799"/>
    <cellStyle name="Примечание 11 2 9 3 5" xfId="37674"/>
    <cellStyle name="Примечание 11 2 9 4" xfId="15476"/>
    <cellStyle name="Примечание 11 2 9 4 2" xfId="29295"/>
    <cellStyle name="Примечание 11 2 9 4 3" xfId="39170"/>
    <cellStyle name="Примечание 11 2 9 5" xfId="25203"/>
    <cellStyle name="Примечание 11 2 9 6" xfId="35078"/>
    <cellStyle name="Примечание 11 20" xfId="13470"/>
    <cellStyle name="Примечание 11 20 2" xfId="18799"/>
    <cellStyle name="Примечание 11 20 2 2" xfId="32609"/>
    <cellStyle name="Примечание 11 20 2 3" xfId="42480"/>
    <cellStyle name="Примечание 11 20 3" xfId="27339"/>
    <cellStyle name="Примечание 11 20 4" xfId="37214"/>
    <cellStyle name="Примечание 11 21" xfId="17371"/>
    <cellStyle name="Примечание 11 21 2" xfId="21129"/>
    <cellStyle name="Примечание 11 21 3" xfId="31182"/>
    <cellStyle name="Примечание 11 21 4" xfId="41056"/>
    <cellStyle name="Примечание 11 22" xfId="23887"/>
    <cellStyle name="Примечание 11 23" xfId="24805"/>
    <cellStyle name="Примечание 11 24" xfId="34422"/>
    <cellStyle name="Примечание 11 25" xfId="34672"/>
    <cellStyle name="Примечание 11 3" xfId="2193"/>
    <cellStyle name="Примечание 11 3 10" xfId="2837"/>
    <cellStyle name="Примечание 11 3 10 2" xfId="12809"/>
    <cellStyle name="Примечание 11 3 10 2 2" xfId="18141"/>
    <cellStyle name="Примечание 11 3 10 2 2 2" xfId="31951"/>
    <cellStyle name="Примечание 11 3 10 2 2 3" xfId="41824"/>
    <cellStyle name="Примечание 11 3 10 2 3" xfId="26683"/>
    <cellStyle name="Примечание 11 3 10 2 4" xfId="36558"/>
    <cellStyle name="Примечание 11 3 10 3" xfId="14032"/>
    <cellStyle name="Примечание 11 3 10 3 2" xfId="16675"/>
    <cellStyle name="Примечание 11 3 10 3 2 2" xfId="30490"/>
    <cellStyle name="Примечание 11 3 10 3 2 3" xfId="40365"/>
    <cellStyle name="Примечание 11 3 10 3 3" xfId="19315"/>
    <cellStyle name="Примечание 11 3 10 3 3 2" xfId="33125"/>
    <cellStyle name="Примечание 11 3 10 3 3 3" xfId="42994"/>
    <cellStyle name="Примечание 11 3 10 3 4" xfId="27853"/>
    <cellStyle name="Примечание 11 3 10 3 5" xfId="37728"/>
    <cellStyle name="Примечание 11 3 10 4" xfId="15530"/>
    <cellStyle name="Примечание 11 3 10 4 2" xfId="29349"/>
    <cellStyle name="Примечание 11 3 10 4 3" xfId="39224"/>
    <cellStyle name="Примечание 11 3 10 5" xfId="25257"/>
    <cellStyle name="Примечание 11 3 10 6" xfId="35132"/>
    <cellStyle name="Примечание 11 3 11" xfId="2885"/>
    <cellStyle name="Примечание 11 3 11 2" xfId="12855"/>
    <cellStyle name="Примечание 11 3 11 2 2" xfId="18187"/>
    <cellStyle name="Примечание 11 3 11 2 2 2" xfId="31997"/>
    <cellStyle name="Примечание 11 3 11 2 2 3" xfId="41870"/>
    <cellStyle name="Примечание 11 3 11 2 3" xfId="26729"/>
    <cellStyle name="Примечание 11 3 11 2 4" xfId="36604"/>
    <cellStyle name="Примечание 11 3 11 3" xfId="14078"/>
    <cellStyle name="Примечание 11 3 11 3 2" xfId="16721"/>
    <cellStyle name="Примечание 11 3 11 3 2 2" xfId="30536"/>
    <cellStyle name="Примечание 11 3 11 3 2 3" xfId="40411"/>
    <cellStyle name="Примечание 11 3 11 3 3" xfId="19361"/>
    <cellStyle name="Примечание 11 3 11 3 3 2" xfId="33171"/>
    <cellStyle name="Примечание 11 3 11 3 3 3" xfId="43040"/>
    <cellStyle name="Примечание 11 3 11 3 4" xfId="27899"/>
    <cellStyle name="Примечание 11 3 11 3 5" xfId="37774"/>
    <cellStyle name="Примечание 11 3 11 4" xfId="15576"/>
    <cellStyle name="Примечание 11 3 11 4 2" xfId="29395"/>
    <cellStyle name="Примечание 11 3 11 4 3" xfId="39270"/>
    <cellStyle name="Примечание 11 3 11 5" xfId="25303"/>
    <cellStyle name="Примечание 11 3 11 6" xfId="35178"/>
    <cellStyle name="Примечание 11 3 12" xfId="2939"/>
    <cellStyle name="Примечание 11 3 12 2" xfId="12908"/>
    <cellStyle name="Примечание 11 3 12 2 2" xfId="18240"/>
    <cellStyle name="Примечание 11 3 12 2 2 2" xfId="32050"/>
    <cellStyle name="Примечание 11 3 12 2 2 3" xfId="41923"/>
    <cellStyle name="Примечание 11 3 12 2 3" xfId="26782"/>
    <cellStyle name="Примечание 11 3 12 2 4" xfId="36657"/>
    <cellStyle name="Примечание 11 3 12 3" xfId="14131"/>
    <cellStyle name="Примечание 11 3 12 3 2" xfId="16774"/>
    <cellStyle name="Примечание 11 3 12 3 2 2" xfId="30589"/>
    <cellStyle name="Примечание 11 3 12 3 2 3" xfId="40464"/>
    <cellStyle name="Примечание 11 3 12 3 3" xfId="19414"/>
    <cellStyle name="Примечание 11 3 12 3 3 2" xfId="33224"/>
    <cellStyle name="Примечание 11 3 12 3 3 3" xfId="43093"/>
    <cellStyle name="Примечание 11 3 12 3 4" xfId="27952"/>
    <cellStyle name="Примечание 11 3 12 3 5" xfId="37827"/>
    <cellStyle name="Примечание 11 3 12 4" xfId="15629"/>
    <cellStyle name="Примечание 11 3 12 4 2" xfId="29448"/>
    <cellStyle name="Примечание 11 3 12 4 3" xfId="39323"/>
    <cellStyle name="Примечание 11 3 12 5" xfId="25356"/>
    <cellStyle name="Примечание 11 3 12 6" xfId="35231"/>
    <cellStyle name="Примечание 11 3 13" xfId="2988"/>
    <cellStyle name="Примечание 11 3 13 2" xfId="12955"/>
    <cellStyle name="Примечание 11 3 13 2 2" xfId="18287"/>
    <cellStyle name="Примечание 11 3 13 2 2 2" xfId="32097"/>
    <cellStyle name="Примечание 11 3 13 2 2 3" xfId="41970"/>
    <cellStyle name="Примечание 11 3 13 2 3" xfId="26829"/>
    <cellStyle name="Примечание 11 3 13 2 4" xfId="36704"/>
    <cellStyle name="Примечание 11 3 13 3" xfId="14178"/>
    <cellStyle name="Примечание 11 3 13 3 2" xfId="16821"/>
    <cellStyle name="Примечание 11 3 13 3 2 2" xfId="30636"/>
    <cellStyle name="Примечание 11 3 13 3 2 3" xfId="40511"/>
    <cellStyle name="Примечание 11 3 13 3 3" xfId="19461"/>
    <cellStyle name="Примечание 11 3 13 3 3 2" xfId="33271"/>
    <cellStyle name="Примечание 11 3 13 3 3 3" xfId="43140"/>
    <cellStyle name="Примечание 11 3 13 3 4" xfId="27999"/>
    <cellStyle name="Примечание 11 3 13 3 5" xfId="37874"/>
    <cellStyle name="Примечание 11 3 13 4" xfId="15674"/>
    <cellStyle name="Примечание 11 3 13 4 2" xfId="29493"/>
    <cellStyle name="Примечание 11 3 13 4 3" xfId="39368"/>
    <cellStyle name="Примечание 11 3 13 5" xfId="25403"/>
    <cellStyle name="Примечание 11 3 13 6" xfId="35278"/>
    <cellStyle name="Примечание 11 3 14" xfId="11795"/>
    <cellStyle name="Примечание 11 3 14 2" xfId="14693"/>
    <cellStyle name="Примечание 11 3 14 2 2" xfId="19976"/>
    <cellStyle name="Примечание 11 3 14 2 2 2" xfId="33786"/>
    <cellStyle name="Примечание 11 3 14 2 2 3" xfId="43654"/>
    <cellStyle name="Примечание 11 3 14 2 3" xfId="28513"/>
    <cellStyle name="Примечание 11 3 14 2 4" xfId="38388"/>
    <cellStyle name="Примечание 11 3 14 3" xfId="14424"/>
    <cellStyle name="Примечание 11 3 14 3 2" xfId="16937"/>
    <cellStyle name="Примечание 11 3 14 3 2 2" xfId="30751"/>
    <cellStyle name="Примечание 11 3 14 3 2 3" xfId="40626"/>
    <cellStyle name="Примечание 11 3 14 3 3" xfId="19707"/>
    <cellStyle name="Примечание 11 3 14 3 3 2" xfId="33517"/>
    <cellStyle name="Примечание 11 3 14 3 3 3" xfId="43385"/>
    <cellStyle name="Примечание 11 3 14 3 4" xfId="28244"/>
    <cellStyle name="Примечание 11 3 14 3 5" xfId="38119"/>
    <cellStyle name="Примечание 11 3 14 4" xfId="15926"/>
    <cellStyle name="Примечание 11 3 14 4 2" xfId="24556"/>
    <cellStyle name="Примечание 11 3 14 4 3" xfId="29745"/>
    <cellStyle name="Примечание 11 3 14 4 4" xfId="39620"/>
    <cellStyle name="Примечание 11 3 14 5" xfId="25669"/>
    <cellStyle name="Примечание 11 3 14 6" xfId="35544"/>
    <cellStyle name="Примечание 11 3 15" xfId="12373"/>
    <cellStyle name="Примечание 11 3 15 2" xfId="17705"/>
    <cellStyle name="Примечание 11 3 15 2 2" xfId="31515"/>
    <cellStyle name="Примечание 11 3 15 2 3" xfId="41388"/>
    <cellStyle name="Примечание 11 3 15 3" xfId="26247"/>
    <cellStyle name="Примечание 11 3 15 4" xfId="36122"/>
    <cellStyle name="Примечание 11 3 16" xfId="13522"/>
    <cellStyle name="Примечание 11 3 16 2" xfId="16220"/>
    <cellStyle name="Примечание 11 3 16 2 2" xfId="30037"/>
    <cellStyle name="Примечание 11 3 16 2 3" xfId="39912"/>
    <cellStyle name="Примечание 11 3 16 3" xfId="18851"/>
    <cellStyle name="Примечание 11 3 16 3 2" xfId="32661"/>
    <cellStyle name="Примечание 11 3 16 3 3" xfId="42532"/>
    <cellStyle name="Примечание 11 3 16 4" xfId="27391"/>
    <cellStyle name="Примечание 11 3 16 5" xfId="37266"/>
    <cellStyle name="Примечание 11 3 17" xfId="13472"/>
    <cellStyle name="Примечание 11 3 17 2" xfId="18801"/>
    <cellStyle name="Примечание 11 3 17 2 2" xfId="32611"/>
    <cellStyle name="Примечание 11 3 17 2 3" xfId="42482"/>
    <cellStyle name="Примечание 11 3 17 3" xfId="27341"/>
    <cellStyle name="Примечание 11 3 17 4" xfId="37216"/>
    <cellStyle name="Примечание 11 3 18" xfId="17373"/>
    <cellStyle name="Примечание 11 3 18 2" xfId="31184"/>
    <cellStyle name="Примечание 11 3 18 3" xfId="41058"/>
    <cellStyle name="Примечание 11 3 19" xfId="24807"/>
    <cellStyle name="Примечание 11 3 2" xfId="2568"/>
    <cellStyle name="Примечание 11 3 2 2" xfId="10747"/>
    <cellStyle name="Примечание 11 3 2 3" xfId="12554"/>
    <cellStyle name="Примечание 11 3 2 3 2" xfId="17886"/>
    <cellStyle name="Примечание 11 3 2 3 2 2" xfId="31696"/>
    <cellStyle name="Примечание 11 3 2 3 2 3" xfId="41569"/>
    <cellStyle name="Примечание 11 3 2 3 3" xfId="26428"/>
    <cellStyle name="Примечание 11 3 2 3 4" xfId="36303"/>
    <cellStyle name="Примечание 11 3 2 4" xfId="13776"/>
    <cellStyle name="Примечание 11 3 2 4 2" xfId="16419"/>
    <cellStyle name="Примечание 11 3 2 4 2 2" xfId="30235"/>
    <cellStyle name="Примечание 11 3 2 4 2 3" xfId="40110"/>
    <cellStyle name="Примечание 11 3 2 4 3" xfId="19059"/>
    <cellStyle name="Примечание 11 3 2 4 3 2" xfId="32869"/>
    <cellStyle name="Примечание 11 3 2 4 3 3" xfId="42739"/>
    <cellStyle name="Примечание 11 3 2 4 4" xfId="27598"/>
    <cellStyle name="Примечание 11 3 2 4 5" xfId="37473"/>
    <cellStyle name="Примечание 11 3 2 5" xfId="15274"/>
    <cellStyle name="Примечание 11 3 2 5 2" xfId="29094"/>
    <cellStyle name="Примечание 11 3 2 5 3" xfId="38969"/>
    <cellStyle name="Примечание 11 3 2 6" xfId="25002"/>
    <cellStyle name="Примечание 11 3 2 7" xfId="34877"/>
    <cellStyle name="Примечание 11 3 20" xfId="34424"/>
    <cellStyle name="Примечание 11 3 21" xfId="34674"/>
    <cellStyle name="Примечание 11 3 3" xfId="2472"/>
    <cellStyle name="Примечание 11 3 3 2" xfId="12477"/>
    <cellStyle name="Примечание 11 3 3 2 2" xfId="17809"/>
    <cellStyle name="Примечание 11 3 3 2 2 2" xfId="31619"/>
    <cellStyle name="Примечание 11 3 3 2 2 3" xfId="41492"/>
    <cellStyle name="Примечание 11 3 3 2 3" xfId="26351"/>
    <cellStyle name="Примечание 11 3 3 2 4" xfId="36226"/>
    <cellStyle name="Примечание 11 3 3 3" xfId="13699"/>
    <cellStyle name="Примечание 11 3 3 3 2" xfId="16342"/>
    <cellStyle name="Примечание 11 3 3 3 2 2" xfId="30158"/>
    <cellStyle name="Примечание 11 3 3 3 2 3" xfId="40033"/>
    <cellStyle name="Примечание 11 3 3 3 3" xfId="18982"/>
    <cellStyle name="Примечание 11 3 3 3 3 2" xfId="32792"/>
    <cellStyle name="Примечание 11 3 3 3 3 3" xfId="42662"/>
    <cellStyle name="Примечание 11 3 3 3 4" xfId="27521"/>
    <cellStyle name="Примечание 11 3 3 3 5" xfId="37396"/>
    <cellStyle name="Примечание 11 3 3 4" xfId="15197"/>
    <cellStyle name="Примечание 11 3 3 4 2" xfId="29017"/>
    <cellStyle name="Примечание 11 3 3 4 3" xfId="38892"/>
    <cellStyle name="Примечание 11 3 3 5" xfId="24925"/>
    <cellStyle name="Примечание 11 3 3 6" xfId="34800"/>
    <cellStyle name="Примечание 11 3 4" xfId="2503"/>
    <cellStyle name="Примечание 11 3 4 2" xfId="12489"/>
    <cellStyle name="Примечание 11 3 4 2 2" xfId="17821"/>
    <cellStyle name="Примечание 11 3 4 2 2 2" xfId="31631"/>
    <cellStyle name="Примечание 11 3 4 2 2 3" xfId="41504"/>
    <cellStyle name="Примечание 11 3 4 2 3" xfId="26363"/>
    <cellStyle name="Примечание 11 3 4 2 4" xfId="36238"/>
    <cellStyle name="Примечание 11 3 4 3" xfId="13711"/>
    <cellStyle name="Примечание 11 3 4 3 2" xfId="16354"/>
    <cellStyle name="Примечание 11 3 4 3 2 2" xfId="30170"/>
    <cellStyle name="Примечание 11 3 4 3 2 3" xfId="40045"/>
    <cellStyle name="Примечание 11 3 4 3 3" xfId="18994"/>
    <cellStyle name="Примечание 11 3 4 3 3 2" xfId="32804"/>
    <cellStyle name="Примечание 11 3 4 3 3 3" xfId="42674"/>
    <cellStyle name="Примечание 11 3 4 3 4" xfId="27533"/>
    <cellStyle name="Примечание 11 3 4 3 5" xfId="37408"/>
    <cellStyle name="Примечание 11 3 4 4" xfId="15209"/>
    <cellStyle name="Примечание 11 3 4 4 2" xfId="29029"/>
    <cellStyle name="Примечание 11 3 4 4 3" xfId="38904"/>
    <cellStyle name="Примечание 11 3 4 5" xfId="24937"/>
    <cellStyle name="Примечание 11 3 4 6" xfId="34812"/>
    <cellStyle name="Примечание 11 3 5" xfId="2423"/>
    <cellStyle name="Примечание 11 3 5 2" xfId="12428"/>
    <cellStyle name="Примечание 11 3 5 2 2" xfId="17760"/>
    <cellStyle name="Примечание 11 3 5 2 2 2" xfId="31570"/>
    <cellStyle name="Примечание 11 3 5 2 2 3" xfId="41443"/>
    <cellStyle name="Примечание 11 3 5 2 3" xfId="26302"/>
    <cellStyle name="Примечание 11 3 5 2 4" xfId="36177"/>
    <cellStyle name="Примечание 11 3 5 3" xfId="13650"/>
    <cellStyle name="Примечание 11 3 5 3 2" xfId="16293"/>
    <cellStyle name="Примечание 11 3 5 3 2 2" xfId="30109"/>
    <cellStyle name="Примечание 11 3 5 3 2 3" xfId="39984"/>
    <cellStyle name="Примечание 11 3 5 3 3" xfId="18933"/>
    <cellStyle name="Примечание 11 3 5 3 3 2" xfId="32743"/>
    <cellStyle name="Примечание 11 3 5 3 3 3" xfId="42613"/>
    <cellStyle name="Примечание 11 3 5 3 4" xfId="27472"/>
    <cellStyle name="Примечание 11 3 5 3 5" xfId="37347"/>
    <cellStyle name="Примечание 11 3 5 4" xfId="15148"/>
    <cellStyle name="Примечание 11 3 5 4 2" xfId="28968"/>
    <cellStyle name="Примечание 11 3 5 4 3" xfId="38843"/>
    <cellStyle name="Примечание 11 3 5 5" xfId="24876"/>
    <cellStyle name="Примечание 11 3 5 6" xfId="34751"/>
    <cellStyle name="Примечание 11 3 6" xfId="2553"/>
    <cellStyle name="Примечание 11 3 6 2" xfId="12539"/>
    <cellStyle name="Примечание 11 3 6 2 2" xfId="17871"/>
    <cellStyle name="Примечание 11 3 6 2 2 2" xfId="31681"/>
    <cellStyle name="Примечание 11 3 6 2 2 3" xfId="41554"/>
    <cellStyle name="Примечание 11 3 6 2 3" xfId="26413"/>
    <cellStyle name="Примечание 11 3 6 2 4" xfId="36288"/>
    <cellStyle name="Примечание 11 3 6 3" xfId="13761"/>
    <cellStyle name="Примечание 11 3 6 3 2" xfId="16404"/>
    <cellStyle name="Примечание 11 3 6 3 2 2" xfId="30220"/>
    <cellStyle name="Примечание 11 3 6 3 2 3" xfId="40095"/>
    <cellStyle name="Примечание 11 3 6 3 3" xfId="19044"/>
    <cellStyle name="Примечание 11 3 6 3 3 2" xfId="32854"/>
    <cellStyle name="Примечание 11 3 6 3 3 3" xfId="42724"/>
    <cellStyle name="Примечание 11 3 6 3 4" xfId="27583"/>
    <cellStyle name="Примечание 11 3 6 3 5" xfId="37458"/>
    <cellStyle name="Примечание 11 3 6 4" xfId="15259"/>
    <cellStyle name="Примечание 11 3 6 4 2" xfId="29079"/>
    <cellStyle name="Примечание 11 3 6 4 3" xfId="38954"/>
    <cellStyle name="Примечание 11 3 6 5" xfId="24987"/>
    <cellStyle name="Примечание 11 3 6 6" xfId="34862"/>
    <cellStyle name="Примечание 11 3 7" xfId="2731"/>
    <cellStyle name="Примечание 11 3 7 2" xfId="12707"/>
    <cellStyle name="Примечание 11 3 7 2 2" xfId="18039"/>
    <cellStyle name="Примечание 11 3 7 2 2 2" xfId="31849"/>
    <cellStyle name="Примечание 11 3 7 2 2 3" xfId="41722"/>
    <cellStyle name="Примечание 11 3 7 2 3" xfId="26581"/>
    <cellStyle name="Примечание 11 3 7 2 4" xfId="36456"/>
    <cellStyle name="Примечание 11 3 7 3" xfId="13930"/>
    <cellStyle name="Примечание 11 3 7 3 2" xfId="16573"/>
    <cellStyle name="Примечание 11 3 7 3 2 2" xfId="30388"/>
    <cellStyle name="Примечание 11 3 7 3 2 3" xfId="40263"/>
    <cellStyle name="Примечание 11 3 7 3 3" xfId="19213"/>
    <cellStyle name="Примечание 11 3 7 3 3 2" xfId="33023"/>
    <cellStyle name="Примечание 11 3 7 3 3 3" xfId="42892"/>
    <cellStyle name="Примечание 11 3 7 3 4" xfId="27751"/>
    <cellStyle name="Примечание 11 3 7 3 5" xfId="37626"/>
    <cellStyle name="Примечание 11 3 7 4" xfId="15428"/>
    <cellStyle name="Примечание 11 3 7 4 2" xfId="29247"/>
    <cellStyle name="Примечание 11 3 7 4 3" xfId="39122"/>
    <cellStyle name="Примечание 11 3 7 5" xfId="25155"/>
    <cellStyle name="Примечание 11 3 7 6" xfId="35030"/>
    <cellStyle name="Примечание 11 3 8" xfId="2653"/>
    <cellStyle name="Примечание 11 3 8 2" xfId="12639"/>
    <cellStyle name="Примечание 11 3 8 2 2" xfId="17971"/>
    <cellStyle name="Примечание 11 3 8 2 2 2" xfId="31781"/>
    <cellStyle name="Примечание 11 3 8 2 2 3" xfId="41654"/>
    <cellStyle name="Примечание 11 3 8 2 3" xfId="26513"/>
    <cellStyle name="Примечание 11 3 8 2 4" xfId="36388"/>
    <cellStyle name="Примечание 11 3 8 3" xfId="13861"/>
    <cellStyle name="Примечание 11 3 8 3 2" xfId="16504"/>
    <cellStyle name="Примечание 11 3 8 3 2 2" xfId="30320"/>
    <cellStyle name="Примечание 11 3 8 3 2 3" xfId="40195"/>
    <cellStyle name="Примечание 11 3 8 3 3" xfId="19144"/>
    <cellStyle name="Примечание 11 3 8 3 3 2" xfId="32954"/>
    <cellStyle name="Примечание 11 3 8 3 3 3" xfId="42824"/>
    <cellStyle name="Примечание 11 3 8 3 4" xfId="27683"/>
    <cellStyle name="Примечание 11 3 8 3 5" xfId="37558"/>
    <cellStyle name="Примечание 11 3 8 4" xfId="15359"/>
    <cellStyle name="Примечание 11 3 8 4 2" xfId="29179"/>
    <cellStyle name="Примечание 11 3 8 4 3" xfId="39054"/>
    <cellStyle name="Примечание 11 3 8 5" xfId="25087"/>
    <cellStyle name="Примечание 11 3 8 6" xfId="34962"/>
    <cellStyle name="Примечание 11 3 9" xfId="2781"/>
    <cellStyle name="Примечание 11 3 9 2" xfId="12756"/>
    <cellStyle name="Примечание 11 3 9 2 2" xfId="18088"/>
    <cellStyle name="Примечание 11 3 9 2 2 2" xfId="31898"/>
    <cellStyle name="Примечание 11 3 9 2 2 3" xfId="41771"/>
    <cellStyle name="Примечание 11 3 9 2 3" xfId="26630"/>
    <cellStyle name="Примечание 11 3 9 2 4" xfId="36505"/>
    <cellStyle name="Примечание 11 3 9 3" xfId="13979"/>
    <cellStyle name="Примечание 11 3 9 3 2" xfId="16622"/>
    <cellStyle name="Примечание 11 3 9 3 2 2" xfId="30437"/>
    <cellStyle name="Примечание 11 3 9 3 2 3" xfId="40312"/>
    <cellStyle name="Примечание 11 3 9 3 3" xfId="19262"/>
    <cellStyle name="Примечание 11 3 9 3 3 2" xfId="33072"/>
    <cellStyle name="Примечание 11 3 9 3 3 3" xfId="42941"/>
    <cellStyle name="Примечание 11 3 9 3 4" xfId="27800"/>
    <cellStyle name="Примечание 11 3 9 3 5" xfId="37675"/>
    <cellStyle name="Примечание 11 3 9 4" xfId="15477"/>
    <cellStyle name="Примечание 11 3 9 4 2" xfId="29296"/>
    <cellStyle name="Примечание 11 3 9 4 3" xfId="39171"/>
    <cellStyle name="Примечание 11 3 9 5" xfId="25204"/>
    <cellStyle name="Примечание 11 3 9 6" xfId="35079"/>
    <cellStyle name="Примечание 11 4" xfId="2566"/>
    <cellStyle name="Примечание 11 4 2" xfId="10740"/>
    <cellStyle name="Примечание 11 4 3" xfId="12552"/>
    <cellStyle name="Примечание 11 4 3 2" xfId="17884"/>
    <cellStyle name="Примечание 11 4 3 2 2" xfId="31694"/>
    <cellStyle name="Примечание 11 4 3 2 3" xfId="41567"/>
    <cellStyle name="Примечание 11 4 3 3" xfId="26426"/>
    <cellStyle name="Примечание 11 4 3 4" xfId="36301"/>
    <cellStyle name="Примечание 11 4 4" xfId="13774"/>
    <cellStyle name="Примечание 11 4 4 2" xfId="16417"/>
    <cellStyle name="Примечание 11 4 4 2 2" xfId="30233"/>
    <cellStyle name="Примечание 11 4 4 2 3" xfId="40108"/>
    <cellStyle name="Примечание 11 4 4 3" xfId="19057"/>
    <cellStyle name="Примечание 11 4 4 3 2" xfId="32867"/>
    <cellStyle name="Примечание 11 4 4 3 3" xfId="42737"/>
    <cellStyle name="Примечание 11 4 4 4" xfId="27596"/>
    <cellStyle name="Примечание 11 4 4 5" xfId="37471"/>
    <cellStyle name="Примечание 11 4 5" xfId="15272"/>
    <cellStyle name="Примечание 11 4 5 2" xfId="29092"/>
    <cellStyle name="Примечание 11 4 5 3" xfId="38967"/>
    <cellStyle name="Примечание 11 4 6" xfId="25000"/>
    <cellStyle name="Примечание 11 4 7" xfId="34875"/>
    <cellStyle name="Примечание 11 5" xfId="2474"/>
    <cellStyle name="Примечание 11 5 2" xfId="10748"/>
    <cellStyle name="Примечание 11 5 3" xfId="12479"/>
    <cellStyle name="Примечание 11 5 3 2" xfId="17811"/>
    <cellStyle name="Примечание 11 5 3 2 2" xfId="31621"/>
    <cellStyle name="Примечание 11 5 3 2 3" xfId="41494"/>
    <cellStyle name="Примечание 11 5 3 3" xfId="26353"/>
    <cellStyle name="Примечание 11 5 3 4" xfId="36228"/>
    <cellStyle name="Примечание 11 5 4" xfId="13701"/>
    <cellStyle name="Примечание 11 5 4 2" xfId="16344"/>
    <cellStyle name="Примечание 11 5 4 2 2" xfId="30160"/>
    <cellStyle name="Примечание 11 5 4 2 3" xfId="40035"/>
    <cellStyle name="Примечание 11 5 4 3" xfId="18984"/>
    <cellStyle name="Примечание 11 5 4 3 2" xfId="32794"/>
    <cellStyle name="Примечание 11 5 4 3 3" xfId="42664"/>
    <cellStyle name="Примечание 11 5 4 4" xfId="27523"/>
    <cellStyle name="Примечание 11 5 4 5" xfId="37398"/>
    <cellStyle name="Примечание 11 5 5" xfId="15199"/>
    <cellStyle name="Примечание 11 5 5 2" xfId="29019"/>
    <cellStyle name="Примечание 11 5 5 3" xfId="38894"/>
    <cellStyle name="Примечание 11 5 6" xfId="24927"/>
    <cellStyle name="Примечание 11 5 7" xfId="34802"/>
    <cellStyle name="Примечание 11 6" xfId="2501"/>
    <cellStyle name="Примечание 11 6 2" xfId="10749"/>
    <cellStyle name="Примечание 11 6 3" xfId="12487"/>
    <cellStyle name="Примечание 11 6 3 2" xfId="17819"/>
    <cellStyle name="Примечание 11 6 3 2 2" xfId="31629"/>
    <cellStyle name="Примечание 11 6 3 2 3" xfId="41502"/>
    <cellStyle name="Примечание 11 6 3 3" xfId="26361"/>
    <cellStyle name="Примечание 11 6 3 4" xfId="36236"/>
    <cellStyle name="Примечание 11 6 4" xfId="13709"/>
    <cellStyle name="Примечание 11 6 4 2" xfId="16352"/>
    <cellStyle name="Примечание 11 6 4 2 2" xfId="30168"/>
    <cellStyle name="Примечание 11 6 4 2 3" xfId="40043"/>
    <cellStyle name="Примечание 11 6 4 3" xfId="18992"/>
    <cellStyle name="Примечание 11 6 4 3 2" xfId="32802"/>
    <cellStyle name="Примечание 11 6 4 3 3" xfId="42672"/>
    <cellStyle name="Примечание 11 6 4 4" xfId="27531"/>
    <cellStyle name="Примечание 11 6 4 5" xfId="37406"/>
    <cellStyle name="Примечание 11 6 5" xfId="15207"/>
    <cellStyle name="Примечание 11 6 5 2" xfId="29027"/>
    <cellStyle name="Примечание 11 6 5 3" xfId="38902"/>
    <cellStyle name="Примечание 11 6 6" xfId="24935"/>
    <cellStyle name="Примечание 11 6 7" xfId="34810"/>
    <cellStyle name="Примечание 11 7" xfId="2425"/>
    <cellStyle name="Примечание 11 7 2" xfId="10750"/>
    <cellStyle name="Примечание 11 7 3" xfId="12430"/>
    <cellStyle name="Примечание 11 7 3 2" xfId="17762"/>
    <cellStyle name="Примечание 11 7 3 2 2" xfId="31572"/>
    <cellStyle name="Примечание 11 7 3 2 3" xfId="41445"/>
    <cellStyle name="Примечание 11 7 3 3" xfId="26304"/>
    <cellStyle name="Примечание 11 7 3 4" xfId="36179"/>
    <cellStyle name="Примечание 11 7 4" xfId="13652"/>
    <cellStyle name="Примечание 11 7 4 2" xfId="16295"/>
    <cellStyle name="Примечание 11 7 4 2 2" xfId="30111"/>
    <cellStyle name="Примечание 11 7 4 2 3" xfId="39986"/>
    <cellStyle name="Примечание 11 7 4 3" xfId="18935"/>
    <cellStyle name="Примечание 11 7 4 3 2" xfId="32745"/>
    <cellStyle name="Примечание 11 7 4 3 3" xfId="42615"/>
    <cellStyle name="Примечание 11 7 4 4" xfId="27474"/>
    <cellStyle name="Примечание 11 7 4 5" xfId="37349"/>
    <cellStyle name="Примечание 11 7 5" xfId="15150"/>
    <cellStyle name="Примечание 11 7 5 2" xfId="28970"/>
    <cellStyle name="Примечание 11 7 5 3" xfId="38845"/>
    <cellStyle name="Примечание 11 7 6" xfId="24878"/>
    <cellStyle name="Примечание 11 7 7" xfId="34753"/>
    <cellStyle name="Примечание 11 8" xfId="2551"/>
    <cellStyle name="Примечание 11 8 2" xfId="10751"/>
    <cellStyle name="Примечание 11 8 3" xfId="12537"/>
    <cellStyle name="Примечание 11 8 3 2" xfId="17869"/>
    <cellStyle name="Примечание 11 8 3 2 2" xfId="31679"/>
    <cellStyle name="Примечание 11 8 3 2 3" xfId="41552"/>
    <cellStyle name="Примечание 11 8 3 3" xfId="26411"/>
    <cellStyle name="Примечание 11 8 3 4" xfId="36286"/>
    <cellStyle name="Примечание 11 8 4" xfId="13759"/>
    <cellStyle name="Примечание 11 8 4 2" xfId="16402"/>
    <cellStyle name="Примечание 11 8 4 2 2" xfId="30218"/>
    <cellStyle name="Примечание 11 8 4 2 3" xfId="40093"/>
    <cellStyle name="Примечание 11 8 4 3" xfId="19042"/>
    <cellStyle name="Примечание 11 8 4 3 2" xfId="32852"/>
    <cellStyle name="Примечание 11 8 4 3 3" xfId="42722"/>
    <cellStyle name="Примечание 11 8 4 4" xfId="27581"/>
    <cellStyle name="Примечание 11 8 4 5" xfId="37456"/>
    <cellStyle name="Примечание 11 8 5" xfId="15257"/>
    <cellStyle name="Примечание 11 8 5 2" xfId="29077"/>
    <cellStyle name="Примечание 11 8 5 3" xfId="38952"/>
    <cellStyle name="Примечание 11 8 6" xfId="24985"/>
    <cellStyle name="Примечание 11 8 7" xfId="34860"/>
    <cellStyle name="Примечание 11 9" xfId="2729"/>
    <cellStyle name="Примечание 11 9 2" xfId="10752"/>
    <cellStyle name="Примечание 11 9 3" xfId="12705"/>
    <cellStyle name="Примечание 11 9 3 2" xfId="18037"/>
    <cellStyle name="Примечание 11 9 3 2 2" xfId="31847"/>
    <cellStyle name="Примечание 11 9 3 2 3" xfId="41720"/>
    <cellStyle name="Примечание 11 9 3 3" xfId="26579"/>
    <cellStyle name="Примечание 11 9 3 4" xfId="36454"/>
    <cellStyle name="Примечание 11 9 4" xfId="13928"/>
    <cellStyle name="Примечание 11 9 4 2" xfId="16571"/>
    <cellStyle name="Примечание 11 9 4 2 2" xfId="30386"/>
    <cellStyle name="Примечание 11 9 4 2 3" xfId="40261"/>
    <cellStyle name="Примечание 11 9 4 3" xfId="19211"/>
    <cellStyle name="Примечание 11 9 4 3 2" xfId="33021"/>
    <cellStyle name="Примечание 11 9 4 3 3" xfId="42890"/>
    <cellStyle name="Примечание 11 9 4 4" xfId="27749"/>
    <cellStyle name="Примечание 11 9 4 5" xfId="37624"/>
    <cellStyle name="Примечание 11 9 5" xfId="15426"/>
    <cellStyle name="Примечание 11 9 5 2" xfId="29245"/>
    <cellStyle name="Примечание 11 9 5 3" xfId="39120"/>
    <cellStyle name="Примечание 11 9 6" xfId="25153"/>
    <cellStyle name="Примечание 11 9 7" xfId="35028"/>
    <cellStyle name="Примечание 12" xfId="2194"/>
    <cellStyle name="Примечание 12 10" xfId="2654"/>
    <cellStyle name="Примечание 12 10 2" xfId="10754"/>
    <cellStyle name="Примечание 12 10 3" xfId="12640"/>
    <cellStyle name="Примечание 12 10 3 2" xfId="17972"/>
    <cellStyle name="Примечание 12 10 3 2 2" xfId="31782"/>
    <cellStyle name="Примечание 12 10 3 2 3" xfId="41655"/>
    <cellStyle name="Примечание 12 10 3 3" xfId="26514"/>
    <cellStyle name="Примечание 12 10 3 4" xfId="36389"/>
    <cellStyle name="Примечание 12 10 4" xfId="13862"/>
    <cellStyle name="Примечание 12 10 4 2" xfId="16505"/>
    <cellStyle name="Примечание 12 10 4 2 2" xfId="30321"/>
    <cellStyle name="Примечание 12 10 4 2 3" xfId="40196"/>
    <cellStyle name="Примечание 12 10 4 3" xfId="19145"/>
    <cellStyle name="Примечание 12 10 4 3 2" xfId="32955"/>
    <cellStyle name="Примечание 12 10 4 3 3" xfId="42825"/>
    <cellStyle name="Примечание 12 10 4 4" xfId="27684"/>
    <cellStyle name="Примечание 12 10 4 5" xfId="37559"/>
    <cellStyle name="Примечание 12 10 5" xfId="15360"/>
    <cellStyle name="Примечание 12 10 5 2" xfId="29180"/>
    <cellStyle name="Примечание 12 10 5 3" xfId="39055"/>
    <cellStyle name="Примечание 12 10 6" xfId="25088"/>
    <cellStyle name="Примечание 12 10 7" xfId="34963"/>
    <cellStyle name="Примечание 12 11" xfId="2782"/>
    <cellStyle name="Примечание 12 11 2" xfId="10755"/>
    <cellStyle name="Примечание 12 11 3" xfId="12757"/>
    <cellStyle name="Примечание 12 11 3 2" xfId="18089"/>
    <cellStyle name="Примечание 12 11 3 2 2" xfId="31899"/>
    <cellStyle name="Примечание 12 11 3 2 3" xfId="41772"/>
    <cellStyle name="Примечание 12 11 3 3" xfId="26631"/>
    <cellStyle name="Примечание 12 11 3 4" xfId="36506"/>
    <cellStyle name="Примечание 12 11 4" xfId="13980"/>
    <cellStyle name="Примечание 12 11 4 2" xfId="16623"/>
    <cellStyle name="Примечание 12 11 4 2 2" xfId="30438"/>
    <cellStyle name="Примечание 12 11 4 2 3" xfId="40313"/>
    <cellStyle name="Примечание 12 11 4 3" xfId="19263"/>
    <cellStyle name="Примечание 12 11 4 3 2" xfId="33073"/>
    <cellStyle name="Примечание 12 11 4 3 3" xfId="42942"/>
    <cellStyle name="Примечание 12 11 4 4" xfId="27801"/>
    <cellStyle name="Примечание 12 11 4 5" xfId="37676"/>
    <cellStyle name="Примечание 12 11 5" xfId="15478"/>
    <cellStyle name="Примечание 12 11 5 2" xfId="29297"/>
    <cellStyle name="Примечание 12 11 5 3" xfId="39172"/>
    <cellStyle name="Примечание 12 11 6" xfId="25205"/>
    <cellStyle name="Примечание 12 11 7" xfId="35080"/>
    <cellStyle name="Примечание 12 12" xfId="2838"/>
    <cellStyle name="Примечание 12 12 2" xfId="10756"/>
    <cellStyle name="Примечание 12 12 3" xfId="12810"/>
    <cellStyle name="Примечание 12 12 3 2" xfId="18142"/>
    <cellStyle name="Примечание 12 12 3 2 2" xfId="31952"/>
    <cellStyle name="Примечание 12 12 3 2 3" xfId="41825"/>
    <cellStyle name="Примечание 12 12 3 3" xfId="26684"/>
    <cellStyle name="Примечание 12 12 3 4" xfId="36559"/>
    <cellStyle name="Примечание 12 12 4" xfId="14033"/>
    <cellStyle name="Примечание 12 12 4 2" xfId="16676"/>
    <cellStyle name="Примечание 12 12 4 2 2" xfId="30491"/>
    <cellStyle name="Примечание 12 12 4 2 3" xfId="40366"/>
    <cellStyle name="Примечание 12 12 4 3" xfId="19316"/>
    <cellStyle name="Примечание 12 12 4 3 2" xfId="33126"/>
    <cellStyle name="Примечание 12 12 4 3 3" xfId="42995"/>
    <cellStyle name="Примечание 12 12 4 4" xfId="27854"/>
    <cellStyle name="Примечание 12 12 4 5" xfId="37729"/>
    <cellStyle name="Примечание 12 12 5" xfId="15531"/>
    <cellStyle name="Примечание 12 12 5 2" xfId="29350"/>
    <cellStyle name="Примечание 12 12 5 3" xfId="39225"/>
    <cellStyle name="Примечание 12 12 6" xfId="25258"/>
    <cellStyle name="Примечание 12 12 7" xfId="35133"/>
    <cellStyle name="Примечание 12 13" xfId="2886"/>
    <cellStyle name="Примечание 12 13 2" xfId="10757"/>
    <cellStyle name="Примечание 12 13 3" xfId="12856"/>
    <cellStyle name="Примечание 12 13 3 2" xfId="18188"/>
    <cellStyle name="Примечание 12 13 3 2 2" xfId="31998"/>
    <cellStyle name="Примечание 12 13 3 2 3" xfId="41871"/>
    <cellStyle name="Примечание 12 13 3 3" xfId="26730"/>
    <cellStyle name="Примечание 12 13 3 4" xfId="36605"/>
    <cellStyle name="Примечание 12 13 4" xfId="14079"/>
    <cellStyle name="Примечание 12 13 4 2" xfId="16722"/>
    <cellStyle name="Примечание 12 13 4 2 2" xfId="30537"/>
    <cellStyle name="Примечание 12 13 4 2 3" xfId="40412"/>
    <cellStyle name="Примечание 12 13 4 3" xfId="19362"/>
    <cellStyle name="Примечание 12 13 4 3 2" xfId="33172"/>
    <cellStyle name="Примечание 12 13 4 3 3" xfId="43041"/>
    <cellStyle name="Примечание 12 13 4 4" xfId="27900"/>
    <cellStyle name="Примечание 12 13 4 5" xfId="37775"/>
    <cellStyle name="Примечание 12 13 5" xfId="15577"/>
    <cellStyle name="Примечание 12 13 5 2" xfId="29396"/>
    <cellStyle name="Примечание 12 13 5 3" xfId="39271"/>
    <cellStyle name="Примечание 12 13 6" xfId="25304"/>
    <cellStyle name="Примечание 12 13 7" xfId="35179"/>
    <cellStyle name="Примечание 12 14" xfId="2940"/>
    <cellStyle name="Примечание 12 14 2" xfId="10758"/>
    <cellStyle name="Примечание 12 14 3" xfId="12909"/>
    <cellStyle name="Примечание 12 14 3 2" xfId="18241"/>
    <cellStyle name="Примечание 12 14 3 2 2" xfId="32051"/>
    <cellStyle name="Примечание 12 14 3 2 3" xfId="41924"/>
    <cellStyle name="Примечание 12 14 3 3" xfId="26783"/>
    <cellStyle name="Примечание 12 14 3 4" xfId="36658"/>
    <cellStyle name="Примечание 12 14 4" xfId="14132"/>
    <cellStyle name="Примечание 12 14 4 2" xfId="16775"/>
    <cellStyle name="Примечание 12 14 4 2 2" xfId="30590"/>
    <cellStyle name="Примечание 12 14 4 2 3" xfId="40465"/>
    <cellStyle name="Примечание 12 14 4 3" xfId="19415"/>
    <cellStyle name="Примечание 12 14 4 3 2" xfId="33225"/>
    <cellStyle name="Примечание 12 14 4 3 3" xfId="43094"/>
    <cellStyle name="Примечание 12 14 4 4" xfId="27953"/>
    <cellStyle name="Примечание 12 14 4 5" xfId="37828"/>
    <cellStyle name="Примечание 12 14 5" xfId="15630"/>
    <cellStyle name="Примечание 12 14 5 2" xfId="29449"/>
    <cellStyle name="Примечание 12 14 5 3" xfId="39324"/>
    <cellStyle name="Примечание 12 14 6" xfId="25357"/>
    <cellStyle name="Примечание 12 14 7" xfId="35232"/>
    <cellStyle name="Примечание 12 15" xfId="2989"/>
    <cellStyle name="Примечание 12 15 2" xfId="12052"/>
    <cellStyle name="Примечание 12 15 2 2" xfId="14950"/>
    <cellStyle name="Примечание 12 15 2 2 2" xfId="20233"/>
    <cellStyle name="Примечание 12 15 2 2 2 2" xfId="23216"/>
    <cellStyle name="Примечание 12 15 2 2 2 3" xfId="34043"/>
    <cellStyle name="Примечание 12 15 2 2 2 4" xfId="43911"/>
    <cellStyle name="Примечание 12 15 2 2 3" xfId="23504"/>
    <cellStyle name="Примечание 12 15 2 2 4" xfId="28770"/>
    <cellStyle name="Примечание 12 15 2 2 5" xfId="38645"/>
    <cellStyle name="Примечание 12 15 2 3" xfId="13016"/>
    <cellStyle name="Примечание 12 15 2 3 2" xfId="15997"/>
    <cellStyle name="Примечание 12 15 2 3 2 2" xfId="29816"/>
    <cellStyle name="Примечание 12 15 2 3 2 3" xfId="39691"/>
    <cellStyle name="Примечание 12 15 2 3 3" xfId="18348"/>
    <cellStyle name="Примечание 12 15 2 3 3 2" xfId="32158"/>
    <cellStyle name="Примечание 12 15 2 3 3 3" xfId="42031"/>
    <cellStyle name="Примечание 12 15 2 3 4" xfId="26890"/>
    <cellStyle name="Примечание 12 15 2 3 5" xfId="36765"/>
    <cellStyle name="Примечание 12 15 2 4" xfId="15975"/>
    <cellStyle name="Примечание 12 15 2 4 2" xfId="21831"/>
    <cellStyle name="Примечание 12 15 2 4 3" xfId="29794"/>
    <cellStyle name="Примечание 12 15 2 4 4" xfId="39669"/>
    <cellStyle name="Примечание 12 15 2 5" xfId="24128"/>
    <cellStyle name="Примечание 12 15 2 6" xfId="25926"/>
    <cellStyle name="Примечание 12 15 2 7" xfId="35801"/>
    <cellStyle name="Примечание 12 15 3" xfId="12956"/>
    <cellStyle name="Примечание 12 15 3 2" xfId="18288"/>
    <cellStyle name="Примечание 12 15 3 2 2" xfId="32098"/>
    <cellStyle name="Примечание 12 15 3 2 3" xfId="41971"/>
    <cellStyle name="Примечание 12 15 3 3" xfId="23488"/>
    <cellStyle name="Примечание 12 15 3 4" xfId="26830"/>
    <cellStyle name="Примечание 12 15 3 5" xfId="36705"/>
    <cellStyle name="Примечание 12 15 4" xfId="14179"/>
    <cellStyle name="Примечание 12 15 4 2" xfId="16822"/>
    <cellStyle name="Примечание 12 15 4 2 2" xfId="30637"/>
    <cellStyle name="Примечание 12 15 4 2 3" xfId="40512"/>
    <cellStyle name="Примечание 12 15 4 3" xfId="19462"/>
    <cellStyle name="Примечание 12 15 4 3 2" xfId="33272"/>
    <cellStyle name="Примечание 12 15 4 3 3" xfId="43141"/>
    <cellStyle name="Примечание 12 15 4 4" xfId="28000"/>
    <cellStyle name="Примечание 12 15 4 5" xfId="37875"/>
    <cellStyle name="Примечание 12 15 5" xfId="21743"/>
    <cellStyle name="Примечание 12 15 6" xfId="22480"/>
    <cellStyle name="Примечание 12 15 7" xfId="23968"/>
    <cellStyle name="Примечание 12 15 8" xfId="25404"/>
    <cellStyle name="Примечание 12 15 9" xfId="35279"/>
    <cellStyle name="Примечание 12 16" xfId="12132"/>
    <cellStyle name="Примечание 12 16 2" xfId="15030"/>
    <cellStyle name="Примечание 12 16 2 2" xfId="20313"/>
    <cellStyle name="Примечание 12 16 2 2 2" xfId="23232"/>
    <cellStyle name="Примечание 12 16 2 2 3" xfId="34123"/>
    <cellStyle name="Примечание 12 16 2 2 4" xfId="43991"/>
    <cellStyle name="Примечание 12 16 2 3" xfId="23584"/>
    <cellStyle name="Примечание 12 16 2 4" xfId="28850"/>
    <cellStyle name="Примечание 12 16 2 5" xfId="38725"/>
    <cellStyle name="Примечание 12 16 3" xfId="14475"/>
    <cellStyle name="Примечание 12 16 3 2" xfId="16949"/>
    <cellStyle name="Примечание 12 16 3 2 2" xfId="30763"/>
    <cellStyle name="Примечание 12 16 3 2 3" xfId="40638"/>
    <cellStyle name="Примечание 12 16 3 3" xfId="19758"/>
    <cellStyle name="Примечание 12 16 3 3 2" xfId="33568"/>
    <cellStyle name="Примечание 12 16 3 3 3" xfId="43436"/>
    <cellStyle name="Примечание 12 16 3 4" xfId="28295"/>
    <cellStyle name="Примечание 12 16 3 5" xfId="38170"/>
    <cellStyle name="Примечание 12 16 4" xfId="21511"/>
    <cellStyle name="Примечание 12 16 5" xfId="21879"/>
    <cellStyle name="Примечание 12 16 6" xfId="22704"/>
    <cellStyle name="Примечание 12 16 7" xfId="24208"/>
    <cellStyle name="Примечание 12 16 8" xfId="26006"/>
    <cellStyle name="Примечание 12 16 9" xfId="35881"/>
    <cellStyle name="Примечание 12 17" xfId="12212"/>
    <cellStyle name="Примечание 12 17 2" xfId="15110"/>
    <cellStyle name="Примечание 12 17 2 2" xfId="20393"/>
    <cellStyle name="Примечание 12 17 2 2 2" xfId="23248"/>
    <cellStyle name="Примечание 12 17 2 2 3" xfId="34203"/>
    <cellStyle name="Примечание 12 17 2 2 4" xfId="44071"/>
    <cellStyle name="Примечание 12 17 2 3" xfId="23664"/>
    <cellStyle name="Примечание 12 17 2 4" xfId="28930"/>
    <cellStyle name="Примечание 12 17 2 5" xfId="38805"/>
    <cellStyle name="Примечание 12 17 3" xfId="14415"/>
    <cellStyle name="Примечание 12 17 3 2" xfId="16928"/>
    <cellStyle name="Примечание 12 17 3 2 2" xfId="30743"/>
    <cellStyle name="Примечание 12 17 3 2 3" xfId="40618"/>
    <cellStyle name="Примечание 12 17 3 3" xfId="19698"/>
    <cellStyle name="Примечание 12 17 3 3 2" xfId="33508"/>
    <cellStyle name="Примечание 12 17 3 3 3" xfId="43377"/>
    <cellStyle name="Примечание 12 17 3 4" xfId="28236"/>
    <cellStyle name="Примечание 12 17 3 5" xfId="38111"/>
    <cellStyle name="Примечание 12 17 4" xfId="21591"/>
    <cellStyle name="Примечание 12 17 5" xfId="21927"/>
    <cellStyle name="Примечание 12 17 6" xfId="22784"/>
    <cellStyle name="Примечание 12 17 7" xfId="24288"/>
    <cellStyle name="Примечание 12 17 8" xfId="26086"/>
    <cellStyle name="Примечание 12 17 9" xfId="35961"/>
    <cellStyle name="Примечание 12 18" xfId="11796"/>
    <cellStyle name="Примечание 12 18 2" xfId="14694"/>
    <cellStyle name="Примечание 12 18 2 2" xfId="19977"/>
    <cellStyle name="Примечание 12 18 2 2 2" xfId="33787"/>
    <cellStyle name="Примечание 12 18 2 2 3" xfId="43655"/>
    <cellStyle name="Примечание 12 18 2 3" xfId="28514"/>
    <cellStyle name="Примечание 12 18 2 4" xfId="38389"/>
    <cellStyle name="Примечание 12 18 3" xfId="14235"/>
    <cellStyle name="Примечание 12 18 3 2" xfId="16878"/>
    <cellStyle name="Примечание 12 18 3 2 2" xfId="30693"/>
    <cellStyle name="Примечание 12 18 3 2 3" xfId="40568"/>
    <cellStyle name="Примечание 12 18 3 3" xfId="19518"/>
    <cellStyle name="Примечание 12 18 3 3 2" xfId="33328"/>
    <cellStyle name="Примечание 12 18 3 3 3" xfId="43197"/>
    <cellStyle name="Примечание 12 18 3 4" xfId="28056"/>
    <cellStyle name="Примечание 12 18 3 5" xfId="37931"/>
    <cellStyle name="Примечание 12 18 4" xfId="15927"/>
    <cellStyle name="Примечание 12 18 4 2" xfId="23275"/>
    <cellStyle name="Примечание 12 18 4 3" xfId="29746"/>
    <cellStyle name="Примечание 12 18 4 4" xfId="39621"/>
    <cellStyle name="Примечание 12 18 5" xfId="25670"/>
    <cellStyle name="Примечание 12 18 6" xfId="35545"/>
    <cellStyle name="Примечание 12 19" xfId="13523"/>
    <cellStyle name="Примечание 12 19 2" xfId="16221"/>
    <cellStyle name="Примечание 12 19 2 2" xfId="30038"/>
    <cellStyle name="Примечание 12 19 2 3" xfId="39913"/>
    <cellStyle name="Примечание 12 19 3" xfId="18852"/>
    <cellStyle name="Примечание 12 19 3 2" xfId="32662"/>
    <cellStyle name="Примечание 12 19 3 3" xfId="42533"/>
    <cellStyle name="Примечание 12 19 4" xfId="27392"/>
    <cellStyle name="Примечание 12 19 5" xfId="37267"/>
    <cellStyle name="Примечание 12 2" xfId="2195"/>
    <cellStyle name="Примечание 12 2 10" xfId="2839"/>
    <cellStyle name="Примечание 12 2 10 2" xfId="12811"/>
    <cellStyle name="Примечание 12 2 10 2 2" xfId="18143"/>
    <cellStyle name="Примечание 12 2 10 2 2 2" xfId="31953"/>
    <cellStyle name="Примечание 12 2 10 2 2 3" xfId="41826"/>
    <cellStyle name="Примечание 12 2 10 2 3" xfId="26685"/>
    <cellStyle name="Примечание 12 2 10 2 4" xfId="36560"/>
    <cellStyle name="Примечание 12 2 10 3" xfId="14034"/>
    <cellStyle name="Примечание 12 2 10 3 2" xfId="16677"/>
    <cellStyle name="Примечание 12 2 10 3 2 2" xfId="30492"/>
    <cellStyle name="Примечание 12 2 10 3 2 3" xfId="40367"/>
    <cellStyle name="Примечание 12 2 10 3 3" xfId="19317"/>
    <cellStyle name="Примечание 12 2 10 3 3 2" xfId="33127"/>
    <cellStyle name="Примечание 12 2 10 3 3 3" xfId="42996"/>
    <cellStyle name="Примечание 12 2 10 3 4" xfId="27855"/>
    <cellStyle name="Примечание 12 2 10 3 5" xfId="37730"/>
    <cellStyle name="Примечание 12 2 10 4" xfId="15532"/>
    <cellStyle name="Примечание 12 2 10 4 2" xfId="29351"/>
    <cellStyle name="Примечание 12 2 10 4 3" xfId="39226"/>
    <cellStyle name="Примечание 12 2 10 5" xfId="25259"/>
    <cellStyle name="Примечание 12 2 10 6" xfId="35134"/>
    <cellStyle name="Примечание 12 2 11" xfId="2887"/>
    <cellStyle name="Примечание 12 2 11 2" xfId="12857"/>
    <cellStyle name="Примечание 12 2 11 2 2" xfId="18189"/>
    <cellStyle name="Примечание 12 2 11 2 2 2" xfId="31999"/>
    <cellStyle name="Примечание 12 2 11 2 2 3" xfId="41872"/>
    <cellStyle name="Примечание 12 2 11 2 3" xfId="26731"/>
    <cellStyle name="Примечание 12 2 11 2 4" xfId="36606"/>
    <cellStyle name="Примечание 12 2 11 3" xfId="14080"/>
    <cellStyle name="Примечание 12 2 11 3 2" xfId="16723"/>
    <cellStyle name="Примечание 12 2 11 3 2 2" xfId="30538"/>
    <cellStyle name="Примечание 12 2 11 3 2 3" xfId="40413"/>
    <cellStyle name="Примечание 12 2 11 3 3" xfId="19363"/>
    <cellStyle name="Примечание 12 2 11 3 3 2" xfId="33173"/>
    <cellStyle name="Примечание 12 2 11 3 3 3" xfId="43042"/>
    <cellStyle name="Примечание 12 2 11 3 4" xfId="27901"/>
    <cellStyle name="Примечание 12 2 11 3 5" xfId="37776"/>
    <cellStyle name="Примечание 12 2 11 4" xfId="15578"/>
    <cellStyle name="Примечание 12 2 11 4 2" xfId="29397"/>
    <cellStyle name="Примечание 12 2 11 4 3" xfId="39272"/>
    <cellStyle name="Примечание 12 2 11 5" xfId="25305"/>
    <cellStyle name="Примечание 12 2 11 6" xfId="35180"/>
    <cellStyle name="Примечание 12 2 12" xfId="2941"/>
    <cellStyle name="Примечание 12 2 12 2" xfId="12910"/>
    <cellStyle name="Примечание 12 2 12 2 2" xfId="18242"/>
    <cellStyle name="Примечание 12 2 12 2 2 2" xfId="32052"/>
    <cellStyle name="Примечание 12 2 12 2 2 3" xfId="41925"/>
    <cellStyle name="Примечание 12 2 12 2 3" xfId="26784"/>
    <cellStyle name="Примечание 12 2 12 2 4" xfId="36659"/>
    <cellStyle name="Примечание 12 2 12 3" xfId="14133"/>
    <cellStyle name="Примечание 12 2 12 3 2" xfId="16776"/>
    <cellStyle name="Примечание 12 2 12 3 2 2" xfId="30591"/>
    <cellStyle name="Примечание 12 2 12 3 2 3" xfId="40466"/>
    <cellStyle name="Примечание 12 2 12 3 3" xfId="19416"/>
    <cellStyle name="Примечание 12 2 12 3 3 2" xfId="33226"/>
    <cellStyle name="Примечание 12 2 12 3 3 3" xfId="43095"/>
    <cellStyle name="Примечание 12 2 12 3 4" xfId="27954"/>
    <cellStyle name="Примечание 12 2 12 3 5" xfId="37829"/>
    <cellStyle name="Примечание 12 2 12 4" xfId="15631"/>
    <cellStyle name="Примечание 12 2 12 4 2" xfId="29450"/>
    <cellStyle name="Примечание 12 2 12 4 3" xfId="39325"/>
    <cellStyle name="Примечание 12 2 12 5" xfId="25358"/>
    <cellStyle name="Примечание 12 2 12 6" xfId="35233"/>
    <cellStyle name="Примечание 12 2 13" xfId="2990"/>
    <cellStyle name="Примечание 12 2 13 2" xfId="12957"/>
    <cellStyle name="Примечание 12 2 13 2 2" xfId="18289"/>
    <cellStyle name="Примечание 12 2 13 2 2 2" xfId="32099"/>
    <cellStyle name="Примечание 12 2 13 2 2 3" xfId="41972"/>
    <cellStyle name="Примечание 12 2 13 2 3" xfId="26831"/>
    <cellStyle name="Примечание 12 2 13 2 4" xfId="36706"/>
    <cellStyle name="Примечание 12 2 13 3" xfId="14180"/>
    <cellStyle name="Примечание 12 2 13 3 2" xfId="16823"/>
    <cellStyle name="Примечание 12 2 13 3 2 2" xfId="30638"/>
    <cellStyle name="Примечание 12 2 13 3 2 3" xfId="40513"/>
    <cellStyle name="Примечание 12 2 13 3 3" xfId="19463"/>
    <cellStyle name="Примечание 12 2 13 3 3 2" xfId="33273"/>
    <cellStyle name="Примечание 12 2 13 3 3 3" xfId="43142"/>
    <cellStyle name="Примечание 12 2 13 3 4" xfId="28001"/>
    <cellStyle name="Примечание 12 2 13 3 5" xfId="37876"/>
    <cellStyle name="Примечание 12 2 13 4" xfId="15675"/>
    <cellStyle name="Примечание 12 2 13 4 2" xfId="29494"/>
    <cellStyle name="Примечание 12 2 13 4 3" xfId="39369"/>
    <cellStyle name="Примечание 12 2 13 5" xfId="25405"/>
    <cellStyle name="Примечание 12 2 13 6" xfId="35280"/>
    <cellStyle name="Примечание 12 2 14" xfId="11797"/>
    <cellStyle name="Примечание 12 2 14 2" xfId="14695"/>
    <cellStyle name="Примечание 12 2 14 2 2" xfId="19978"/>
    <cellStyle name="Примечание 12 2 14 2 2 2" xfId="33788"/>
    <cellStyle name="Примечание 12 2 14 2 2 3" xfId="43656"/>
    <cellStyle name="Примечание 12 2 14 2 3" xfId="28515"/>
    <cellStyle name="Примечание 12 2 14 2 4" xfId="38390"/>
    <cellStyle name="Примечание 12 2 14 3" xfId="14236"/>
    <cellStyle name="Примечание 12 2 14 3 2" xfId="16879"/>
    <cellStyle name="Примечание 12 2 14 3 2 2" xfId="30694"/>
    <cellStyle name="Примечание 12 2 14 3 2 3" xfId="40569"/>
    <cellStyle name="Примечание 12 2 14 3 3" xfId="19519"/>
    <cellStyle name="Примечание 12 2 14 3 3 2" xfId="33329"/>
    <cellStyle name="Примечание 12 2 14 3 3 3" xfId="43198"/>
    <cellStyle name="Примечание 12 2 14 3 4" xfId="28057"/>
    <cellStyle name="Примечание 12 2 14 3 5" xfId="37932"/>
    <cellStyle name="Примечание 12 2 14 4" xfId="15928"/>
    <cellStyle name="Примечание 12 2 14 4 2" xfId="24557"/>
    <cellStyle name="Примечание 12 2 14 4 3" xfId="29747"/>
    <cellStyle name="Примечание 12 2 14 4 4" xfId="39622"/>
    <cellStyle name="Примечание 12 2 14 5" xfId="25671"/>
    <cellStyle name="Примечание 12 2 14 6" xfId="35546"/>
    <cellStyle name="Примечание 12 2 15" xfId="12374"/>
    <cellStyle name="Примечание 12 2 15 2" xfId="17706"/>
    <cellStyle name="Примечание 12 2 15 2 2" xfId="31516"/>
    <cellStyle name="Примечание 12 2 15 2 3" xfId="41389"/>
    <cellStyle name="Примечание 12 2 15 3" xfId="26248"/>
    <cellStyle name="Примечание 12 2 15 4" xfId="36123"/>
    <cellStyle name="Примечание 12 2 16" xfId="13524"/>
    <cellStyle name="Примечание 12 2 16 2" xfId="16222"/>
    <cellStyle name="Примечание 12 2 16 2 2" xfId="30039"/>
    <cellStyle name="Примечание 12 2 16 2 3" xfId="39914"/>
    <cellStyle name="Примечание 12 2 16 3" xfId="18853"/>
    <cellStyle name="Примечание 12 2 16 3 2" xfId="32663"/>
    <cellStyle name="Примечание 12 2 16 3 3" xfId="42534"/>
    <cellStyle name="Примечание 12 2 16 4" xfId="27393"/>
    <cellStyle name="Примечание 12 2 16 5" xfId="37268"/>
    <cellStyle name="Примечание 12 2 17" xfId="13474"/>
    <cellStyle name="Примечание 12 2 17 2" xfId="18803"/>
    <cellStyle name="Примечание 12 2 17 2 2" xfId="32613"/>
    <cellStyle name="Примечание 12 2 17 2 3" xfId="42484"/>
    <cellStyle name="Примечание 12 2 17 3" xfId="27343"/>
    <cellStyle name="Примечание 12 2 17 4" xfId="37218"/>
    <cellStyle name="Примечание 12 2 18" xfId="17375"/>
    <cellStyle name="Примечание 12 2 18 2" xfId="31186"/>
    <cellStyle name="Примечание 12 2 18 3" xfId="41060"/>
    <cellStyle name="Примечание 12 2 19" xfId="24809"/>
    <cellStyle name="Примечание 12 2 2" xfId="2570"/>
    <cellStyle name="Примечание 12 2 2 2" xfId="10759"/>
    <cellStyle name="Примечание 12 2 2 3" xfId="12556"/>
    <cellStyle name="Примечание 12 2 2 3 2" xfId="17888"/>
    <cellStyle name="Примечание 12 2 2 3 2 2" xfId="31698"/>
    <cellStyle name="Примечание 12 2 2 3 2 3" xfId="41571"/>
    <cellStyle name="Примечание 12 2 2 3 3" xfId="26430"/>
    <cellStyle name="Примечание 12 2 2 3 4" xfId="36305"/>
    <cellStyle name="Примечание 12 2 2 4" xfId="13778"/>
    <cellStyle name="Примечание 12 2 2 4 2" xfId="16421"/>
    <cellStyle name="Примечание 12 2 2 4 2 2" xfId="30237"/>
    <cellStyle name="Примечание 12 2 2 4 2 3" xfId="40112"/>
    <cellStyle name="Примечание 12 2 2 4 3" xfId="19061"/>
    <cellStyle name="Примечание 12 2 2 4 3 2" xfId="32871"/>
    <cellStyle name="Примечание 12 2 2 4 3 3" xfId="42741"/>
    <cellStyle name="Примечание 12 2 2 4 4" xfId="27600"/>
    <cellStyle name="Примечание 12 2 2 4 5" xfId="37475"/>
    <cellStyle name="Примечание 12 2 2 5" xfId="15276"/>
    <cellStyle name="Примечание 12 2 2 5 2" xfId="29096"/>
    <cellStyle name="Примечание 12 2 2 5 3" xfId="38971"/>
    <cellStyle name="Примечание 12 2 2 6" xfId="25004"/>
    <cellStyle name="Примечание 12 2 2 7" xfId="34879"/>
    <cellStyle name="Примечание 12 2 20" xfId="34426"/>
    <cellStyle name="Примечание 12 2 21" xfId="34676"/>
    <cellStyle name="Примечание 12 2 3" xfId="2470"/>
    <cellStyle name="Примечание 12 2 3 2" xfId="12475"/>
    <cellStyle name="Примечание 12 2 3 2 2" xfId="17807"/>
    <cellStyle name="Примечание 12 2 3 2 2 2" xfId="31617"/>
    <cellStyle name="Примечание 12 2 3 2 2 3" xfId="41490"/>
    <cellStyle name="Примечание 12 2 3 2 3" xfId="26349"/>
    <cellStyle name="Примечание 12 2 3 2 4" xfId="36224"/>
    <cellStyle name="Примечание 12 2 3 3" xfId="13697"/>
    <cellStyle name="Примечание 12 2 3 3 2" xfId="16340"/>
    <cellStyle name="Примечание 12 2 3 3 2 2" xfId="30156"/>
    <cellStyle name="Примечание 12 2 3 3 2 3" xfId="40031"/>
    <cellStyle name="Примечание 12 2 3 3 3" xfId="18980"/>
    <cellStyle name="Примечание 12 2 3 3 3 2" xfId="32790"/>
    <cellStyle name="Примечание 12 2 3 3 3 3" xfId="42660"/>
    <cellStyle name="Примечание 12 2 3 3 4" xfId="27519"/>
    <cellStyle name="Примечание 12 2 3 3 5" xfId="37394"/>
    <cellStyle name="Примечание 12 2 3 4" xfId="15195"/>
    <cellStyle name="Примечание 12 2 3 4 2" xfId="29015"/>
    <cellStyle name="Примечание 12 2 3 4 3" xfId="38890"/>
    <cellStyle name="Примечание 12 2 3 5" xfId="24923"/>
    <cellStyle name="Примечание 12 2 3 6" xfId="34798"/>
    <cellStyle name="Примечание 12 2 4" xfId="2505"/>
    <cellStyle name="Примечание 12 2 4 2" xfId="12491"/>
    <cellStyle name="Примечание 12 2 4 2 2" xfId="17823"/>
    <cellStyle name="Примечание 12 2 4 2 2 2" xfId="31633"/>
    <cellStyle name="Примечание 12 2 4 2 2 3" xfId="41506"/>
    <cellStyle name="Примечание 12 2 4 2 3" xfId="26365"/>
    <cellStyle name="Примечание 12 2 4 2 4" xfId="36240"/>
    <cellStyle name="Примечание 12 2 4 3" xfId="13713"/>
    <cellStyle name="Примечание 12 2 4 3 2" xfId="16356"/>
    <cellStyle name="Примечание 12 2 4 3 2 2" xfId="30172"/>
    <cellStyle name="Примечание 12 2 4 3 2 3" xfId="40047"/>
    <cellStyle name="Примечание 12 2 4 3 3" xfId="18996"/>
    <cellStyle name="Примечание 12 2 4 3 3 2" xfId="32806"/>
    <cellStyle name="Примечание 12 2 4 3 3 3" xfId="42676"/>
    <cellStyle name="Примечание 12 2 4 3 4" xfId="27535"/>
    <cellStyle name="Примечание 12 2 4 3 5" xfId="37410"/>
    <cellStyle name="Примечание 12 2 4 4" xfId="15211"/>
    <cellStyle name="Примечание 12 2 4 4 2" xfId="29031"/>
    <cellStyle name="Примечание 12 2 4 4 3" xfId="38906"/>
    <cellStyle name="Примечание 12 2 4 5" xfId="24939"/>
    <cellStyle name="Примечание 12 2 4 6" xfId="34814"/>
    <cellStyle name="Примечание 12 2 5" xfId="2421"/>
    <cellStyle name="Примечание 12 2 5 2" xfId="12426"/>
    <cellStyle name="Примечание 12 2 5 2 2" xfId="17758"/>
    <cellStyle name="Примечание 12 2 5 2 2 2" xfId="31568"/>
    <cellStyle name="Примечание 12 2 5 2 2 3" xfId="41441"/>
    <cellStyle name="Примечание 12 2 5 2 3" xfId="26300"/>
    <cellStyle name="Примечание 12 2 5 2 4" xfId="36175"/>
    <cellStyle name="Примечание 12 2 5 3" xfId="13648"/>
    <cellStyle name="Примечание 12 2 5 3 2" xfId="16291"/>
    <cellStyle name="Примечание 12 2 5 3 2 2" xfId="30107"/>
    <cellStyle name="Примечание 12 2 5 3 2 3" xfId="39982"/>
    <cellStyle name="Примечание 12 2 5 3 3" xfId="18931"/>
    <cellStyle name="Примечание 12 2 5 3 3 2" xfId="32741"/>
    <cellStyle name="Примечание 12 2 5 3 3 3" xfId="42611"/>
    <cellStyle name="Примечание 12 2 5 3 4" xfId="27470"/>
    <cellStyle name="Примечание 12 2 5 3 5" xfId="37345"/>
    <cellStyle name="Примечание 12 2 5 4" xfId="15146"/>
    <cellStyle name="Примечание 12 2 5 4 2" xfId="28966"/>
    <cellStyle name="Примечание 12 2 5 4 3" xfId="38841"/>
    <cellStyle name="Примечание 12 2 5 5" xfId="24874"/>
    <cellStyle name="Примечание 12 2 5 6" xfId="34749"/>
    <cellStyle name="Примечание 12 2 6" xfId="2555"/>
    <cellStyle name="Примечание 12 2 6 2" xfId="12541"/>
    <cellStyle name="Примечание 12 2 6 2 2" xfId="17873"/>
    <cellStyle name="Примечание 12 2 6 2 2 2" xfId="31683"/>
    <cellStyle name="Примечание 12 2 6 2 2 3" xfId="41556"/>
    <cellStyle name="Примечание 12 2 6 2 3" xfId="26415"/>
    <cellStyle name="Примечание 12 2 6 2 4" xfId="36290"/>
    <cellStyle name="Примечание 12 2 6 3" xfId="13763"/>
    <cellStyle name="Примечание 12 2 6 3 2" xfId="16406"/>
    <cellStyle name="Примечание 12 2 6 3 2 2" xfId="30222"/>
    <cellStyle name="Примечание 12 2 6 3 2 3" xfId="40097"/>
    <cellStyle name="Примечание 12 2 6 3 3" xfId="19046"/>
    <cellStyle name="Примечание 12 2 6 3 3 2" xfId="32856"/>
    <cellStyle name="Примечание 12 2 6 3 3 3" xfId="42726"/>
    <cellStyle name="Примечание 12 2 6 3 4" xfId="27585"/>
    <cellStyle name="Примечание 12 2 6 3 5" xfId="37460"/>
    <cellStyle name="Примечание 12 2 6 4" xfId="15261"/>
    <cellStyle name="Примечание 12 2 6 4 2" xfId="29081"/>
    <cellStyle name="Примечание 12 2 6 4 3" xfId="38956"/>
    <cellStyle name="Примечание 12 2 6 5" xfId="24989"/>
    <cellStyle name="Примечание 12 2 6 6" xfId="34864"/>
    <cellStyle name="Примечание 12 2 7" xfId="2733"/>
    <cellStyle name="Примечание 12 2 7 2" xfId="12709"/>
    <cellStyle name="Примечание 12 2 7 2 2" xfId="18041"/>
    <cellStyle name="Примечание 12 2 7 2 2 2" xfId="31851"/>
    <cellStyle name="Примечание 12 2 7 2 2 3" xfId="41724"/>
    <cellStyle name="Примечание 12 2 7 2 3" xfId="26583"/>
    <cellStyle name="Примечание 12 2 7 2 4" xfId="36458"/>
    <cellStyle name="Примечание 12 2 7 3" xfId="13932"/>
    <cellStyle name="Примечание 12 2 7 3 2" xfId="16575"/>
    <cellStyle name="Примечание 12 2 7 3 2 2" xfId="30390"/>
    <cellStyle name="Примечание 12 2 7 3 2 3" xfId="40265"/>
    <cellStyle name="Примечание 12 2 7 3 3" xfId="19215"/>
    <cellStyle name="Примечание 12 2 7 3 3 2" xfId="33025"/>
    <cellStyle name="Примечание 12 2 7 3 3 3" xfId="42894"/>
    <cellStyle name="Примечание 12 2 7 3 4" xfId="27753"/>
    <cellStyle name="Примечание 12 2 7 3 5" xfId="37628"/>
    <cellStyle name="Примечание 12 2 7 4" xfId="15430"/>
    <cellStyle name="Примечание 12 2 7 4 2" xfId="29249"/>
    <cellStyle name="Примечание 12 2 7 4 3" xfId="39124"/>
    <cellStyle name="Примечание 12 2 7 5" xfId="25157"/>
    <cellStyle name="Примечание 12 2 7 6" xfId="35032"/>
    <cellStyle name="Примечание 12 2 8" xfId="2655"/>
    <cellStyle name="Примечание 12 2 8 2" xfId="12641"/>
    <cellStyle name="Примечание 12 2 8 2 2" xfId="17973"/>
    <cellStyle name="Примечание 12 2 8 2 2 2" xfId="31783"/>
    <cellStyle name="Примечание 12 2 8 2 2 3" xfId="41656"/>
    <cellStyle name="Примечание 12 2 8 2 3" xfId="26515"/>
    <cellStyle name="Примечание 12 2 8 2 4" xfId="36390"/>
    <cellStyle name="Примечание 12 2 8 3" xfId="13863"/>
    <cellStyle name="Примечание 12 2 8 3 2" xfId="16506"/>
    <cellStyle name="Примечание 12 2 8 3 2 2" xfId="30322"/>
    <cellStyle name="Примечание 12 2 8 3 2 3" xfId="40197"/>
    <cellStyle name="Примечание 12 2 8 3 3" xfId="19146"/>
    <cellStyle name="Примечание 12 2 8 3 3 2" xfId="32956"/>
    <cellStyle name="Примечание 12 2 8 3 3 3" xfId="42826"/>
    <cellStyle name="Примечание 12 2 8 3 4" xfId="27685"/>
    <cellStyle name="Примечание 12 2 8 3 5" xfId="37560"/>
    <cellStyle name="Примечание 12 2 8 4" xfId="15361"/>
    <cellStyle name="Примечание 12 2 8 4 2" xfId="29181"/>
    <cellStyle name="Примечание 12 2 8 4 3" xfId="39056"/>
    <cellStyle name="Примечание 12 2 8 5" xfId="25089"/>
    <cellStyle name="Примечание 12 2 8 6" xfId="34964"/>
    <cellStyle name="Примечание 12 2 9" xfId="2783"/>
    <cellStyle name="Примечание 12 2 9 2" xfId="12758"/>
    <cellStyle name="Примечание 12 2 9 2 2" xfId="18090"/>
    <cellStyle name="Примечание 12 2 9 2 2 2" xfId="31900"/>
    <cellStyle name="Примечание 12 2 9 2 2 3" xfId="41773"/>
    <cellStyle name="Примечание 12 2 9 2 3" xfId="26632"/>
    <cellStyle name="Примечание 12 2 9 2 4" xfId="36507"/>
    <cellStyle name="Примечание 12 2 9 3" xfId="13981"/>
    <cellStyle name="Примечание 12 2 9 3 2" xfId="16624"/>
    <cellStyle name="Примечание 12 2 9 3 2 2" xfId="30439"/>
    <cellStyle name="Примечание 12 2 9 3 2 3" xfId="40314"/>
    <cellStyle name="Примечание 12 2 9 3 3" xfId="19264"/>
    <cellStyle name="Примечание 12 2 9 3 3 2" xfId="33074"/>
    <cellStyle name="Примечание 12 2 9 3 3 3" xfId="42943"/>
    <cellStyle name="Примечание 12 2 9 3 4" xfId="27802"/>
    <cellStyle name="Примечание 12 2 9 3 5" xfId="37677"/>
    <cellStyle name="Примечание 12 2 9 4" xfId="15479"/>
    <cellStyle name="Примечание 12 2 9 4 2" xfId="29298"/>
    <cellStyle name="Примечание 12 2 9 4 3" xfId="39173"/>
    <cellStyle name="Примечание 12 2 9 5" xfId="25206"/>
    <cellStyle name="Примечание 12 2 9 6" xfId="35081"/>
    <cellStyle name="Примечание 12 20" xfId="13473"/>
    <cellStyle name="Примечание 12 20 2" xfId="18802"/>
    <cellStyle name="Примечание 12 20 2 2" xfId="32612"/>
    <cellStyle name="Примечание 12 20 2 3" xfId="42483"/>
    <cellStyle name="Примечание 12 20 3" xfId="27342"/>
    <cellStyle name="Примечание 12 20 4" xfId="37217"/>
    <cellStyle name="Примечание 12 21" xfId="17374"/>
    <cellStyle name="Примечание 12 21 2" xfId="21128"/>
    <cellStyle name="Примечание 12 21 3" xfId="31185"/>
    <cellStyle name="Примечание 12 21 4" xfId="41059"/>
    <cellStyle name="Примечание 12 22" xfId="23888"/>
    <cellStyle name="Примечание 12 23" xfId="24808"/>
    <cellStyle name="Примечание 12 24" xfId="34425"/>
    <cellStyle name="Примечание 12 25" xfId="34675"/>
    <cellStyle name="Примечание 12 3" xfId="2196"/>
    <cellStyle name="Примечание 12 3 10" xfId="2840"/>
    <cellStyle name="Примечание 12 3 10 2" xfId="12812"/>
    <cellStyle name="Примечание 12 3 10 2 2" xfId="18144"/>
    <cellStyle name="Примечание 12 3 10 2 2 2" xfId="31954"/>
    <cellStyle name="Примечание 12 3 10 2 2 3" xfId="41827"/>
    <cellStyle name="Примечание 12 3 10 2 3" xfId="26686"/>
    <cellStyle name="Примечание 12 3 10 2 4" xfId="36561"/>
    <cellStyle name="Примечание 12 3 10 3" xfId="14035"/>
    <cellStyle name="Примечание 12 3 10 3 2" xfId="16678"/>
    <cellStyle name="Примечание 12 3 10 3 2 2" xfId="30493"/>
    <cellStyle name="Примечание 12 3 10 3 2 3" xfId="40368"/>
    <cellStyle name="Примечание 12 3 10 3 3" xfId="19318"/>
    <cellStyle name="Примечание 12 3 10 3 3 2" xfId="33128"/>
    <cellStyle name="Примечание 12 3 10 3 3 3" xfId="42997"/>
    <cellStyle name="Примечание 12 3 10 3 4" xfId="27856"/>
    <cellStyle name="Примечание 12 3 10 3 5" xfId="37731"/>
    <cellStyle name="Примечание 12 3 10 4" xfId="15533"/>
    <cellStyle name="Примечание 12 3 10 4 2" xfId="29352"/>
    <cellStyle name="Примечание 12 3 10 4 3" xfId="39227"/>
    <cellStyle name="Примечание 12 3 10 5" xfId="25260"/>
    <cellStyle name="Примечание 12 3 10 6" xfId="35135"/>
    <cellStyle name="Примечание 12 3 11" xfId="2888"/>
    <cellStyle name="Примечание 12 3 11 2" xfId="12858"/>
    <cellStyle name="Примечание 12 3 11 2 2" xfId="18190"/>
    <cellStyle name="Примечание 12 3 11 2 2 2" xfId="32000"/>
    <cellStyle name="Примечание 12 3 11 2 2 3" xfId="41873"/>
    <cellStyle name="Примечание 12 3 11 2 3" xfId="26732"/>
    <cellStyle name="Примечание 12 3 11 2 4" xfId="36607"/>
    <cellStyle name="Примечание 12 3 11 3" xfId="14081"/>
    <cellStyle name="Примечание 12 3 11 3 2" xfId="16724"/>
    <cellStyle name="Примечание 12 3 11 3 2 2" xfId="30539"/>
    <cellStyle name="Примечание 12 3 11 3 2 3" xfId="40414"/>
    <cellStyle name="Примечание 12 3 11 3 3" xfId="19364"/>
    <cellStyle name="Примечание 12 3 11 3 3 2" xfId="33174"/>
    <cellStyle name="Примечание 12 3 11 3 3 3" xfId="43043"/>
    <cellStyle name="Примечание 12 3 11 3 4" xfId="27902"/>
    <cellStyle name="Примечание 12 3 11 3 5" xfId="37777"/>
    <cellStyle name="Примечание 12 3 11 4" xfId="15579"/>
    <cellStyle name="Примечание 12 3 11 4 2" xfId="29398"/>
    <cellStyle name="Примечание 12 3 11 4 3" xfId="39273"/>
    <cellStyle name="Примечание 12 3 11 5" xfId="25306"/>
    <cellStyle name="Примечание 12 3 11 6" xfId="35181"/>
    <cellStyle name="Примечание 12 3 12" xfId="2942"/>
    <cellStyle name="Примечание 12 3 12 2" xfId="12911"/>
    <cellStyle name="Примечание 12 3 12 2 2" xfId="18243"/>
    <cellStyle name="Примечание 12 3 12 2 2 2" xfId="32053"/>
    <cellStyle name="Примечание 12 3 12 2 2 3" xfId="41926"/>
    <cellStyle name="Примечание 12 3 12 2 3" xfId="26785"/>
    <cellStyle name="Примечание 12 3 12 2 4" xfId="36660"/>
    <cellStyle name="Примечание 12 3 12 3" xfId="14134"/>
    <cellStyle name="Примечание 12 3 12 3 2" xfId="16777"/>
    <cellStyle name="Примечание 12 3 12 3 2 2" xfId="30592"/>
    <cellStyle name="Примечание 12 3 12 3 2 3" xfId="40467"/>
    <cellStyle name="Примечание 12 3 12 3 3" xfId="19417"/>
    <cellStyle name="Примечание 12 3 12 3 3 2" xfId="33227"/>
    <cellStyle name="Примечание 12 3 12 3 3 3" xfId="43096"/>
    <cellStyle name="Примечание 12 3 12 3 4" xfId="27955"/>
    <cellStyle name="Примечание 12 3 12 3 5" xfId="37830"/>
    <cellStyle name="Примечание 12 3 12 4" xfId="15632"/>
    <cellStyle name="Примечание 12 3 12 4 2" xfId="29451"/>
    <cellStyle name="Примечание 12 3 12 4 3" xfId="39326"/>
    <cellStyle name="Примечание 12 3 12 5" xfId="25359"/>
    <cellStyle name="Примечание 12 3 12 6" xfId="35234"/>
    <cellStyle name="Примечание 12 3 13" xfId="2991"/>
    <cellStyle name="Примечание 12 3 13 2" xfId="12958"/>
    <cellStyle name="Примечание 12 3 13 2 2" xfId="18290"/>
    <cellStyle name="Примечание 12 3 13 2 2 2" xfId="32100"/>
    <cellStyle name="Примечание 12 3 13 2 2 3" xfId="41973"/>
    <cellStyle name="Примечание 12 3 13 2 3" xfId="26832"/>
    <cellStyle name="Примечание 12 3 13 2 4" xfId="36707"/>
    <cellStyle name="Примечание 12 3 13 3" xfId="14181"/>
    <cellStyle name="Примечание 12 3 13 3 2" xfId="16824"/>
    <cellStyle name="Примечание 12 3 13 3 2 2" xfId="30639"/>
    <cellStyle name="Примечание 12 3 13 3 2 3" xfId="40514"/>
    <cellStyle name="Примечание 12 3 13 3 3" xfId="19464"/>
    <cellStyle name="Примечание 12 3 13 3 3 2" xfId="33274"/>
    <cellStyle name="Примечание 12 3 13 3 3 3" xfId="43143"/>
    <cellStyle name="Примечание 12 3 13 3 4" xfId="28002"/>
    <cellStyle name="Примечание 12 3 13 3 5" xfId="37877"/>
    <cellStyle name="Примечание 12 3 13 4" xfId="15676"/>
    <cellStyle name="Примечание 12 3 13 4 2" xfId="29495"/>
    <cellStyle name="Примечание 12 3 13 4 3" xfId="39370"/>
    <cellStyle name="Примечание 12 3 13 5" xfId="25406"/>
    <cellStyle name="Примечание 12 3 13 6" xfId="35281"/>
    <cellStyle name="Примечание 12 3 14" xfId="11798"/>
    <cellStyle name="Примечание 12 3 14 2" xfId="14696"/>
    <cellStyle name="Примечание 12 3 14 2 2" xfId="19979"/>
    <cellStyle name="Примечание 12 3 14 2 2 2" xfId="33789"/>
    <cellStyle name="Примечание 12 3 14 2 2 3" xfId="43657"/>
    <cellStyle name="Примечание 12 3 14 2 3" xfId="28516"/>
    <cellStyle name="Примечание 12 3 14 2 4" xfId="38391"/>
    <cellStyle name="Примечание 12 3 14 3" xfId="14237"/>
    <cellStyle name="Примечание 12 3 14 3 2" xfId="16880"/>
    <cellStyle name="Примечание 12 3 14 3 2 2" xfId="30695"/>
    <cellStyle name="Примечание 12 3 14 3 2 3" xfId="40570"/>
    <cellStyle name="Примечание 12 3 14 3 3" xfId="19520"/>
    <cellStyle name="Примечание 12 3 14 3 3 2" xfId="33330"/>
    <cellStyle name="Примечание 12 3 14 3 3 3" xfId="43199"/>
    <cellStyle name="Примечание 12 3 14 3 4" xfId="28058"/>
    <cellStyle name="Примечание 12 3 14 3 5" xfId="37933"/>
    <cellStyle name="Примечание 12 3 14 4" xfId="15929"/>
    <cellStyle name="Примечание 12 3 14 4 2" xfId="24558"/>
    <cellStyle name="Примечание 12 3 14 4 3" xfId="29748"/>
    <cellStyle name="Примечание 12 3 14 4 4" xfId="39623"/>
    <cellStyle name="Примечание 12 3 14 5" xfId="25672"/>
    <cellStyle name="Примечание 12 3 14 6" xfId="35547"/>
    <cellStyle name="Примечание 12 3 15" xfId="12375"/>
    <cellStyle name="Примечание 12 3 15 2" xfId="17707"/>
    <cellStyle name="Примечание 12 3 15 2 2" xfId="31517"/>
    <cellStyle name="Примечание 12 3 15 2 3" xfId="41390"/>
    <cellStyle name="Примечание 12 3 15 3" xfId="26249"/>
    <cellStyle name="Примечание 12 3 15 4" xfId="36124"/>
    <cellStyle name="Примечание 12 3 16" xfId="13525"/>
    <cellStyle name="Примечание 12 3 16 2" xfId="16223"/>
    <cellStyle name="Примечание 12 3 16 2 2" xfId="30040"/>
    <cellStyle name="Примечание 12 3 16 2 3" xfId="39915"/>
    <cellStyle name="Примечание 12 3 16 3" xfId="18854"/>
    <cellStyle name="Примечание 12 3 16 3 2" xfId="32664"/>
    <cellStyle name="Примечание 12 3 16 3 3" xfId="42535"/>
    <cellStyle name="Примечание 12 3 16 4" xfId="27394"/>
    <cellStyle name="Примечание 12 3 16 5" xfId="37269"/>
    <cellStyle name="Примечание 12 3 17" xfId="13475"/>
    <cellStyle name="Примечание 12 3 17 2" xfId="18804"/>
    <cellStyle name="Примечание 12 3 17 2 2" xfId="32614"/>
    <cellStyle name="Примечание 12 3 17 2 3" xfId="42485"/>
    <cellStyle name="Примечание 12 3 17 3" xfId="27344"/>
    <cellStyle name="Примечание 12 3 17 4" xfId="37219"/>
    <cellStyle name="Примечание 12 3 18" xfId="17376"/>
    <cellStyle name="Примечание 12 3 18 2" xfId="31187"/>
    <cellStyle name="Примечание 12 3 18 3" xfId="41061"/>
    <cellStyle name="Примечание 12 3 19" xfId="24810"/>
    <cellStyle name="Примечание 12 3 2" xfId="2571"/>
    <cellStyle name="Примечание 12 3 2 2" xfId="10760"/>
    <cellStyle name="Примечание 12 3 2 3" xfId="12557"/>
    <cellStyle name="Примечание 12 3 2 3 2" xfId="17889"/>
    <cellStyle name="Примечание 12 3 2 3 2 2" xfId="31699"/>
    <cellStyle name="Примечание 12 3 2 3 2 3" xfId="41572"/>
    <cellStyle name="Примечание 12 3 2 3 3" xfId="26431"/>
    <cellStyle name="Примечание 12 3 2 3 4" xfId="36306"/>
    <cellStyle name="Примечание 12 3 2 4" xfId="13779"/>
    <cellStyle name="Примечание 12 3 2 4 2" xfId="16422"/>
    <cellStyle name="Примечание 12 3 2 4 2 2" xfId="30238"/>
    <cellStyle name="Примечание 12 3 2 4 2 3" xfId="40113"/>
    <cellStyle name="Примечание 12 3 2 4 3" xfId="19062"/>
    <cellStyle name="Примечание 12 3 2 4 3 2" xfId="32872"/>
    <cellStyle name="Примечание 12 3 2 4 3 3" xfId="42742"/>
    <cellStyle name="Примечание 12 3 2 4 4" xfId="27601"/>
    <cellStyle name="Примечание 12 3 2 4 5" xfId="37476"/>
    <cellStyle name="Примечание 12 3 2 5" xfId="15277"/>
    <cellStyle name="Примечание 12 3 2 5 2" xfId="29097"/>
    <cellStyle name="Примечание 12 3 2 5 3" xfId="38972"/>
    <cellStyle name="Примечание 12 3 2 6" xfId="25005"/>
    <cellStyle name="Примечание 12 3 2 7" xfId="34880"/>
    <cellStyle name="Примечание 12 3 20" xfId="34427"/>
    <cellStyle name="Примечание 12 3 21" xfId="34677"/>
    <cellStyle name="Примечание 12 3 3" xfId="2469"/>
    <cellStyle name="Примечание 12 3 3 2" xfId="12474"/>
    <cellStyle name="Примечание 12 3 3 2 2" xfId="17806"/>
    <cellStyle name="Примечание 12 3 3 2 2 2" xfId="31616"/>
    <cellStyle name="Примечание 12 3 3 2 2 3" xfId="41489"/>
    <cellStyle name="Примечание 12 3 3 2 3" xfId="26348"/>
    <cellStyle name="Примечание 12 3 3 2 4" xfId="36223"/>
    <cellStyle name="Примечание 12 3 3 3" xfId="13696"/>
    <cellStyle name="Примечание 12 3 3 3 2" xfId="16339"/>
    <cellStyle name="Примечание 12 3 3 3 2 2" xfId="30155"/>
    <cellStyle name="Примечание 12 3 3 3 2 3" xfId="40030"/>
    <cellStyle name="Примечание 12 3 3 3 3" xfId="18979"/>
    <cellStyle name="Примечание 12 3 3 3 3 2" xfId="32789"/>
    <cellStyle name="Примечание 12 3 3 3 3 3" xfId="42659"/>
    <cellStyle name="Примечание 12 3 3 3 4" xfId="27518"/>
    <cellStyle name="Примечание 12 3 3 3 5" xfId="37393"/>
    <cellStyle name="Примечание 12 3 3 4" xfId="15194"/>
    <cellStyle name="Примечание 12 3 3 4 2" xfId="29014"/>
    <cellStyle name="Примечание 12 3 3 4 3" xfId="38889"/>
    <cellStyle name="Примечание 12 3 3 5" xfId="24922"/>
    <cellStyle name="Примечание 12 3 3 6" xfId="34797"/>
    <cellStyle name="Примечание 12 3 4" xfId="2506"/>
    <cellStyle name="Примечание 12 3 4 2" xfId="12492"/>
    <cellStyle name="Примечание 12 3 4 2 2" xfId="17824"/>
    <cellStyle name="Примечание 12 3 4 2 2 2" xfId="31634"/>
    <cellStyle name="Примечание 12 3 4 2 2 3" xfId="41507"/>
    <cellStyle name="Примечание 12 3 4 2 3" xfId="26366"/>
    <cellStyle name="Примечание 12 3 4 2 4" xfId="36241"/>
    <cellStyle name="Примечание 12 3 4 3" xfId="13714"/>
    <cellStyle name="Примечание 12 3 4 3 2" xfId="16357"/>
    <cellStyle name="Примечание 12 3 4 3 2 2" xfId="30173"/>
    <cellStyle name="Примечание 12 3 4 3 2 3" xfId="40048"/>
    <cellStyle name="Примечание 12 3 4 3 3" xfId="18997"/>
    <cellStyle name="Примечание 12 3 4 3 3 2" xfId="32807"/>
    <cellStyle name="Примечание 12 3 4 3 3 3" xfId="42677"/>
    <cellStyle name="Примечание 12 3 4 3 4" xfId="27536"/>
    <cellStyle name="Примечание 12 3 4 3 5" xfId="37411"/>
    <cellStyle name="Примечание 12 3 4 4" xfId="15212"/>
    <cellStyle name="Примечание 12 3 4 4 2" xfId="29032"/>
    <cellStyle name="Примечание 12 3 4 4 3" xfId="38907"/>
    <cellStyle name="Примечание 12 3 4 5" xfId="24940"/>
    <cellStyle name="Примечание 12 3 4 6" xfId="34815"/>
    <cellStyle name="Примечание 12 3 5" xfId="2420"/>
    <cellStyle name="Примечание 12 3 5 2" xfId="12425"/>
    <cellStyle name="Примечание 12 3 5 2 2" xfId="17757"/>
    <cellStyle name="Примечание 12 3 5 2 2 2" xfId="31567"/>
    <cellStyle name="Примечание 12 3 5 2 2 3" xfId="41440"/>
    <cellStyle name="Примечание 12 3 5 2 3" xfId="26299"/>
    <cellStyle name="Примечание 12 3 5 2 4" xfId="36174"/>
    <cellStyle name="Примечание 12 3 5 3" xfId="13647"/>
    <cellStyle name="Примечание 12 3 5 3 2" xfId="16290"/>
    <cellStyle name="Примечание 12 3 5 3 2 2" xfId="30106"/>
    <cellStyle name="Примечание 12 3 5 3 2 3" xfId="39981"/>
    <cellStyle name="Примечание 12 3 5 3 3" xfId="18930"/>
    <cellStyle name="Примечание 12 3 5 3 3 2" xfId="32740"/>
    <cellStyle name="Примечание 12 3 5 3 3 3" xfId="42610"/>
    <cellStyle name="Примечание 12 3 5 3 4" xfId="27469"/>
    <cellStyle name="Примечание 12 3 5 3 5" xfId="37344"/>
    <cellStyle name="Примечание 12 3 5 4" xfId="15145"/>
    <cellStyle name="Примечание 12 3 5 4 2" xfId="28965"/>
    <cellStyle name="Примечание 12 3 5 4 3" xfId="38840"/>
    <cellStyle name="Примечание 12 3 5 5" xfId="24873"/>
    <cellStyle name="Примечание 12 3 5 6" xfId="34748"/>
    <cellStyle name="Примечание 12 3 6" xfId="2556"/>
    <cellStyle name="Примечание 12 3 6 2" xfId="12542"/>
    <cellStyle name="Примечание 12 3 6 2 2" xfId="17874"/>
    <cellStyle name="Примечание 12 3 6 2 2 2" xfId="31684"/>
    <cellStyle name="Примечание 12 3 6 2 2 3" xfId="41557"/>
    <cellStyle name="Примечание 12 3 6 2 3" xfId="26416"/>
    <cellStyle name="Примечание 12 3 6 2 4" xfId="36291"/>
    <cellStyle name="Примечание 12 3 6 3" xfId="13764"/>
    <cellStyle name="Примечание 12 3 6 3 2" xfId="16407"/>
    <cellStyle name="Примечание 12 3 6 3 2 2" xfId="30223"/>
    <cellStyle name="Примечание 12 3 6 3 2 3" xfId="40098"/>
    <cellStyle name="Примечание 12 3 6 3 3" xfId="19047"/>
    <cellStyle name="Примечание 12 3 6 3 3 2" xfId="32857"/>
    <cellStyle name="Примечание 12 3 6 3 3 3" xfId="42727"/>
    <cellStyle name="Примечание 12 3 6 3 4" xfId="27586"/>
    <cellStyle name="Примечание 12 3 6 3 5" xfId="37461"/>
    <cellStyle name="Примечание 12 3 6 4" xfId="15262"/>
    <cellStyle name="Примечание 12 3 6 4 2" xfId="29082"/>
    <cellStyle name="Примечание 12 3 6 4 3" xfId="38957"/>
    <cellStyle name="Примечание 12 3 6 5" xfId="24990"/>
    <cellStyle name="Примечание 12 3 6 6" xfId="34865"/>
    <cellStyle name="Примечание 12 3 7" xfId="2734"/>
    <cellStyle name="Примечание 12 3 7 2" xfId="12710"/>
    <cellStyle name="Примечание 12 3 7 2 2" xfId="18042"/>
    <cellStyle name="Примечание 12 3 7 2 2 2" xfId="31852"/>
    <cellStyle name="Примечание 12 3 7 2 2 3" xfId="41725"/>
    <cellStyle name="Примечание 12 3 7 2 3" xfId="26584"/>
    <cellStyle name="Примечание 12 3 7 2 4" xfId="36459"/>
    <cellStyle name="Примечание 12 3 7 3" xfId="13933"/>
    <cellStyle name="Примечание 12 3 7 3 2" xfId="16576"/>
    <cellStyle name="Примечание 12 3 7 3 2 2" xfId="30391"/>
    <cellStyle name="Примечание 12 3 7 3 2 3" xfId="40266"/>
    <cellStyle name="Примечание 12 3 7 3 3" xfId="19216"/>
    <cellStyle name="Примечание 12 3 7 3 3 2" xfId="33026"/>
    <cellStyle name="Примечание 12 3 7 3 3 3" xfId="42895"/>
    <cellStyle name="Примечание 12 3 7 3 4" xfId="27754"/>
    <cellStyle name="Примечание 12 3 7 3 5" xfId="37629"/>
    <cellStyle name="Примечание 12 3 7 4" xfId="15431"/>
    <cellStyle name="Примечание 12 3 7 4 2" xfId="29250"/>
    <cellStyle name="Примечание 12 3 7 4 3" xfId="39125"/>
    <cellStyle name="Примечание 12 3 7 5" xfId="25158"/>
    <cellStyle name="Примечание 12 3 7 6" xfId="35033"/>
    <cellStyle name="Примечание 12 3 8" xfId="2656"/>
    <cellStyle name="Примечание 12 3 8 2" xfId="12642"/>
    <cellStyle name="Примечание 12 3 8 2 2" xfId="17974"/>
    <cellStyle name="Примечание 12 3 8 2 2 2" xfId="31784"/>
    <cellStyle name="Примечание 12 3 8 2 2 3" xfId="41657"/>
    <cellStyle name="Примечание 12 3 8 2 3" xfId="26516"/>
    <cellStyle name="Примечание 12 3 8 2 4" xfId="36391"/>
    <cellStyle name="Примечание 12 3 8 3" xfId="13864"/>
    <cellStyle name="Примечание 12 3 8 3 2" xfId="16507"/>
    <cellStyle name="Примечание 12 3 8 3 2 2" xfId="30323"/>
    <cellStyle name="Примечание 12 3 8 3 2 3" xfId="40198"/>
    <cellStyle name="Примечание 12 3 8 3 3" xfId="19147"/>
    <cellStyle name="Примечание 12 3 8 3 3 2" xfId="32957"/>
    <cellStyle name="Примечание 12 3 8 3 3 3" xfId="42827"/>
    <cellStyle name="Примечание 12 3 8 3 4" xfId="27686"/>
    <cellStyle name="Примечание 12 3 8 3 5" xfId="37561"/>
    <cellStyle name="Примечание 12 3 8 4" xfId="15362"/>
    <cellStyle name="Примечание 12 3 8 4 2" xfId="29182"/>
    <cellStyle name="Примечание 12 3 8 4 3" xfId="39057"/>
    <cellStyle name="Примечание 12 3 8 5" xfId="25090"/>
    <cellStyle name="Примечание 12 3 8 6" xfId="34965"/>
    <cellStyle name="Примечание 12 3 9" xfId="2784"/>
    <cellStyle name="Примечание 12 3 9 2" xfId="12759"/>
    <cellStyle name="Примечание 12 3 9 2 2" xfId="18091"/>
    <cellStyle name="Примечание 12 3 9 2 2 2" xfId="31901"/>
    <cellStyle name="Примечание 12 3 9 2 2 3" xfId="41774"/>
    <cellStyle name="Примечание 12 3 9 2 3" xfId="26633"/>
    <cellStyle name="Примечание 12 3 9 2 4" xfId="36508"/>
    <cellStyle name="Примечание 12 3 9 3" xfId="13982"/>
    <cellStyle name="Примечание 12 3 9 3 2" xfId="16625"/>
    <cellStyle name="Примечание 12 3 9 3 2 2" xfId="30440"/>
    <cellStyle name="Примечание 12 3 9 3 2 3" xfId="40315"/>
    <cellStyle name="Примечание 12 3 9 3 3" xfId="19265"/>
    <cellStyle name="Примечание 12 3 9 3 3 2" xfId="33075"/>
    <cellStyle name="Примечание 12 3 9 3 3 3" xfId="42944"/>
    <cellStyle name="Примечание 12 3 9 3 4" xfId="27803"/>
    <cellStyle name="Примечание 12 3 9 3 5" xfId="37678"/>
    <cellStyle name="Примечание 12 3 9 4" xfId="15480"/>
    <cellStyle name="Примечание 12 3 9 4 2" xfId="29299"/>
    <cellStyle name="Примечание 12 3 9 4 3" xfId="39174"/>
    <cellStyle name="Примечание 12 3 9 5" xfId="25207"/>
    <cellStyle name="Примечание 12 3 9 6" xfId="35082"/>
    <cellStyle name="Примечание 12 4" xfId="2569"/>
    <cellStyle name="Примечание 12 4 2" xfId="10753"/>
    <cellStyle name="Примечание 12 4 3" xfId="12555"/>
    <cellStyle name="Примечание 12 4 3 2" xfId="17887"/>
    <cellStyle name="Примечание 12 4 3 2 2" xfId="31697"/>
    <cellStyle name="Примечание 12 4 3 2 3" xfId="41570"/>
    <cellStyle name="Примечание 12 4 3 3" xfId="26429"/>
    <cellStyle name="Примечание 12 4 3 4" xfId="36304"/>
    <cellStyle name="Примечание 12 4 4" xfId="13777"/>
    <cellStyle name="Примечание 12 4 4 2" xfId="16420"/>
    <cellStyle name="Примечание 12 4 4 2 2" xfId="30236"/>
    <cellStyle name="Примечание 12 4 4 2 3" xfId="40111"/>
    <cellStyle name="Примечание 12 4 4 3" xfId="19060"/>
    <cellStyle name="Примечание 12 4 4 3 2" xfId="32870"/>
    <cellStyle name="Примечание 12 4 4 3 3" xfId="42740"/>
    <cellStyle name="Примечание 12 4 4 4" xfId="27599"/>
    <cellStyle name="Примечание 12 4 4 5" xfId="37474"/>
    <cellStyle name="Примечание 12 4 5" xfId="15275"/>
    <cellStyle name="Примечание 12 4 5 2" xfId="29095"/>
    <cellStyle name="Примечание 12 4 5 3" xfId="38970"/>
    <cellStyle name="Примечание 12 4 6" xfId="25003"/>
    <cellStyle name="Примечание 12 4 7" xfId="34878"/>
    <cellStyle name="Примечание 12 5" xfId="2471"/>
    <cellStyle name="Примечание 12 5 2" xfId="10761"/>
    <cellStyle name="Примечание 12 5 3" xfId="12476"/>
    <cellStyle name="Примечание 12 5 3 2" xfId="17808"/>
    <cellStyle name="Примечание 12 5 3 2 2" xfId="31618"/>
    <cellStyle name="Примечание 12 5 3 2 3" xfId="41491"/>
    <cellStyle name="Примечание 12 5 3 3" xfId="26350"/>
    <cellStyle name="Примечание 12 5 3 4" xfId="36225"/>
    <cellStyle name="Примечание 12 5 4" xfId="13698"/>
    <cellStyle name="Примечание 12 5 4 2" xfId="16341"/>
    <cellStyle name="Примечание 12 5 4 2 2" xfId="30157"/>
    <cellStyle name="Примечание 12 5 4 2 3" xfId="40032"/>
    <cellStyle name="Примечание 12 5 4 3" xfId="18981"/>
    <cellStyle name="Примечание 12 5 4 3 2" xfId="32791"/>
    <cellStyle name="Примечание 12 5 4 3 3" xfId="42661"/>
    <cellStyle name="Примечание 12 5 4 4" xfId="27520"/>
    <cellStyle name="Примечание 12 5 4 5" xfId="37395"/>
    <cellStyle name="Примечание 12 5 5" xfId="15196"/>
    <cellStyle name="Примечание 12 5 5 2" xfId="29016"/>
    <cellStyle name="Примечание 12 5 5 3" xfId="38891"/>
    <cellStyle name="Примечание 12 5 6" xfId="24924"/>
    <cellStyle name="Примечание 12 5 7" xfId="34799"/>
    <cellStyle name="Примечание 12 6" xfId="2504"/>
    <cellStyle name="Примечание 12 6 2" xfId="10762"/>
    <cellStyle name="Примечание 12 6 3" xfId="12490"/>
    <cellStyle name="Примечание 12 6 3 2" xfId="17822"/>
    <cellStyle name="Примечание 12 6 3 2 2" xfId="31632"/>
    <cellStyle name="Примечание 12 6 3 2 3" xfId="41505"/>
    <cellStyle name="Примечание 12 6 3 3" xfId="26364"/>
    <cellStyle name="Примечание 12 6 3 4" xfId="36239"/>
    <cellStyle name="Примечание 12 6 4" xfId="13712"/>
    <cellStyle name="Примечание 12 6 4 2" xfId="16355"/>
    <cellStyle name="Примечание 12 6 4 2 2" xfId="30171"/>
    <cellStyle name="Примечание 12 6 4 2 3" xfId="40046"/>
    <cellStyle name="Примечание 12 6 4 3" xfId="18995"/>
    <cellStyle name="Примечание 12 6 4 3 2" xfId="32805"/>
    <cellStyle name="Примечание 12 6 4 3 3" xfId="42675"/>
    <cellStyle name="Примечание 12 6 4 4" xfId="27534"/>
    <cellStyle name="Примечание 12 6 4 5" xfId="37409"/>
    <cellStyle name="Примечание 12 6 5" xfId="15210"/>
    <cellStyle name="Примечание 12 6 5 2" xfId="29030"/>
    <cellStyle name="Примечание 12 6 5 3" xfId="38905"/>
    <cellStyle name="Примечание 12 6 6" xfId="24938"/>
    <cellStyle name="Примечание 12 6 7" xfId="34813"/>
    <cellStyle name="Примечание 12 7" xfId="2422"/>
    <cellStyle name="Примечание 12 7 2" xfId="10763"/>
    <cellStyle name="Примечание 12 7 3" xfId="12427"/>
    <cellStyle name="Примечание 12 7 3 2" xfId="17759"/>
    <cellStyle name="Примечание 12 7 3 2 2" xfId="31569"/>
    <cellStyle name="Примечание 12 7 3 2 3" xfId="41442"/>
    <cellStyle name="Примечание 12 7 3 3" xfId="26301"/>
    <cellStyle name="Примечание 12 7 3 4" xfId="36176"/>
    <cellStyle name="Примечание 12 7 4" xfId="13649"/>
    <cellStyle name="Примечание 12 7 4 2" xfId="16292"/>
    <cellStyle name="Примечание 12 7 4 2 2" xfId="30108"/>
    <cellStyle name="Примечание 12 7 4 2 3" xfId="39983"/>
    <cellStyle name="Примечание 12 7 4 3" xfId="18932"/>
    <cellStyle name="Примечание 12 7 4 3 2" xfId="32742"/>
    <cellStyle name="Примечание 12 7 4 3 3" xfId="42612"/>
    <cellStyle name="Примечание 12 7 4 4" xfId="27471"/>
    <cellStyle name="Примечание 12 7 4 5" xfId="37346"/>
    <cellStyle name="Примечание 12 7 5" xfId="15147"/>
    <cellStyle name="Примечание 12 7 5 2" xfId="28967"/>
    <cellStyle name="Примечание 12 7 5 3" xfId="38842"/>
    <cellStyle name="Примечание 12 7 6" xfId="24875"/>
    <cellStyle name="Примечание 12 7 7" xfId="34750"/>
    <cellStyle name="Примечание 12 8" xfId="2554"/>
    <cellStyle name="Примечание 12 8 2" xfId="10764"/>
    <cellStyle name="Примечание 12 8 3" xfId="12540"/>
    <cellStyle name="Примечание 12 8 3 2" xfId="17872"/>
    <cellStyle name="Примечание 12 8 3 2 2" xfId="31682"/>
    <cellStyle name="Примечание 12 8 3 2 3" xfId="41555"/>
    <cellStyle name="Примечание 12 8 3 3" xfId="26414"/>
    <cellStyle name="Примечание 12 8 3 4" xfId="36289"/>
    <cellStyle name="Примечание 12 8 4" xfId="13762"/>
    <cellStyle name="Примечание 12 8 4 2" xfId="16405"/>
    <cellStyle name="Примечание 12 8 4 2 2" xfId="30221"/>
    <cellStyle name="Примечание 12 8 4 2 3" xfId="40096"/>
    <cellStyle name="Примечание 12 8 4 3" xfId="19045"/>
    <cellStyle name="Примечание 12 8 4 3 2" xfId="32855"/>
    <cellStyle name="Примечание 12 8 4 3 3" xfId="42725"/>
    <cellStyle name="Примечание 12 8 4 4" xfId="27584"/>
    <cellStyle name="Примечание 12 8 4 5" xfId="37459"/>
    <cellStyle name="Примечание 12 8 5" xfId="15260"/>
    <cellStyle name="Примечание 12 8 5 2" xfId="29080"/>
    <cellStyle name="Примечание 12 8 5 3" xfId="38955"/>
    <cellStyle name="Примечание 12 8 6" xfId="24988"/>
    <cellStyle name="Примечание 12 8 7" xfId="34863"/>
    <cellStyle name="Примечание 12 9" xfId="2732"/>
    <cellStyle name="Примечание 12 9 2" xfId="10765"/>
    <cellStyle name="Примечание 12 9 3" xfId="12708"/>
    <cellStyle name="Примечание 12 9 3 2" xfId="18040"/>
    <cellStyle name="Примечание 12 9 3 2 2" xfId="31850"/>
    <cellStyle name="Примечание 12 9 3 2 3" xfId="41723"/>
    <cellStyle name="Примечание 12 9 3 3" xfId="26582"/>
    <cellStyle name="Примечание 12 9 3 4" xfId="36457"/>
    <cellStyle name="Примечание 12 9 4" xfId="13931"/>
    <cellStyle name="Примечание 12 9 4 2" xfId="16574"/>
    <cellStyle name="Примечание 12 9 4 2 2" xfId="30389"/>
    <cellStyle name="Примечание 12 9 4 2 3" xfId="40264"/>
    <cellStyle name="Примечание 12 9 4 3" xfId="19214"/>
    <cellStyle name="Примечание 12 9 4 3 2" xfId="33024"/>
    <cellStyle name="Примечание 12 9 4 3 3" xfId="42893"/>
    <cellStyle name="Примечание 12 9 4 4" xfId="27752"/>
    <cellStyle name="Примечание 12 9 4 5" xfId="37627"/>
    <cellStyle name="Примечание 12 9 5" xfId="15429"/>
    <cellStyle name="Примечание 12 9 5 2" xfId="29248"/>
    <cellStyle name="Примечание 12 9 5 3" xfId="39123"/>
    <cellStyle name="Примечание 12 9 6" xfId="25156"/>
    <cellStyle name="Примечание 12 9 7" xfId="35031"/>
    <cellStyle name="Примечание 13" xfId="2197"/>
    <cellStyle name="Примечание 13 10" xfId="2657"/>
    <cellStyle name="Примечание 13 10 2" xfId="10767"/>
    <cellStyle name="Примечание 13 10 3" xfId="12643"/>
    <cellStyle name="Примечание 13 10 3 2" xfId="17975"/>
    <cellStyle name="Примечание 13 10 3 2 2" xfId="31785"/>
    <cellStyle name="Примечание 13 10 3 2 3" xfId="41658"/>
    <cellStyle name="Примечание 13 10 3 3" xfId="26517"/>
    <cellStyle name="Примечание 13 10 3 4" xfId="36392"/>
    <cellStyle name="Примечание 13 10 4" xfId="13865"/>
    <cellStyle name="Примечание 13 10 4 2" xfId="16508"/>
    <cellStyle name="Примечание 13 10 4 2 2" xfId="30324"/>
    <cellStyle name="Примечание 13 10 4 2 3" xfId="40199"/>
    <cellStyle name="Примечание 13 10 4 3" xfId="19148"/>
    <cellStyle name="Примечание 13 10 4 3 2" xfId="32958"/>
    <cellStyle name="Примечание 13 10 4 3 3" xfId="42828"/>
    <cellStyle name="Примечание 13 10 4 4" xfId="27687"/>
    <cellStyle name="Примечание 13 10 4 5" xfId="37562"/>
    <cellStyle name="Примечание 13 10 5" xfId="15363"/>
    <cellStyle name="Примечание 13 10 5 2" xfId="29183"/>
    <cellStyle name="Примечание 13 10 5 3" xfId="39058"/>
    <cellStyle name="Примечание 13 10 6" xfId="25091"/>
    <cellStyle name="Примечание 13 10 7" xfId="34966"/>
    <cellStyle name="Примечание 13 11" xfId="2785"/>
    <cellStyle name="Примечание 13 11 2" xfId="10768"/>
    <cellStyle name="Примечание 13 11 3" xfId="12760"/>
    <cellStyle name="Примечание 13 11 3 2" xfId="18092"/>
    <cellStyle name="Примечание 13 11 3 2 2" xfId="31902"/>
    <cellStyle name="Примечание 13 11 3 2 3" xfId="41775"/>
    <cellStyle name="Примечание 13 11 3 3" xfId="26634"/>
    <cellStyle name="Примечание 13 11 3 4" xfId="36509"/>
    <cellStyle name="Примечание 13 11 4" xfId="13983"/>
    <cellStyle name="Примечание 13 11 4 2" xfId="16626"/>
    <cellStyle name="Примечание 13 11 4 2 2" xfId="30441"/>
    <cellStyle name="Примечание 13 11 4 2 3" xfId="40316"/>
    <cellStyle name="Примечание 13 11 4 3" xfId="19266"/>
    <cellStyle name="Примечание 13 11 4 3 2" xfId="33076"/>
    <cellStyle name="Примечание 13 11 4 3 3" xfId="42945"/>
    <cellStyle name="Примечание 13 11 4 4" xfId="27804"/>
    <cellStyle name="Примечание 13 11 4 5" xfId="37679"/>
    <cellStyle name="Примечание 13 11 5" xfId="15481"/>
    <cellStyle name="Примечание 13 11 5 2" xfId="29300"/>
    <cellStyle name="Примечание 13 11 5 3" xfId="39175"/>
    <cellStyle name="Примечание 13 11 6" xfId="25208"/>
    <cellStyle name="Примечание 13 11 7" xfId="35083"/>
    <cellStyle name="Примечание 13 12" xfId="2841"/>
    <cellStyle name="Примечание 13 12 2" xfId="10769"/>
    <cellStyle name="Примечание 13 12 3" xfId="12813"/>
    <cellStyle name="Примечание 13 12 3 2" xfId="18145"/>
    <cellStyle name="Примечание 13 12 3 2 2" xfId="31955"/>
    <cellStyle name="Примечание 13 12 3 2 3" xfId="41828"/>
    <cellStyle name="Примечание 13 12 3 3" xfId="26687"/>
    <cellStyle name="Примечание 13 12 3 4" xfId="36562"/>
    <cellStyle name="Примечание 13 12 4" xfId="14036"/>
    <cellStyle name="Примечание 13 12 4 2" xfId="16679"/>
    <cellStyle name="Примечание 13 12 4 2 2" xfId="30494"/>
    <cellStyle name="Примечание 13 12 4 2 3" xfId="40369"/>
    <cellStyle name="Примечание 13 12 4 3" xfId="19319"/>
    <cellStyle name="Примечание 13 12 4 3 2" xfId="33129"/>
    <cellStyle name="Примечание 13 12 4 3 3" xfId="42998"/>
    <cellStyle name="Примечание 13 12 4 4" xfId="27857"/>
    <cellStyle name="Примечание 13 12 4 5" xfId="37732"/>
    <cellStyle name="Примечание 13 12 5" xfId="15534"/>
    <cellStyle name="Примечание 13 12 5 2" xfId="29353"/>
    <cellStyle name="Примечание 13 12 5 3" xfId="39228"/>
    <cellStyle name="Примечание 13 12 6" xfId="25261"/>
    <cellStyle name="Примечание 13 12 7" xfId="35136"/>
    <cellStyle name="Примечание 13 13" xfId="2889"/>
    <cellStyle name="Примечание 13 13 2" xfId="10770"/>
    <cellStyle name="Примечание 13 13 3" xfId="12859"/>
    <cellStyle name="Примечание 13 13 3 2" xfId="18191"/>
    <cellStyle name="Примечание 13 13 3 2 2" xfId="32001"/>
    <cellStyle name="Примечание 13 13 3 2 3" xfId="41874"/>
    <cellStyle name="Примечание 13 13 3 3" xfId="26733"/>
    <cellStyle name="Примечание 13 13 3 4" xfId="36608"/>
    <cellStyle name="Примечание 13 13 4" xfId="14082"/>
    <cellStyle name="Примечание 13 13 4 2" xfId="16725"/>
    <cellStyle name="Примечание 13 13 4 2 2" xfId="30540"/>
    <cellStyle name="Примечание 13 13 4 2 3" xfId="40415"/>
    <cellStyle name="Примечание 13 13 4 3" xfId="19365"/>
    <cellStyle name="Примечание 13 13 4 3 2" xfId="33175"/>
    <cellStyle name="Примечание 13 13 4 3 3" xfId="43044"/>
    <cellStyle name="Примечание 13 13 4 4" xfId="27903"/>
    <cellStyle name="Примечание 13 13 4 5" xfId="37778"/>
    <cellStyle name="Примечание 13 13 5" xfId="15580"/>
    <cellStyle name="Примечание 13 13 5 2" xfId="29399"/>
    <cellStyle name="Примечание 13 13 5 3" xfId="39274"/>
    <cellStyle name="Примечание 13 13 6" xfId="25307"/>
    <cellStyle name="Примечание 13 13 7" xfId="35182"/>
    <cellStyle name="Примечание 13 14" xfId="2943"/>
    <cellStyle name="Примечание 13 14 2" xfId="10771"/>
    <cellStyle name="Примечание 13 14 3" xfId="12912"/>
    <cellStyle name="Примечание 13 14 3 2" xfId="18244"/>
    <cellStyle name="Примечание 13 14 3 2 2" xfId="32054"/>
    <cellStyle name="Примечание 13 14 3 2 3" xfId="41927"/>
    <cellStyle name="Примечание 13 14 3 3" xfId="26786"/>
    <cellStyle name="Примечание 13 14 3 4" xfId="36661"/>
    <cellStyle name="Примечание 13 14 4" xfId="14135"/>
    <cellStyle name="Примечание 13 14 4 2" xfId="16778"/>
    <cellStyle name="Примечание 13 14 4 2 2" xfId="30593"/>
    <cellStyle name="Примечание 13 14 4 2 3" xfId="40468"/>
    <cellStyle name="Примечание 13 14 4 3" xfId="19418"/>
    <cellStyle name="Примечание 13 14 4 3 2" xfId="33228"/>
    <cellStyle name="Примечание 13 14 4 3 3" xfId="43097"/>
    <cellStyle name="Примечание 13 14 4 4" xfId="27956"/>
    <cellStyle name="Примечание 13 14 4 5" xfId="37831"/>
    <cellStyle name="Примечание 13 14 5" xfId="15633"/>
    <cellStyle name="Примечание 13 14 5 2" xfId="29452"/>
    <cellStyle name="Примечание 13 14 5 3" xfId="39327"/>
    <cellStyle name="Примечание 13 14 6" xfId="25360"/>
    <cellStyle name="Примечание 13 14 7" xfId="35235"/>
    <cellStyle name="Примечание 13 15" xfId="2992"/>
    <cellStyle name="Примечание 13 15 2" xfId="12053"/>
    <cellStyle name="Примечание 13 15 2 2" xfId="14951"/>
    <cellStyle name="Примечание 13 15 2 2 2" xfId="20234"/>
    <cellStyle name="Примечание 13 15 2 2 2 2" xfId="23217"/>
    <cellStyle name="Примечание 13 15 2 2 2 3" xfId="34044"/>
    <cellStyle name="Примечание 13 15 2 2 2 4" xfId="43912"/>
    <cellStyle name="Примечание 13 15 2 2 3" xfId="23505"/>
    <cellStyle name="Примечание 13 15 2 2 4" xfId="28771"/>
    <cellStyle name="Примечание 13 15 2 2 5" xfId="38646"/>
    <cellStyle name="Примечание 13 15 2 3" xfId="14396"/>
    <cellStyle name="Примечание 13 15 2 3 2" xfId="16909"/>
    <cellStyle name="Примечание 13 15 2 3 2 2" xfId="30724"/>
    <cellStyle name="Примечание 13 15 2 3 2 3" xfId="40599"/>
    <cellStyle name="Примечание 13 15 2 3 3" xfId="19679"/>
    <cellStyle name="Примечание 13 15 2 3 3 2" xfId="33489"/>
    <cellStyle name="Примечание 13 15 2 3 3 3" xfId="43358"/>
    <cellStyle name="Примечание 13 15 2 3 4" xfId="28217"/>
    <cellStyle name="Примечание 13 15 2 3 5" xfId="38092"/>
    <cellStyle name="Примечание 13 15 2 4" xfId="15976"/>
    <cellStyle name="Примечание 13 15 2 4 2" xfId="21832"/>
    <cellStyle name="Примечание 13 15 2 4 3" xfId="29795"/>
    <cellStyle name="Примечание 13 15 2 4 4" xfId="39670"/>
    <cellStyle name="Примечание 13 15 2 5" xfId="24129"/>
    <cellStyle name="Примечание 13 15 2 6" xfId="25927"/>
    <cellStyle name="Примечание 13 15 2 7" xfId="35802"/>
    <cellStyle name="Примечание 13 15 3" xfId="12959"/>
    <cellStyle name="Примечание 13 15 3 2" xfId="18291"/>
    <cellStyle name="Примечание 13 15 3 2 2" xfId="32101"/>
    <cellStyle name="Примечание 13 15 3 2 3" xfId="41974"/>
    <cellStyle name="Примечание 13 15 3 3" xfId="23489"/>
    <cellStyle name="Примечание 13 15 3 4" xfId="26833"/>
    <cellStyle name="Примечание 13 15 3 5" xfId="36708"/>
    <cellStyle name="Примечание 13 15 4" xfId="14182"/>
    <cellStyle name="Примечание 13 15 4 2" xfId="16825"/>
    <cellStyle name="Примечание 13 15 4 2 2" xfId="30640"/>
    <cellStyle name="Примечание 13 15 4 2 3" xfId="40515"/>
    <cellStyle name="Примечание 13 15 4 3" xfId="19465"/>
    <cellStyle name="Примечание 13 15 4 3 2" xfId="33275"/>
    <cellStyle name="Примечание 13 15 4 3 3" xfId="43144"/>
    <cellStyle name="Примечание 13 15 4 4" xfId="28003"/>
    <cellStyle name="Примечание 13 15 4 5" xfId="37878"/>
    <cellStyle name="Примечание 13 15 5" xfId="21744"/>
    <cellStyle name="Примечание 13 15 6" xfId="22481"/>
    <cellStyle name="Примечание 13 15 7" xfId="23969"/>
    <cellStyle name="Примечание 13 15 8" xfId="25407"/>
    <cellStyle name="Примечание 13 15 9" xfId="35282"/>
    <cellStyle name="Примечание 13 16" xfId="12133"/>
    <cellStyle name="Примечание 13 16 2" xfId="15031"/>
    <cellStyle name="Примечание 13 16 2 2" xfId="20314"/>
    <cellStyle name="Примечание 13 16 2 2 2" xfId="23233"/>
    <cellStyle name="Примечание 13 16 2 2 3" xfId="34124"/>
    <cellStyle name="Примечание 13 16 2 2 4" xfId="43992"/>
    <cellStyle name="Примечание 13 16 2 3" xfId="23585"/>
    <cellStyle name="Примечание 13 16 2 4" xfId="28851"/>
    <cellStyle name="Примечание 13 16 2 5" xfId="38726"/>
    <cellStyle name="Примечание 13 16 3" xfId="14474"/>
    <cellStyle name="Примечание 13 16 3 2" xfId="16948"/>
    <cellStyle name="Примечание 13 16 3 2 2" xfId="30762"/>
    <cellStyle name="Примечание 13 16 3 2 3" xfId="40637"/>
    <cellStyle name="Примечание 13 16 3 3" xfId="19757"/>
    <cellStyle name="Примечание 13 16 3 3 2" xfId="33567"/>
    <cellStyle name="Примечание 13 16 3 3 3" xfId="43435"/>
    <cellStyle name="Примечание 13 16 3 4" xfId="28294"/>
    <cellStyle name="Примечание 13 16 3 5" xfId="38169"/>
    <cellStyle name="Примечание 13 16 4" xfId="21512"/>
    <cellStyle name="Примечание 13 16 5" xfId="21880"/>
    <cellStyle name="Примечание 13 16 6" xfId="22705"/>
    <cellStyle name="Примечание 13 16 7" xfId="24209"/>
    <cellStyle name="Примечание 13 16 8" xfId="26007"/>
    <cellStyle name="Примечание 13 16 9" xfId="35882"/>
    <cellStyle name="Примечание 13 17" xfId="12213"/>
    <cellStyle name="Примечание 13 17 2" xfId="15111"/>
    <cellStyle name="Примечание 13 17 2 2" xfId="20394"/>
    <cellStyle name="Примечание 13 17 2 2 2" xfId="23249"/>
    <cellStyle name="Примечание 13 17 2 2 3" xfId="34204"/>
    <cellStyle name="Примечание 13 17 2 2 4" xfId="44072"/>
    <cellStyle name="Примечание 13 17 2 3" xfId="23665"/>
    <cellStyle name="Примечание 13 17 2 4" xfId="28931"/>
    <cellStyle name="Примечание 13 17 2 5" xfId="38806"/>
    <cellStyle name="Примечание 13 17 3" xfId="14416"/>
    <cellStyle name="Примечание 13 17 3 2" xfId="16929"/>
    <cellStyle name="Примечание 13 17 3 2 2" xfId="30744"/>
    <cellStyle name="Примечание 13 17 3 2 3" xfId="40619"/>
    <cellStyle name="Примечание 13 17 3 3" xfId="19699"/>
    <cellStyle name="Примечание 13 17 3 3 2" xfId="33509"/>
    <cellStyle name="Примечание 13 17 3 3 3" xfId="43378"/>
    <cellStyle name="Примечание 13 17 3 4" xfId="28237"/>
    <cellStyle name="Примечание 13 17 3 5" xfId="38112"/>
    <cellStyle name="Примечание 13 17 4" xfId="21592"/>
    <cellStyle name="Примечание 13 17 5" xfId="21928"/>
    <cellStyle name="Примечание 13 17 6" xfId="22785"/>
    <cellStyle name="Примечание 13 17 7" xfId="24289"/>
    <cellStyle name="Примечание 13 17 8" xfId="26087"/>
    <cellStyle name="Примечание 13 17 9" xfId="35962"/>
    <cellStyle name="Примечание 13 18" xfId="11799"/>
    <cellStyle name="Примечание 13 18 2" xfId="14697"/>
    <cellStyle name="Примечание 13 18 2 2" xfId="19980"/>
    <cellStyle name="Примечание 13 18 2 2 2" xfId="33790"/>
    <cellStyle name="Примечание 13 18 2 2 3" xfId="43658"/>
    <cellStyle name="Примечание 13 18 2 3" xfId="28517"/>
    <cellStyle name="Примечание 13 18 2 4" xfId="38392"/>
    <cellStyle name="Примечание 13 18 3" xfId="14238"/>
    <cellStyle name="Примечание 13 18 3 2" xfId="16881"/>
    <cellStyle name="Примечание 13 18 3 2 2" xfId="30696"/>
    <cellStyle name="Примечание 13 18 3 2 3" xfId="40571"/>
    <cellStyle name="Примечание 13 18 3 3" xfId="19521"/>
    <cellStyle name="Примечание 13 18 3 3 2" xfId="33331"/>
    <cellStyle name="Примечание 13 18 3 3 3" xfId="43200"/>
    <cellStyle name="Примечание 13 18 3 4" xfId="28059"/>
    <cellStyle name="Примечание 13 18 3 5" xfId="37934"/>
    <cellStyle name="Примечание 13 18 4" xfId="15930"/>
    <cellStyle name="Примечание 13 18 4 2" xfId="23274"/>
    <cellStyle name="Примечание 13 18 4 3" xfId="29749"/>
    <cellStyle name="Примечание 13 18 4 4" xfId="39624"/>
    <cellStyle name="Примечание 13 18 5" xfId="25673"/>
    <cellStyle name="Примечание 13 18 6" xfId="35548"/>
    <cellStyle name="Примечание 13 19" xfId="13526"/>
    <cellStyle name="Примечание 13 19 2" xfId="16224"/>
    <cellStyle name="Примечание 13 19 2 2" xfId="30041"/>
    <cellStyle name="Примечание 13 19 2 3" xfId="39916"/>
    <cellStyle name="Примечание 13 19 3" xfId="18855"/>
    <cellStyle name="Примечание 13 19 3 2" xfId="32665"/>
    <cellStyle name="Примечание 13 19 3 3" xfId="42536"/>
    <cellStyle name="Примечание 13 19 4" xfId="27395"/>
    <cellStyle name="Примечание 13 19 5" xfId="37270"/>
    <cellStyle name="Примечание 13 2" xfId="2198"/>
    <cellStyle name="Примечание 13 2 10" xfId="2842"/>
    <cellStyle name="Примечание 13 2 10 2" xfId="12814"/>
    <cellStyle name="Примечание 13 2 10 2 2" xfId="18146"/>
    <cellStyle name="Примечание 13 2 10 2 2 2" xfId="31956"/>
    <cellStyle name="Примечание 13 2 10 2 2 3" xfId="41829"/>
    <cellStyle name="Примечание 13 2 10 2 3" xfId="26688"/>
    <cellStyle name="Примечание 13 2 10 2 4" xfId="36563"/>
    <cellStyle name="Примечание 13 2 10 3" xfId="14037"/>
    <cellStyle name="Примечание 13 2 10 3 2" xfId="16680"/>
    <cellStyle name="Примечание 13 2 10 3 2 2" xfId="30495"/>
    <cellStyle name="Примечание 13 2 10 3 2 3" xfId="40370"/>
    <cellStyle name="Примечание 13 2 10 3 3" xfId="19320"/>
    <cellStyle name="Примечание 13 2 10 3 3 2" xfId="33130"/>
    <cellStyle name="Примечание 13 2 10 3 3 3" xfId="42999"/>
    <cellStyle name="Примечание 13 2 10 3 4" xfId="27858"/>
    <cellStyle name="Примечание 13 2 10 3 5" xfId="37733"/>
    <cellStyle name="Примечание 13 2 10 4" xfId="15535"/>
    <cellStyle name="Примечание 13 2 10 4 2" xfId="29354"/>
    <cellStyle name="Примечание 13 2 10 4 3" xfId="39229"/>
    <cellStyle name="Примечание 13 2 10 5" xfId="25262"/>
    <cellStyle name="Примечание 13 2 10 6" xfId="35137"/>
    <cellStyle name="Примечание 13 2 11" xfId="2890"/>
    <cellStyle name="Примечание 13 2 11 2" xfId="12860"/>
    <cellStyle name="Примечание 13 2 11 2 2" xfId="18192"/>
    <cellStyle name="Примечание 13 2 11 2 2 2" xfId="32002"/>
    <cellStyle name="Примечание 13 2 11 2 2 3" xfId="41875"/>
    <cellStyle name="Примечание 13 2 11 2 3" xfId="26734"/>
    <cellStyle name="Примечание 13 2 11 2 4" xfId="36609"/>
    <cellStyle name="Примечание 13 2 11 3" xfId="14083"/>
    <cellStyle name="Примечание 13 2 11 3 2" xfId="16726"/>
    <cellStyle name="Примечание 13 2 11 3 2 2" xfId="30541"/>
    <cellStyle name="Примечание 13 2 11 3 2 3" xfId="40416"/>
    <cellStyle name="Примечание 13 2 11 3 3" xfId="19366"/>
    <cellStyle name="Примечание 13 2 11 3 3 2" xfId="33176"/>
    <cellStyle name="Примечание 13 2 11 3 3 3" xfId="43045"/>
    <cellStyle name="Примечание 13 2 11 3 4" xfId="27904"/>
    <cellStyle name="Примечание 13 2 11 3 5" xfId="37779"/>
    <cellStyle name="Примечание 13 2 11 4" xfId="15581"/>
    <cellStyle name="Примечание 13 2 11 4 2" xfId="29400"/>
    <cellStyle name="Примечание 13 2 11 4 3" xfId="39275"/>
    <cellStyle name="Примечание 13 2 11 5" xfId="25308"/>
    <cellStyle name="Примечание 13 2 11 6" xfId="35183"/>
    <cellStyle name="Примечание 13 2 12" xfId="2944"/>
    <cellStyle name="Примечание 13 2 12 2" xfId="12913"/>
    <cellStyle name="Примечание 13 2 12 2 2" xfId="18245"/>
    <cellStyle name="Примечание 13 2 12 2 2 2" xfId="32055"/>
    <cellStyle name="Примечание 13 2 12 2 2 3" xfId="41928"/>
    <cellStyle name="Примечание 13 2 12 2 3" xfId="26787"/>
    <cellStyle name="Примечание 13 2 12 2 4" xfId="36662"/>
    <cellStyle name="Примечание 13 2 12 3" xfId="14136"/>
    <cellStyle name="Примечание 13 2 12 3 2" xfId="16779"/>
    <cellStyle name="Примечание 13 2 12 3 2 2" xfId="30594"/>
    <cellStyle name="Примечание 13 2 12 3 2 3" xfId="40469"/>
    <cellStyle name="Примечание 13 2 12 3 3" xfId="19419"/>
    <cellStyle name="Примечание 13 2 12 3 3 2" xfId="33229"/>
    <cellStyle name="Примечание 13 2 12 3 3 3" xfId="43098"/>
    <cellStyle name="Примечание 13 2 12 3 4" xfId="27957"/>
    <cellStyle name="Примечание 13 2 12 3 5" xfId="37832"/>
    <cellStyle name="Примечание 13 2 12 4" xfId="15634"/>
    <cellStyle name="Примечание 13 2 12 4 2" xfId="29453"/>
    <cellStyle name="Примечание 13 2 12 4 3" xfId="39328"/>
    <cellStyle name="Примечание 13 2 12 5" xfId="25361"/>
    <cellStyle name="Примечание 13 2 12 6" xfId="35236"/>
    <cellStyle name="Примечание 13 2 13" xfId="2993"/>
    <cellStyle name="Примечание 13 2 13 2" xfId="12960"/>
    <cellStyle name="Примечание 13 2 13 2 2" xfId="18292"/>
    <cellStyle name="Примечание 13 2 13 2 2 2" xfId="32102"/>
    <cellStyle name="Примечание 13 2 13 2 2 3" xfId="41975"/>
    <cellStyle name="Примечание 13 2 13 2 3" xfId="26834"/>
    <cellStyle name="Примечание 13 2 13 2 4" xfId="36709"/>
    <cellStyle name="Примечание 13 2 13 3" xfId="14183"/>
    <cellStyle name="Примечание 13 2 13 3 2" xfId="16826"/>
    <cellStyle name="Примечание 13 2 13 3 2 2" xfId="30641"/>
    <cellStyle name="Примечание 13 2 13 3 2 3" xfId="40516"/>
    <cellStyle name="Примечание 13 2 13 3 3" xfId="19466"/>
    <cellStyle name="Примечание 13 2 13 3 3 2" xfId="33276"/>
    <cellStyle name="Примечание 13 2 13 3 3 3" xfId="43145"/>
    <cellStyle name="Примечание 13 2 13 3 4" xfId="28004"/>
    <cellStyle name="Примечание 13 2 13 3 5" xfId="37879"/>
    <cellStyle name="Примечание 13 2 13 4" xfId="15677"/>
    <cellStyle name="Примечание 13 2 13 4 2" xfId="29496"/>
    <cellStyle name="Примечание 13 2 13 4 3" xfId="39371"/>
    <cellStyle name="Примечание 13 2 13 5" xfId="25408"/>
    <cellStyle name="Примечание 13 2 13 6" xfId="35283"/>
    <cellStyle name="Примечание 13 2 14" xfId="11800"/>
    <cellStyle name="Примечание 13 2 14 2" xfId="14698"/>
    <cellStyle name="Примечание 13 2 14 2 2" xfId="19981"/>
    <cellStyle name="Примечание 13 2 14 2 2 2" xfId="33791"/>
    <cellStyle name="Примечание 13 2 14 2 2 3" xfId="43659"/>
    <cellStyle name="Примечание 13 2 14 2 3" xfId="28518"/>
    <cellStyle name="Примечание 13 2 14 2 4" xfId="38393"/>
    <cellStyle name="Примечание 13 2 14 3" xfId="13053"/>
    <cellStyle name="Примечание 13 2 14 3 2" xfId="16004"/>
    <cellStyle name="Примечание 13 2 14 3 2 2" xfId="29823"/>
    <cellStyle name="Примечание 13 2 14 3 2 3" xfId="39698"/>
    <cellStyle name="Примечание 13 2 14 3 3" xfId="18385"/>
    <cellStyle name="Примечание 13 2 14 3 3 2" xfId="32195"/>
    <cellStyle name="Примечание 13 2 14 3 3 3" xfId="42068"/>
    <cellStyle name="Примечание 13 2 14 3 4" xfId="26927"/>
    <cellStyle name="Примечание 13 2 14 3 5" xfId="36802"/>
    <cellStyle name="Примечание 13 2 14 4" xfId="15931"/>
    <cellStyle name="Примечание 13 2 14 4 2" xfId="24559"/>
    <cellStyle name="Примечание 13 2 14 4 3" xfId="29750"/>
    <cellStyle name="Примечание 13 2 14 4 4" xfId="39625"/>
    <cellStyle name="Примечание 13 2 14 5" xfId="25674"/>
    <cellStyle name="Примечание 13 2 14 6" xfId="35549"/>
    <cellStyle name="Примечание 13 2 15" xfId="12376"/>
    <cellStyle name="Примечание 13 2 15 2" xfId="17708"/>
    <cellStyle name="Примечание 13 2 15 2 2" xfId="31518"/>
    <cellStyle name="Примечание 13 2 15 2 3" xfId="41391"/>
    <cellStyle name="Примечание 13 2 15 3" xfId="26250"/>
    <cellStyle name="Примечание 13 2 15 4" xfId="36125"/>
    <cellStyle name="Примечание 13 2 16" xfId="13527"/>
    <cellStyle name="Примечание 13 2 16 2" xfId="16225"/>
    <cellStyle name="Примечание 13 2 16 2 2" xfId="30042"/>
    <cellStyle name="Примечание 13 2 16 2 3" xfId="39917"/>
    <cellStyle name="Примечание 13 2 16 3" xfId="18856"/>
    <cellStyle name="Примечание 13 2 16 3 2" xfId="32666"/>
    <cellStyle name="Примечание 13 2 16 3 3" xfId="42537"/>
    <cellStyle name="Примечание 13 2 16 4" xfId="27396"/>
    <cellStyle name="Примечание 13 2 16 5" xfId="37271"/>
    <cellStyle name="Примечание 13 2 17" xfId="13477"/>
    <cellStyle name="Примечание 13 2 17 2" xfId="18806"/>
    <cellStyle name="Примечание 13 2 17 2 2" xfId="32616"/>
    <cellStyle name="Примечание 13 2 17 2 3" xfId="42487"/>
    <cellStyle name="Примечание 13 2 17 3" xfId="27346"/>
    <cellStyle name="Примечание 13 2 17 4" xfId="37221"/>
    <cellStyle name="Примечание 13 2 18" xfId="17378"/>
    <cellStyle name="Примечание 13 2 18 2" xfId="31189"/>
    <cellStyle name="Примечание 13 2 18 3" xfId="41063"/>
    <cellStyle name="Примечание 13 2 19" xfId="24812"/>
    <cellStyle name="Примечание 13 2 2" xfId="2573"/>
    <cellStyle name="Примечание 13 2 2 2" xfId="10772"/>
    <cellStyle name="Примечание 13 2 2 3" xfId="12559"/>
    <cellStyle name="Примечание 13 2 2 3 2" xfId="17891"/>
    <cellStyle name="Примечание 13 2 2 3 2 2" xfId="31701"/>
    <cellStyle name="Примечание 13 2 2 3 2 3" xfId="41574"/>
    <cellStyle name="Примечание 13 2 2 3 3" xfId="26433"/>
    <cellStyle name="Примечание 13 2 2 3 4" xfId="36308"/>
    <cellStyle name="Примечание 13 2 2 4" xfId="13781"/>
    <cellStyle name="Примечание 13 2 2 4 2" xfId="16424"/>
    <cellStyle name="Примечание 13 2 2 4 2 2" xfId="30240"/>
    <cellStyle name="Примечание 13 2 2 4 2 3" xfId="40115"/>
    <cellStyle name="Примечание 13 2 2 4 3" xfId="19064"/>
    <cellStyle name="Примечание 13 2 2 4 3 2" xfId="32874"/>
    <cellStyle name="Примечание 13 2 2 4 3 3" xfId="42744"/>
    <cellStyle name="Примечание 13 2 2 4 4" xfId="27603"/>
    <cellStyle name="Примечание 13 2 2 4 5" xfId="37478"/>
    <cellStyle name="Примечание 13 2 2 5" xfId="15279"/>
    <cellStyle name="Примечание 13 2 2 5 2" xfId="29099"/>
    <cellStyle name="Примечание 13 2 2 5 3" xfId="38974"/>
    <cellStyle name="Примечание 13 2 2 6" xfId="25007"/>
    <cellStyle name="Примечание 13 2 2 7" xfId="34882"/>
    <cellStyle name="Примечание 13 2 20" xfId="34429"/>
    <cellStyle name="Примечание 13 2 21" xfId="34679"/>
    <cellStyle name="Примечание 13 2 3" xfId="2467"/>
    <cellStyle name="Примечание 13 2 3 2" xfId="12472"/>
    <cellStyle name="Примечание 13 2 3 2 2" xfId="17804"/>
    <cellStyle name="Примечание 13 2 3 2 2 2" xfId="31614"/>
    <cellStyle name="Примечание 13 2 3 2 2 3" xfId="41487"/>
    <cellStyle name="Примечание 13 2 3 2 3" xfId="26346"/>
    <cellStyle name="Примечание 13 2 3 2 4" xfId="36221"/>
    <cellStyle name="Примечание 13 2 3 3" xfId="13694"/>
    <cellStyle name="Примечание 13 2 3 3 2" xfId="16337"/>
    <cellStyle name="Примечание 13 2 3 3 2 2" xfId="30153"/>
    <cellStyle name="Примечание 13 2 3 3 2 3" xfId="40028"/>
    <cellStyle name="Примечание 13 2 3 3 3" xfId="18977"/>
    <cellStyle name="Примечание 13 2 3 3 3 2" xfId="32787"/>
    <cellStyle name="Примечание 13 2 3 3 3 3" xfId="42657"/>
    <cellStyle name="Примечание 13 2 3 3 4" xfId="27516"/>
    <cellStyle name="Примечание 13 2 3 3 5" xfId="37391"/>
    <cellStyle name="Примечание 13 2 3 4" xfId="15192"/>
    <cellStyle name="Примечание 13 2 3 4 2" xfId="29012"/>
    <cellStyle name="Примечание 13 2 3 4 3" xfId="38887"/>
    <cellStyle name="Примечание 13 2 3 5" xfId="24920"/>
    <cellStyle name="Примечание 13 2 3 6" xfId="34795"/>
    <cellStyle name="Примечание 13 2 4" xfId="2508"/>
    <cellStyle name="Примечание 13 2 4 2" xfId="12494"/>
    <cellStyle name="Примечание 13 2 4 2 2" xfId="17826"/>
    <cellStyle name="Примечание 13 2 4 2 2 2" xfId="31636"/>
    <cellStyle name="Примечание 13 2 4 2 2 3" xfId="41509"/>
    <cellStyle name="Примечание 13 2 4 2 3" xfId="26368"/>
    <cellStyle name="Примечание 13 2 4 2 4" xfId="36243"/>
    <cellStyle name="Примечание 13 2 4 3" xfId="13716"/>
    <cellStyle name="Примечание 13 2 4 3 2" xfId="16359"/>
    <cellStyle name="Примечание 13 2 4 3 2 2" xfId="30175"/>
    <cellStyle name="Примечание 13 2 4 3 2 3" xfId="40050"/>
    <cellStyle name="Примечание 13 2 4 3 3" xfId="18999"/>
    <cellStyle name="Примечание 13 2 4 3 3 2" xfId="32809"/>
    <cellStyle name="Примечание 13 2 4 3 3 3" xfId="42679"/>
    <cellStyle name="Примечание 13 2 4 3 4" xfId="27538"/>
    <cellStyle name="Примечание 13 2 4 3 5" xfId="37413"/>
    <cellStyle name="Примечание 13 2 4 4" xfId="15214"/>
    <cellStyle name="Примечание 13 2 4 4 2" xfId="29034"/>
    <cellStyle name="Примечание 13 2 4 4 3" xfId="38909"/>
    <cellStyle name="Примечание 13 2 4 5" xfId="24942"/>
    <cellStyle name="Примечание 13 2 4 6" xfId="34817"/>
    <cellStyle name="Примечание 13 2 5" xfId="2418"/>
    <cellStyle name="Примечание 13 2 5 2" xfId="12423"/>
    <cellStyle name="Примечание 13 2 5 2 2" xfId="17755"/>
    <cellStyle name="Примечание 13 2 5 2 2 2" xfId="31565"/>
    <cellStyle name="Примечание 13 2 5 2 2 3" xfId="41438"/>
    <cellStyle name="Примечание 13 2 5 2 3" xfId="26297"/>
    <cellStyle name="Примечание 13 2 5 2 4" xfId="36172"/>
    <cellStyle name="Примечание 13 2 5 3" xfId="13645"/>
    <cellStyle name="Примечание 13 2 5 3 2" xfId="16288"/>
    <cellStyle name="Примечание 13 2 5 3 2 2" xfId="30104"/>
    <cellStyle name="Примечание 13 2 5 3 2 3" xfId="39979"/>
    <cellStyle name="Примечание 13 2 5 3 3" xfId="18928"/>
    <cellStyle name="Примечание 13 2 5 3 3 2" xfId="32738"/>
    <cellStyle name="Примечание 13 2 5 3 3 3" xfId="42608"/>
    <cellStyle name="Примечание 13 2 5 3 4" xfId="27467"/>
    <cellStyle name="Примечание 13 2 5 3 5" xfId="37342"/>
    <cellStyle name="Примечание 13 2 5 4" xfId="15143"/>
    <cellStyle name="Примечание 13 2 5 4 2" xfId="28963"/>
    <cellStyle name="Примечание 13 2 5 4 3" xfId="38838"/>
    <cellStyle name="Примечание 13 2 5 5" xfId="24871"/>
    <cellStyle name="Примечание 13 2 5 6" xfId="34746"/>
    <cellStyle name="Примечание 13 2 6" xfId="2558"/>
    <cellStyle name="Примечание 13 2 6 2" xfId="12544"/>
    <cellStyle name="Примечание 13 2 6 2 2" xfId="17876"/>
    <cellStyle name="Примечание 13 2 6 2 2 2" xfId="31686"/>
    <cellStyle name="Примечание 13 2 6 2 2 3" xfId="41559"/>
    <cellStyle name="Примечание 13 2 6 2 3" xfId="26418"/>
    <cellStyle name="Примечание 13 2 6 2 4" xfId="36293"/>
    <cellStyle name="Примечание 13 2 6 3" xfId="13766"/>
    <cellStyle name="Примечание 13 2 6 3 2" xfId="16409"/>
    <cellStyle name="Примечание 13 2 6 3 2 2" xfId="30225"/>
    <cellStyle name="Примечание 13 2 6 3 2 3" xfId="40100"/>
    <cellStyle name="Примечание 13 2 6 3 3" xfId="19049"/>
    <cellStyle name="Примечание 13 2 6 3 3 2" xfId="32859"/>
    <cellStyle name="Примечание 13 2 6 3 3 3" xfId="42729"/>
    <cellStyle name="Примечание 13 2 6 3 4" xfId="27588"/>
    <cellStyle name="Примечание 13 2 6 3 5" xfId="37463"/>
    <cellStyle name="Примечание 13 2 6 4" xfId="15264"/>
    <cellStyle name="Примечание 13 2 6 4 2" xfId="29084"/>
    <cellStyle name="Примечание 13 2 6 4 3" xfId="38959"/>
    <cellStyle name="Примечание 13 2 6 5" xfId="24992"/>
    <cellStyle name="Примечание 13 2 6 6" xfId="34867"/>
    <cellStyle name="Примечание 13 2 7" xfId="2736"/>
    <cellStyle name="Примечание 13 2 7 2" xfId="12712"/>
    <cellStyle name="Примечание 13 2 7 2 2" xfId="18044"/>
    <cellStyle name="Примечание 13 2 7 2 2 2" xfId="31854"/>
    <cellStyle name="Примечание 13 2 7 2 2 3" xfId="41727"/>
    <cellStyle name="Примечание 13 2 7 2 3" xfId="26586"/>
    <cellStyle name="Примечание 13 2 7 2 4" xfId="36461"/>
    <cellStyle name="Примечание 13 2 7 3" xfId="13935"/>
    <cellStyle name="Примечание 13 2 7 3 2" xfId="16578"/>
    <cellStyle name="Примечание 13 2 7 3 2 2" xfId="30393"/>
    <cellStyle name="Примечание 13 2 7 3 2 3" xfId="40268"/>
    <cellStyle name="Примечание 13 2 7 3 3" xfId="19218"/>
    <cellStyle name="Примечание 13 2 7 3 3 2" xfId="33028"/>
    <cellStyle name="Примечание 13 2 7 3 3 3" xfId="42897"/>
    <cellStyle name="Примечание 13 2 7 3 4" xfId="27756"/>
    <cellStyle name="Примечание 13 2 7 3 5" xfId="37631"/>
    <cellStyle name="Примечание 13 2 7 4" xfId="15433"/>
    <cellStyle name="Примечание 13 2 7 4 2" xfId="29252"/>
    <cellStyle name="Примечание 13 2 7 4 3" xfId="39127"/>
    <cellStyle name="Примечание 13 2 7 5" xfId="25160"/>
    <cellStyle name="Примечание 13 2 7 6" xfId="35035"/>
    <cellStyle name="Примечание 13 2 8" xfId="2658"/>
    <cellStyle name="Примечание 13 2 8 2" xfId="12644"/>
    <cellStyle name="Примечание 13 2 8 2 2" xfId="17976"/>
    <cellStyle name="Примечание 13 2 8 2 2 2" xfId="31786"/>
    <cellStyle name="Примечание 13 2 8 2 2 3" xfId="41659"/>
    <cellStyle name="Примечание 13 2 8 2 3" xfId="26518"/>
    <cellStyle name="Примечание 13 2 8 2 4" xfId="36393"/>
    <cellStyle name="Примечание 13 2 8 3" xfId="13866"/>
    <cellStyle name="Примечание 13 2 8 3 2" xfId="16509"/>
    <cellStyle name="Примечание 13 2 8 3 2 2" xfId="30325"/>
    <cellStyle name="Примечание 13 2 8 3 2 3" xfId="40200"/>
    <cellStyle name="Примечание 13 2 8 3 3" xfId="19149"/>
    <cellStyle name="Примечание 13 2 8 3 3 2" xfId="32959"/>
    <cellStyle name="Примечание 13 2 8 3 3 3" xfId="42829"/>
    <cellStyle name="Примечание 13 2 8 3 4" xfId="27688"/>
    <cellStyle name="Примечание 13 2 8 3 5" xfId="37563"/>
    <cellStyle name="Примечание 13 2 8 4" xfId="15364"/>
    <cellStyle name="Примечание 13 2 8 4 2" xfId="29184"/>
    <cellStyle name="Примечание 13 2 8 4 3" xfId="39059"/>
    <cellStyle name="Примечание 13 2 8 5" xfId="25092"/>
    <cellStyle name="Примечание 13 2 8 6" xfId="34967"/>
    <cellStyle name="Примечание 13 2 9" xfId="2786"/>
    <cellStyle name="Примечание 13 2 9 2" xfId="12761"/>
    <cellStyle name="Примечание 13 2 9 2 2" xfId="18093"/>
    <cellStyle name="Примечание 13 2 9 2 2 2" xfId="31903"/>
    <cellStyle name="Примечание 13 2 9 2 2 3" xfId="41776"/>
    <cellStyle name="Примечание 13 2 9 2 3" xfId="26635"/>
    <cellStyle name="Примечание 13 2 9 2 4" xfId="36510"/>
    <cellStyle name="Примечание 13 2 9 3" xfId="13984"/>
    <cellStyle name="Примечание 13 2 9 3 2" xfId="16627"/>
    <cellStyle name="Примечание 13 2 9 3 2 2" xfId="30442"/>
    <cellStyle name="Примечание 13 2 9 3 2 3" xfId="40317"/>
    <cellStyle name="Примечание 13 2 9 3 3" xfId="19267"/>
    <cellStyle name="Примечание 13 2 9 3 3 2" xfId="33077"/>
    <cellStyle name="Примечание 13 2 9 3 3 3" xfId="42946"/>
    <cellStyle name="Примечание 13 2 9 3 4" xfId="27805"/>
    <cellStyle name="Примечание 13 2 9 3 5" xfId="37680"/>
    <cellStyle name="Примечание 13 2 9 4" xfId="15482"/>
    <cellStyle name="Примечание 13 2 9 4 2" xfId="29301"/>
    <cellStyle name="Примечание 13 2 9 4 3" xfId="39176"/>
    <cellStyle name="Примечание 13 2 9 5" xfId="25209"/>
    <cellStyle name="Примечание 13 2 9 6" xfId="35084"/>
    <cellStyle name="Примечание 13 20" xfId="13476"/>
    <cellStyle name="Примечание 13 20 2" xfId="18805"/>
    <cellStyle name="Примечание 13 20 2 2" xfId="32615"/>
    <cellStyle name="Примечание 13 20 2 3" xfId="42486"/>
    <cellStyle name="Примечание 13 20 3" xfId="27345"/>
    <cellStyle name="Примечание 13 20 4" xfId="37220"/>
    <cellStyle name="Примечание 13 21" xfId="17377"/>
    <cellStyle name="Примечание 13 21 2" xfId="21127"/>
    <cellStyle name="Примечание 13 21 3" xfId="31188"/>
    <cellStyle name="Примечание 13 21 4" xfId="41062"/>
    <cellStyle name="Примечание 13 22" xfId="23889"/>
    <cellStyle name="Примечание 13 23" xfId="24811"/>
    <cellStyle name="Примечание 13 24" xfId="34428"/>
    <cellStyle name="Примечание 13 25" xfId="34678"/>
    <cellStyle name="Примечание 13 3" xfId="2199"/>
    <cellStyle name="Примечание 13 3 10" xfId="2843"/>
    <cellStyle name="Примечание 13 3 10 2" xfId="12815"/>
    <cellStyle name="Примечание 13 3 10 2 2" xfId="18147"/>
    <cellStyle name="Примечание 13 3 10 2 2 2" xfId="31957"/>
    <cellStyle name="Примечание 13 3 10 2 2 3" xfId="41830"/>
    <cellStyle name="Примечание 13 3 10 2 3" xfId="26689"/>
    <cellStyle name="Примечание 13 3 10 2 4" xfId="36564"/>
    <cellStyle name="Примечание 13 3 10 3" xfId="14038"/>
    <cellStyle name="Примечание 13 3 10 3 2" xfId="16681"/>
    <cellStyle name="Примечание 13 3 10 3 2 2" xfId="30496"/>
    <cellStyle name="Примечание 13 3 10 3 2 3" xfId="40371"/>
    <cellStyle name="Примечание 13 3 10 3 3" xfId="19321"/>
    <cellStyle name="Примечание 13 3 10 3 3 2" xfId="33131"/>
    <cellStyle name="Примечание 13 3 10 3 3 3" xfId="43000"/>
    <cellStyle name="Примечание 13 3 10 3 4" xfId="27859"/>
    <cellStyle name="Примечание 13 3 10 3 5" xfId="37734"/>
    <cellStyle name="Примечание 13 3 10 4" xfId="15536"/>
    <cellStyle name="Примечание 13 3 10 4 2" xfId="29355"/>
    <cellStyle name="Примечание 13 3 10 4 3" xfId="39230"/>
    <cellStyle name="Примечание 13 3 10 5" xfId="25263"/>
    <cellStyle name="Примечание 13 3 10 6" xfId="35138"/>
    <cellStyle name="Примечание 13 3 11" xfId="2891"/>
    <cellStyle name="Примечание 13 3 11 2" xfId="12861"/>
    <cellStyle name="Примечание 13 3 11 2 2" xfId="18193"/>
    <cellStyle name="Примечание 13 3 11 2 2 2" xfId="32003"/>
    <cellStyle name="Примечание 13 3 11 2 2 3" xfId="41876"/>
    <cellStyle name="Примечание 13 3 11 2 3" xfId="26735"/>
    <cellStyle name="Примечание 13 3 11 2 4" xfId="36610"/>
    <cellStyle name="Примечание 13 3 11 3" xfId="14084"/>
    <cellStyle name="Примечание 13 3 11 3 2" xfId="16727"/>
    <cellStyle name="Примечание 13 3 11 3 2 2" xfId="30542"/>
    <cellStyle name="Примечание 13 3 11 3 2 3" xfId="40417"/>
    <cellStyle name="Примечание 13 3 11 3 3" xfId="19367"/>
    <cellStyle name="Примечание 13 3 11 3 3 2" xfId="33177"/>
    <cellStyle name="Примечание 13 3 11 3 3 3" xfId="43046"/>
    <cellStyle name="Примечание 13 3 11 3 4" xfId="27905"/>
    <cellStyle name="Примечание 13 3 11 3 5" xfId="37780"/>
    <cellStyle name="Примечание 13 3 11 4" xfId="15582"/>
    <cellStyle name="Примечание 13 3 11 4 2" xfId="29401"/>
    <cellStyle name="Примечание 13 3 11 4 3" xfId="39276"/>
    <cellStyle name="Примечание 13 3 11 5" xfId="25309"/>
    <cellStyle name="Примечание 13 3 11 6" xfId="35184"/>
    <cellStyle name="Примечание 13 3 12" xfId="2945"/>
    <cellStyle name="Примечание 13 3 12 2" xfId="12914"/>
    <cellStyle name="Примечание 13 3 12 2 2" xfId="18246"/>
    <cellStyle name="Примечание 13 3 12 2 2 2" xfId="32056"/>
    <cellStyle name="Примечание 13 3 12 2 2 3" xfId="41929"/>
    <cellStyle name="Примечание 13 3 12 2 3" xfId="26788"/>
    <cellStyle name="Примечание 13 3 12 2 4" xfId="36663"/>
    <cellStyle name="Примечание 13 3 12 3" xfId="14137"/>
    <cellStyle name="Примечание 13 3 12 3 2" xfId="16780"/>
    <cellStyle name="Примечание 13 3 12 3 2 2" xfId="30595"/>
    <cellStyle name="Примечание 13 3 12 3 2 3" xfId="40470"/>
    <cellStyle name="Примечание 13 3 12 3 3" xfId="19420"/>
    <cellStyle name="Примечание 13 3 12 3 3 2" xfId="33230"/>
    <cellStyle name="Примечание 13 3 12 3 3 3" xfId="43099"/>
    <cellStyle name="Примечание 13 3 12 3 4" xfId="27958"/>
    <cellStyle name="Примечание 13 3 12 3 5" xfId="37833"/>
    <cellStyle name="Примечание 13 3 12 4" xfId="15635"/>
    <cellStyle name="Примечание 13 3 12 4 2" xfId="29454"/>
    <cellStyle name="Примечание 13 3 12 4 3" xfId="39329"/>
    <cellStyle name="Примечание 13 3 12 5" xfId="25362"/>
    <cellStyle name="Примечание 13 3 12 6" xfId="35237"/>
    <cellStyle name="Примечание 13 3 13" xfId="2994"/>
    <cellStyle name="Примечание 13 3 13 2" xfId="12961"/>
    <cellStyle name="Примечание 13 3 13 2 2" xfId="18293"/>
    <cellStyle name="Примечание 13 3 13 2 2 2" xfId="32103"/>
    <cellStyle name="Примечание 13 3 13 2 2 3" xfId="41976"/>
    <cellStyle name="Примечание 13 3 13 2 3" xfId="26835"/>
    <cellStyle name="Примечание 13 3 13 2 4" xfId="36710"/>
    <cellStyle name="Примечание 13 3 13 3" xfId="14184"/>
    <cellStyle name="Примечание 13 3 13 3 2" xfId="16827"/>
    <cellStyle name="Примечание 13 3 13 3 2 2" xfId="30642"/>
    <cellStyle name="Примечание 13 3 13 3 2 3" xfId="40517"/>
    <cellStyle name="Примечание 13 3 13 3 3" xfId="19467"/>
    <cellStyle name="Примечание 13 3 13 3 3 2" xfId="33277"/>
    <cellStyle name="Примечание 13 3 13 3 3 3" xfId="43146"/>
    <cellStyle name="Примечание 13 3 13 3 4" xfId="28005"/>
    <cellStyle name="Примечание 13 3 13 3 5" xfId="37880"/>
    <cellStyle name="Примечание 13 3 13 4" xfId="15678"/>
    <cellStyle name="Примечание 13 3 13 4 2" xfId="29497"/>
    <cellStyle name="Примечание 13 3 13 4 3" xfId="39372"/>
    <cellStyle name="Примечание 13 3 13 5" xfId="25409"/>
    <cellStyle name="Примечание 13 3 13 6" xfId="35284"/>
    <cellStyle name="Примечание 13 3 14" xfId="11801"/>
    <cellStyle name="Примечание 13 3 14 2" xfId="14699"/>
    <cellStyle name="Примечание 13 3 14 2 2" xfId="19982"/>
    <cellStyle name="Примечание 13 3 14 2 2 2" xfId="33792"/>
    <cellStyle name="Примечание 13 3 14 2 2 3" xfId="43660"/>
    <cellStyle name="Примечание 13 3 14 2 3" xfId="28519"/>
    <cellStyle name="Примечание 13 3 14 2 4" xfId="38394"/>
    <cellStyle name="Примечание 13 3 14 3" xfId="14239"/>
    <cellStyle name="Примечание 13 3 14 3 2" xfId="16882"/>
    <cellStyle name="Примечание 13 3 14 3 2 2" xfId="30697"/>
    <cellStyle name="Примечание 13 3 14 3 2 3" xfId="40572"/>
    <cellStyle name="Примечание 13 3 14 3 3" xfId="19522"/>
    <cellStyle name="Примечание 13 3 14 3 3 2" xfId="33332"/>
    <cellStyle name="Примечание 13 3 14 3 3 3" xfId="43201"/>
    <cellStyle name="Примечание 13 3 14 3 4" xfId="28060"/>
    <cellStyle name="Примечание 13 3 14 3 5" xfId="37935"/>
    <cellStyle name="Примечание 13 3 14 4" xfId="15932"/>
    <cellStyle name="Примечание 13 3 14 4 2" xfId="24560"/>
    <cellStyle name="Примечание 13 3 14 4 3" xfId="29751"/>
    <cellStyle name="Примечание 13 3 14 4 4" xfId="39626"/>
    <cellStyle name="Примечание 13 3 14 5" xfId="25675"/>
    <cellStyle name="Примечание 13 3 14 6" xfId="35550"/>
    <cellStyle name="Примечание 13 3 15" xfId="12377"/>
    <cellStyle name="Примечание 13 3 15 2" xfId="17709"/>
    <cellStyle name="Примечание 13 3 15 2 2" xfId="31519"/>
    <cellStyle name="Примечание 13 3 15 2 3" xfId="41392"/>
    <cellStyle name="Примечание 13 3 15 3" xfId="26251"/>
    <cellStyle name="Примечание 13 3 15 4" xfId="36126"/>
    <cellStyle name="Примечание 13 3 16" xfId="13528"/>
    <cellStyle name="Примечание 13 3 16 2" xfId="16226"/>
    <cellStyle name="Примечание 13 3 16 2 2" xfId="30043"/>
    <cellStyle name="Примечание 13 3 16 2 3" xfId="39918"/>
    <cellStyle name="Примечание 13 3 16 3" xfId="18857"/>
    <cellStyle name="Примечание 13 3 16 3 2" xfId="32667"/>
    <cellStyle name="Примечание 13 3 16 3 3" xfId="42538"/>
    <cellStyle name="Примечание 13 3 16 4" xfId="27397"/>
    <cellStyle name="Примечание 13 3 16 5" xfId="37272"/>
    <cellStyle name="Примечание 13 3 17" xfId="13478"/>
    <cellStyle name="Примечание 13 3 17 2" xfId="18807"/>
    <cellStyle name="Примечание 13 3 17 2 2" xfId="32617"/>
    <cellStyle name="Примечание 13 3 17 2 3" xfId="42488"/>
    <cellStyle name="Примечание 13 3 17 3" xfId="27347"/>
    <cellStyle name="Примечание 13 3 17 4" xfId="37222"/>
    <cellStyle name="Примечание 13 3 18" xfId="17379"/>
    <cellStyle name="Примечание 13 3 18 2" xfId="31190"/>
    <cellStyle name="Примечание 13 3 18 3" xfId="41064"/>
    <cellStyle name="Примечание 13 3 19" xfId="24813"/>
    <cellStyle name="Примечание 13 3 2" xfId="2574"/>
    <cellStyle name="Примечание 13 3 2 2" xfId="10773"/>
    <cellStyle name="Примечание 13 3 2 3" xfId="12560"/>
    <cellStyle name="Примечание 13 3 2 3 2" xfId="17892"/>
    <cellStyle name="Примечание 13 3 2 3 2 2" xfId="31702"/>
    <cellStyle name="Примечание 13 3 2 3 2 3" xfId="41575"/>
    <cellStyle name="Примечание 13 3 2 3 3" xfId="26434"/>
    <cellStyle name="Примечание 13 3 2 3 4" xfId="36309"/>
    <cellStyle name="Примечание 13 3 2 4" xfId="13782"/>
    <cellStyle name="Примечание 13 3 2 4 2" xfId="16425"/>
    <cellStyle name="Примечание 13 3 2 4 2 2" xfId="30241"/>
    <cellStyle name="Примечание 13 3 2 4 2 3" xfId="40116"/>
    <cellStyle name="Примечание 13 3 2 4 3" xfId="19065"/>
    <cellStyle name="Примечание 13 3 2 4 3 2" xfId="32875"/>
    <cellStyle name="Примечание 13 3 2 4 3 3" xfId="42745"/>
    <cellStyle name="Примечание 13 3 2 4 4" xfId="27604"/>
    <cellStyle name="Примечание 13 3 2 4 5" xfId="37479"/>
    <cellStyle name="Примечание 13 3 2 5" xfId="15280"/>
    <cellStyle name="Примечание 13 3 2 5 2" xfId="29100"/>
    <cellStyle name="Примечание 13 3 2 5 3" xfId="38975"/>
    <cellStyle name="Примечание 13 3 2 6" xfId="25008"/>
    <cellStyle name="Примечание 13 3 2 7" xfId="34883"/>
    <cellStyle name="Примечание 13 3 20" xfId="34430"/>
    <cellStyle name="Примечание 13 3 21" xfId="34680"/>
    <cellStyle name="Примечание 13 3 3" xfId="2466"/>
    <cellStyle name="Примечание 13 3 3 2" xfId="12471"/>
    <cellStyle name="Примечание 13 3 3 2 2" xfId="17803"/>
    <cellStyle name="Примечание 13 3 3 2 2 2" xfId="31613"/>
    <cellStyle name="Примечание 13 3 3 2 2 3" xfId="41486"/>
    <cellStyle name="Примечание 13 3 3 2 3" xfId="26345"/>
    <cellStyle name="Примечание 13 3 3 2 4" xfId="36220"/>
    <cellStyle name="Примечание 13 3 3 3" xfId="13693"/>
    <cellStyle name="Примечание 13 3 3 3 2" xfId="16336"/>
    <cellStyle name="Примечание 13 3 3 3 2 2" xfId="30152"/>
    <cellStyle name="Примечание 13 3 3 3 2 3" xfId="40027"/>
    <cellStyle name="Примечание 13 3 3 3 3" xfId="18976"/>
    <cellStyle name="Примечание 13 3 3 3 3 2" xfId="32786"/>
    <cellStyle name="Примечание 13 3 3 3 3 3" xfId="42656"/>
    <cellStyle name="Примечание 13 3 3 3 4" xfId="27515"/>
    <cellStyle name="Примечание 13 3 3 3 5" xfId="37390"/>
    <cellStyle name="Примечание 13 3 3 4" xfId="15191"/>
    <cellStyle name="Примечание 13 3 3 4 2" xfId="29011"/>
    <cellStyle name="Примечание 13 3 3 4 3" xfId="38886"/>
    <cellStyle name="Примечание 13 3 3 5" xfId="24919"/>
    <cellStyle name="Примечание 13 3 3 6" xfId="34794"/>
    <cellStyle name="Примечание 13 3 4" xfId="2509"/>
    <cellStyle name="Примечание 13 3 4 2" xfId="12495"/>
    <cellStyle name="Примечание 13 3 4 2 2" xfId="17827"/>
    <cellStyle name="Примечание 13 3 4 2 2 2" xfId="31637"/>
    <cellStyle name="Примечание 13 3 4 2 2 3" xfId="41510"/>
    <cellStyle name="Примечание 13 3 4 2 3" xfId="26369"/>
    <cellStyle name="Примечание 13 3 4 2 4" xfId="36244"/>
    <cellStyle name="Примечание 13 3 4 3" xfId="13717"/>
    <cellStyle name="Примечание 13 3 4 3 2" xfId="16360"/>
    <cellStyle name="Примечание 13 3 4 3 2 2" xfId="30176"/>
    <cellStyle name="Примечание 13 3 4 3 2 3" xfId="40051"/>
    <cellStyle name="Примечание 13 3 4 3 3" xfId="19000"/>
    <cellStyle name="Примечание 13 3 4 3 3 2" xfId="32810"/>
    <cellStyle name="Примечание 13 3 4 3 3 3" xfId="42680"/>
    <cellStyle name="Примечание 13 3 4 3 4" xfId="27539"/>
    <cellStyle name="Примечание 13 3 4 3 5" xfId="37414"/>
    <cellStyle name="Примечание 13 3 4 4" xfId="15215"/>
    <cellStyle name="Примечание 13 3 4 4 2" xfId="29035"/>
    <cellStyle name="Примечание 13 3 4 4 3" xfId="38910"/>
    <cellStyle name="Примечание 13 3 4 5" xfId="24943"/>
    <cellStyle name="Примечание 13 3 4 6" xfId="34818"/>
    <cellStyle name="Примечание 13 3 5" xfId="2417"/>
    <cellStyle name="Примечание 13 3 5 2" xfId="12422"/>
    <cellStyle name="Примечание 13 3 5 2 2" xfId="17754"/>
    <cellStyle name="Примечание 13 3 5 2 2 2" xfId="31564"/>
    <cellStyle name="Примечание 13 3 5 2 2 3" xfId="41437"/>
    <cellStyle name="Примечание 13 3 5 2 3" xfId="26296"/>
    <cellStyle name="Примечание 13 3 5 2 4" xfId="36171"/>
    <cellStyle name="Примечание 13 3 5 3" xfId="13644"/>
    <cellStyle name="Примечание 13 3 5 3 2" xfId="16287"/>
    <cellStyle name="Примечание 13 3 5 3 2 2" xfId="30103"/>
    <cellStyle name="Примечание 13 3 5 3 2 3" xfId="39978"/>
    <cellStyle name="Примечание 13 3 5 3 3" xfId="18927"/>
    <cellStyle name="Примечание 13 3 5 3 3 2" xfId="32737"/>
    <cellStyle name="Примечание 13 3 5 3 3 3" xfId="42607"/>
    <cellStyle name="Примечание 13 3 5 3 4" xfId="27466"/>
    <cellStyle name="Примечание 13 3 5 3 5" xfId="37341"/>
    <cellStyle name="Примечание 13 3 5 4" xfId="15142"/>
    <cellStyle name="Примечание 13 3 5 4 2" xfId="28962"/>
    <cellStyle name="Примечание 13 3 5 4 3" xfId="38837"/>
    <cellStyle name="Примечание 13 3 5 5" xfId="24870"/>
    <cellStyle name="Примечание 13 3 5 6" xfId="34745"/>
    <cellStyle name="Примечание 13 3 6" xfId="2559"/>
    <cellStyle name="Примечание 13 3 6 2" xfId="12545"/>
    <cellStyle name="Примечание 13 3 6 2 2" xfId="17877"/>
    <cellStyle name="Примечание 13 3 6 2 2 2" xfId="31687"/>
    <cellStyle name="Примечание 13 3 6 2 2 3" xfId="41560"/>
    <cellStyle name="Примечание 13 3 6 2 3" xfId="26419"/>
    <cellStyle name="Примечание 13 3 6 2 4" xfId="36294"/>
    <cellStyle name="Примечание 13 3 6 3" xfId="13767"/>
    <cellStyle name="Примечание 13 3 6 3 2" xfId="16410"/>
    <cellStyle name="Примечание 13 3 6 3 2 2" xfId="30226"/>
    <cellStyle name="Примечание 13 3 6 3 2 3" xfId="40101"/>
    <cellStyle name="Примечание 13 3 6 3 3" xfId="19050"/>
    <cellStyle name="Примечание 13 3 6 3 3 2" xfId="32860"/>
    <cellStyle name="Примечание 13 3 6 3 3 3" xfId="42730"/>
    <cellStyle name="Примечание 13 3 6 3 4" xfId="27589"/>
    <cellStyle name="Примечание 13 3 6 3 5" xfId="37464"/>
    <cellStyle name="Примечание 13 3 6 4" xfId="15265"/>
    <cellStyle name="Примечание 13 3 6 4 2" xfId="29085"/>
    <cellStyle name="Примечание 13 3 6 4 3" xfId="38960"/>
    <cellStyle name="Примечание 13 3 6 5" xfId="24993"/>
    <cellStyle name="Примечание 13 3 6 6" xfId="34868"/>
    <cellStyle name="Примечание 13 3 7" xfId="2737"/>
    <cellStyle name="Примечание 13 3 7 2" xfId="12713"/>
    <cellStyle name="Примечание 13 3 7 2 2" xfId="18045"/>
    <cellStyle name="Примечание 13 3 7 2 2 2" xfId="31855"/>
    <cellStyle name="Примечание 13 3 7 2 2 3" xfId="41728"/>
    <cellStyle name="Примечание 13 3 7 2 3" xfId="26587"/>
    <cellStyle name="Примечание 13 3 7 2 4" xfId="36462"/>
    <cellStyle name="Примечание 13 3 7 3" xfId="13936"/>
    <cellStyle name="Примечание 13 3 7 3 2" xfId="16579"/>
    <cellStyle name="Примечание 13 3 7 3 2 2" xfId="30394"/>
    <cellStyle name="Примечание 13 3 7 3 2 3" xfId="40269"/>
    <cellStyle name="Примечание 13 3 7 3 3" xfId="19219"/>
    <cellStyle name="Примечание 13 3 7 3 3 2" xfId="33029"/>
    <cellStyle name="Примечание 13 3 7 3 3 3" xfId="42898"/>
    <cellStyle name="Примечание 13 3 7 3 4" xfId="27757"/>
    <cellStyle name="Примечание 13 3 7 3 5" xfId="37632"/>
    <cellStyle name="Примечание 13 3 7 4" xfId="15434"/>
    <cellStyle name="Примечание 13 3 7 4 2" xfId="29253"/>
    <cellStyle name="Примечание 13 3 7 4 3" xfId="39128"/>
    <cellStyle name="Примечание 13 3 7 5" xfId="25161"/>
    <cellStyle name="Примечание 13 3 7 6" xfId="35036"/>
    <cellStyle name="Примечание 13 3 8" xfId="2659"/>
    <cellStyle name="Примечание 13 3 8 2" xfId="12645"/>
    <cellStyle name="Примечание 13 3 8 2 2" xfId="17977"/>
    <cellStyle name="Примечание 13 3 8 2 2 2" xfId="31787"/>
    <cellStyle name="Примечание 13 3 8 2 2 3" xfId="41660"/>
    <cellStyle name="Примечание 13 3 8 2 3" xfId="26519"/>
    <cellStyle name="Примечание 13 3 8 2 4" xfId="36394"/>
    <cellStyle name="Примечание 13 3 8 3" xfId="13867"/>
    <cellStyle name="Примечание 13 3 8 3 2" xfId="16510"/>
    <cellStyle name="Примечание 13 3 8 3 2 2" xfId="30326"/>
    <cellStyle name="Примечание 13 3 8 3 2 3" xfId="40201"/>
    <cellStyle name="Примечание 13 3 8 3 3" xfId="19150"/>
    <cellStyle name="Примечание 13 3 8 3 3 2" xfId="32960"/>
    <cellStyle name="Примечание 13 3 8 3 3 3" xfId="42830"/>
    <cellStyle name="Примечание 13 3 8 3 4" xfId="27689"/>
    <cellStyle name="Примечание 13 3 8 3 5" xfId="37564"/>
    <cellStyle name="Примечание 13 3 8 4" xfId="15365"/>
    <cellStyle name="Примечание 13 3 8 4 2" xfId="29185"/>
    <cellStyle name="Примечание 13 3 8 4 3" xfId="39060"/>
    <cellStyle name="Примечание 13 3 8 5" xfId="25093"/>
    <cellStyle name="Примечание 13 3 8 6" xfId="34968"/>
    <cellStyle name="Примечание 13 3 9" xfId="2787"/>
    <cellStyle name="Примечание 13 3 9 2" xfId="12762"/>
    <cellStyle name="Примечание 13 3 9 2 2" xfId="18094"/>
    <cellStyle name="Примечание 13 3 9 2 2 2" xfId="31904"/>
    <cellStyle name="Примечание 13 3 9 2 2 3" xfId="41777"/>
    <cellStyle name="Примечание 13 3 9 2 3" xfId="26636"/>
    <cellStyle name="Примечание 13 3 9 2 4" xfId="36511"/>
    <cellStyle name="Примечание 13 3 9 3" xfId="13985"/>
    <cellStyle name="Примечание 13 3 9 3 2" xfId="16628"/>
    <cellStyle name="Примечание 13 3 9 3 2 2" xfId="30443"/>
    <cellStyle name="Примечание 13 3 9 3 2 3" xfId="40318"/>
    <cellStyle name="Примечание 13 3 9 3 3" xfId="19268"/>
    <cellStyle name="Примечание 13 3 9 3 3 2" xfId="33078"/>
    <cellStyle name="Примечание 13 3 9 3 3 3" xfId="42947"/>
    <cellStyle name="Примечание 13 3 9 3 4" xfId="27806"/>
    <cellStyle name="Примечание 13 3 9 3 5" xfId="37681"/>
    <cellStyle name="Примечание 13 3 9 4" xfId="15483"/>
    <cellStyle name="Примечание 13 3 9 4 2" xfId="29302"/>
    <cellStyle name="Примечание 13 3 9 4 3" xfId="39177"/>
    <cellStyle name="Примечание 13 3 9 5" xfId="25210"/>
    <cellStyle name="Примечание 13 3 9 6" xfId="35085"/>
    <cellStyle name="Примечание 13 4" xfId="2572"/>
    <cellStyle name="Примечание 13 4 2" xfId="10766"/>
    <cellStyle name="Примечание 13 4 3" xfId="12558"/>
    <cellStyle name="Примечание 13 4 3 2" xfId="17890"/>
    <cellStyle name="Примечание 13 4 3 2 2" xfId="31700"/>
    <cellStyle name="Примечание 13 4 3 2 3" xfId="41573"/>
    <cellStyle name="Примечание 13 4 3 3" xfId="26432"/>
    <cellStyle name="Примечание 13 4 3 4" xfId="36307"/>
    <cellStyle name="Примечание 13 4 4" xfId="13780"/>
    <cellStyle name="Примечание 13 4 4 2" xfId="16423"/>
    <cellStyle name="Примечание 13 4 4 2 2" xfId="30239"/>
    <cellStyle name="Примечание 13 4 4 2 3" xfId="40114"/>
    <cellStyle name="Примечание 13 4 4 3" xfId="19063"/>
    <cellStyle name="Примечание 13 4 4 3 2" xfId="32873"/>
    <cellStyle name="Примечание 13 4 4 3 3" xfId="42743"/>
    <cellStyle name="Примечание 13 4 4 4" xfId="27602"/>
    <cellStyle name="Примечание 13 4 4 5" xfId="37477"/>
    <cellStyle name="Примечание 13 4 5" xfId="15278"/>
    <cellStyle name="Примечание 13 4 5 2" xfId="29098"/>
    <cellStyle name="Примечание 13 4 5 3" xfId="38973"/>
    <cellStyle name="Примечание 13 4 6" xfId="25006"/>
    <cellStyle name="Примечание 13 4 7" xfId="34881"/>
    <cellStyle name="Примечание 13 5" xfId="2468"/>
    <cellStyle name="Примечание 13 5 2" xfId="10774"/>
    <cellStyle name="Примечание 13 5 3" xfId="12473"/>
    <cellStyle name="Примечание 13 5 3 2" xfId="17805"/>
    <cellStyle name="Примечание 13 5 3 2 2" xfId="31615"/>
    <cellStyle name="Примечание 13 5 3 2 3" xfId="41488"/>
    <cellStyle name="Примечание 13 5 3 3" xfId="26347"/>
    <cellStyle name="Примечание 13 5 3 4" xfId="36222"/>
    <cellStyle name="Примечание 13 5 4" xfId="13695"/>
    <cellStyle name="Примечание 13 5 4 2" xfId="16338"/>
    <cellStyle name="Примечание 13 5 4 2 2" xfId="30154"/>
    <cellStyle name="Примечание 13 5 4 2 3" xfId="40029"/>
    <cellStyle name="Примечание 13 5 4 3" xfId="18978"/>
    <cellStyle name="Примечание 13 5 4 3 2" xfId="32788"/>
    <cellStyle name="Примечание 13 5 4 3 3" xfId="42658"/>
    <cellStyle name="Примечание 13 5 4 4" xfId="27517"/>
    <cellStyle name="Примечание 13 5 4 5" xfId="37392"/>
    <cellStyle name="Примечание 13 5 5" xfId="15193"/>
    <cellStyle name="Примечание 13 5 5 2" xfId="29013"/>
    <cellStyle name="Примечание 13 5 5 3" xfId="38888"/>
    <cellStyle name="Примечание 13 5 6" xfId="24921"/>
    <cellStyle name="Примечание 13 5 7" xfId="34796"/>
    <cellStyle name="Примечание 13 6" xfId="2507"/>
    <cellStyle name="Примечание 13 6 2" xfId="10775"/>
    <cellStyle name="Примечание 13 6 3" xfId="12493"/>
    <cellStyle name="Примечание 13 6 3 2" xfId="17825"/>
    <cellStyle name="Примечание 13 6 3 2 2" xfId="31635"/>
    <cellStyle name="Примечание 13 6 3 2 3" xfId="41508"/>
    <cellStyle name="Примечание 13 6 3 3" xfId="26367"/>
    <cellStyle name="Примечание 13 6 3 4" xfId="36242"/>
    <cellStyle name="Примечание 13 6 4" xfId="13715"/>
    <cellStyle name="Примечание 13 6 4 2" xfId="16358"/>
    <cellStyle name="Примечание 13 6 4 2 2" xfId="30174"/>
    <cellStyle name="Примечание 13 6 4 2 3" xfId="40049"/>
    <cellStyle name="Примечание 13 6 4 3" xfId="18998"/>
    <cellStyle name="Примечание 13 6 4 3 2" xfId="32808"/>
    <cellStyle name="Примечание 13 6 4 3 3" xfId="42678"/>
    <cellStyle name="Примечание 13 6 4 4" xfId="27537"/>
    <cellStyle name="Примечание 13 6 4 5" xfId="37412"/>
    <cellStyle name="Примечание 13 6 5" xfId="15213"/>
    <cellStyle name="Примечание 13 6 5 2" xfId="29033"/>
    <cellStyle name="Примечание 13 6 5 3" xfId="38908"/>
    <cellStyle name="Примечание 13 6 6" xfId="24941"/>
    <cellStyle name="Примечание 13 6 7" xfId="34816"/>
    <cellStyle name="Примечание 13 7" xfId="2419"/>
    <cellStyle name="Примечание 13 7 2" xfId="10776"/>
    <cellStyle name="Примечание 13 7 3" xfId="12424"/>
    <cellStyle name="Примечание 13 7 3 2" xfId="17756"/>
    <cellStyle name="Примечание 13 7 3 2 2" xfId="31566"/>
    <cellStyle name="Примечание 13 7 3 2 3" xfId="41439"/>
    <cellStyle name="Примечание 13 7 3 3" xfId="26298"/>
    <cellStyle name="Примечание 13 7 3 4" xfId="36173"/>
    <cellStyle name="Примечание 13 7 4" xfId="13646"/>
    <cellStyle name="Примечание 13 7 4 2" xfId="16289"/>
    <cellStyle name="Примечание 13 7 4 2 2" xfId="30105"/>
    <cellStyle name="Примечание 13 7 4 2 3" xfId="39980"/>
    <cellStyle name="Примечание 13 7 4 3" xfId="18929"/>
    <cellStyle name="Примечание 13 7 4 3 2" xfId="32739"/>
    <cellStyle name="Примечание 13 7 4 3 3" xfId="42609"/>
    <cellStyle name="Примечание 13 7 4 4" xfId="27468"/>
    <cellStyle name="Примечание 13 7 4 5" xfId="37343"/>
    <cellStyle name="Примечание 13 7 5" xfId="15144"/>
    <cellStyle name="Примечание 13 7 5 2" xfId="28964"/>
    <cellStyle name="Примечание 13 7 5 3" xfId="38839"/>
    <cellStyle name="Примечание 13 7 6" xfId="24872"/>
    <cellStyle name="Примечание 13 7 7" xfId="34747"/>
    <cellStyle name="Примечание 13 8" xfId="2557"/>
    <cellStyle name="Примечание 13 8 2" xfId="10777"/>
    <cellStyle name="Примечание 13 8 3" xfId="12543"/>
    <cellStyle name="Примечание 13 8 3 2" xfId="17875"/>
    <cellStyle name="Примечание 13 8 3 2 2" xfId="31685"/>
    <cellStyle name="Примечание 13 8 3 2 3" xfId="41558"/>
    <cellStyle name="Примечание 13 8 3 3" xfId="26417"/>
    <cellStyle name="Примечание 13 8 3 4" xfId="36292"/>
    <cellStyle name="Примечание 13 8 4" xfId="13765"/>
    <cellStyle name="Примечание 13 8 4 2" xfId="16408"/>
    <cellStyle name="Примечание 13 8 4 2 2" xfId="30224"/>
    <cellStyle name="Примечание 13 8 4 2 3" xfId="40099"/>
    <cellStyle name="Примечание 13 8 4 3" xfId="19048"/>
    <cellStyle name="Примечание 13 8 4 3 2" xfId="32858"/>
    <cellStyle name="Примечание 13 8 4 3 3" xfId="42728"/>
    <cellStyle name="Примечание 13 8 4 4" xfId="27587"/>
    <cellStyle name="Примечание 13 8 4 5" xfId="37462"/>
    <cellStyle name="Примечание 13 8 5" xfId="15263"/>
    <cellStyle name="Примечание 13 8 5 2" xfId="29083"/>
    <cellStyle name="Примечание 13 8 5 3" xfId="38958"/>
    <cellStyle name="Примечание 13 8 6" xfId="24991"/>
    <cellStyle name="Примечание 13 8 7" xfId="34866"/>
    <cellStyle name="Примечание 13 9" xfId="2735"/>
    <cellStyle name="Примечание 13 9 2" xfId="10778"/>
    <cellStyle name="Примечание 13 9 3" xfId="12711"/>
    <cellStyle name="Примечание 13 9 3 2" xfId="18043"/>
    <cellStyle name="Примечание 13 9 3 2 2" xfId="31853"/>
    <cellStyle name="Примечание 13 9 3 2 3" xfId="41726"/>
    <cellStyle name="Примечание 13 9 3 3" xfId="26585"/>
    <cellStyle name="Примечание 13 9 3 4" xfId="36460"/>
    <cellStyle name="Примечание 13 9 4" xfId="13934"/>
    <cellStyle name="Примечание 13 9 4 2" xfId="16577"/>
    <cellStyle name="Примечание 13 9 4 2 2" xfId="30392"/>
    <cellStyle name="Примечание 13 9 4 2 3" xfId="40267"/>
    <cellStyle name="Примечание 13 9 4 3" xfId="19217"/>
    <cellStyle name="Примечание 13 9 4 3 2" xfId="33027"/>
    <cellStyle name="Примечание 13 9 4 3 3" xfId="42896"/>
    <cellStyle name="Примечание 13 9 4 4" xfId="27755"/>
    <cellStyle name="Примечание 13 9 4 5" xfId="37630"/>
    <cellStyle name="Примечание 13 9 5" xfId="15432"/>
    <cellStyle name="Примечание 13 9 5 2" xfId="29251"/>
    <cellStyle name="Примечание 13 9 5 3" xfId="39126"/>
    <cellStyle name="Примечание 13 9 6" xfId="25159"/>
    <cellStyle name="Примечание 13 9 7" xfId="35034"/>
    <cellStyle name="Примечание 14" xfId="2200"/>
    <cellStyle name="Примечание 14 10" xfId="2660"/>
    <cellStyle name="Примечание 14 10 2" xfId="10780"/>
    <cellStyle name="Примечание 14 10 3" xfId="12646"/>
    <cellStyle name="Примечание 14 10 3 2" xfId="17978"/>
    <cellStyle name="Примечание 14 10 3 2 2" xfId="31788"/>
    <cellStyle name="Примечание 14 10 3 2 3" xfId="41661"/>
    <cellStyle name="Примечание 14 10 3 3" xfId="26520"/>
    <cellStyle name="Примечание 14 10 3 4" xfId="36395"/>
    <cellStyle name="Примечание 14 10 4" xfId="13868"/>
    <cellStyle name="Примечание 14 10 4 2" xfId="16511"/>
    <cellStyle name="Примечание 14 10 4 2 2" xfId="30327"/>
    <cellStyle name="Примечание 14 10 4 2 3" xfId="40202"/>
    <cellStyle name="Примечание 14 10 4 3" xfId="19151"/>
    <cellStyle name="Примечание 14 10 4 3 2" xfId="32961"/>
    <cellStyle name="Примечание 14 10 4 3 3" xfId="42831"/>
    <cellStyle name="Примечание 14 10 4 4" xfId="27690"/>
    <cellStyle name="Примечание 14 10 4 5" xfId="37565"/>
    <cellStyle name="Примечание 14 10 5" xfId="15366"/>
    <cellStyle name="Примечание 14 10 5 2" xfId="29186"/>
    <cellStyle name="Примечание 14 10 5 3" xfId="39061"/>
    <cellStyle name="Примечание 14 10 6" xfId="25094"/>
    <cellStyle name="Примечание 14 10 7" xfId="34969"/>
    <cellStyle name="Примечание 14 11" xfId="2788"/>
    <cellStyle name="Примечание 14 11 2" xfId="10781"/>
    <cellStyle name="Примечание 14 11 3" xfId="12763"/>
    <cellStyle name="Примечание 14 11 3 2" xfId="18095"/>
    <cellStyle name="Примечание 14 11 3 2 2" xfId="31905"/>
    <cellStyle name="Примечание 14 11 3 2 3" xfId="41778"/>
    <cellStyle name="Примечание 14 11 3 3" xfId="26637"/>
    <cellStyle name="Примечание 14 11 3 4" xfId="36512"/>
    <cellStyle name="Примечание 14 11 4" xfId="13986"/>
    <cellStyle name="Примечание 14 11 4 2" xfId="16629"/>
    <cellStyle name="Примечание 14 11 4 2 2" xfId="30444"/>
    <cellStyle name="Примечание 14 11 4 2 3" xfId="40319"/>
    <cellStyle name="Примечание 14 11 4 3" xfId="19269"/>
    <cellStyle name="Примечание 14 11 4 3 2" xfId="33079"/>
    <cellStyle name="Примечание 14 11 4 3 3" xfId="42948"/>
    <cellStyle name="Примечание 14 11 4 4" xfId="27807"/>
    <cellStyle name="Примечание 14 11 4 5" xfId="37682"/>
    <cellStyle name="Примечание 14 11 5" xfId="15484"/>
    <cellStyle name="Примечание 14 11 5 2" xfId="29303"/>
    <cellStyle name="Примечание 14 11 5 3" xfId="39178"/>
    <cellStyle name="Примечание 14 11 6" xfId="25211"/>
    <cellStyle name="Примечание 14 11 7" xfId="35086"/>
    <cellStyle name="Примечание 14 12" xfId="2844"/>
    <cellStyle name="Примечание 14 12 2" xfId="10782"/>
    <cellStyle name="Примечание 14 12 3" xfId="12816"/>
    <cellStyle name="Примечание 14 12 3 2" xfId="18148"/>
    <cellStyle name="Примечание 14 12 3 2 2" xfId="31958"/>
    <cellStyle name="Примечание 14 12 3 2 3" xfId="41831"/>
    <cellStyle name="Примечание 14 12 3 3" xfId="26690"/>
    <cellStyle name="Примечание 14 12 3 4" xfId="36565"/>
    <cellStyle name="Примечание 14 12 4" xfId="14039"/>
    <cellStyle name="Примечание 14 12 4 2" xfId="16682"/>
    <cellStyle name="Примечание 14 12 4 2 2" xfId="30497"/>
    <cellStyle name="Примечание 14 12 4 2 3" xfId="40372"/>
    <cellStyle name="Примечание 14 12 4 3" xfId="19322"/>
    <cellStyle name="Примечание 14 12 4 3 2" xfId="33132"/>
    <cellStyle name="Примечание 14 12 4 3 3" xfId="43001"/>
    <cellStyle name="Примечание 14 12 4 4" xfId="27860"/>
    <cellStyle name="Примечание 14 12 4 5" xfId="37735"/>
    <cellStyle name="Примечание 14 12 5" xfId="15537"/>
    <cellStyle name="Примечание 14 12 5 2" xfId="29356"/>
    <cellStyle name="Примечание 14 12 5 3" xfId="39231"/>
    <cellStyle name="Примечание 14 12 6" xfId="25264"/>
    <cellStyle name="Примечание 14 12 7" xfId="35139"/>
    <cellStyle name="Примечание 14 13" xfId="2892"/>
    <cellStyle name="Примечание 14 13 2" xfId="10783"/>
    <cellStyle name="Примечание 14 13 3" xfId="12862"/>
    <cellStyle name="Примечание 14 13 3 2" xfId="18194"/>
    <cellStyle name="Примечание 14 13 3 2 2" xfId="32004"/>
    <cellStyle name="Примечание 14 13 3 2 3" xfId="41877"/>
    <cellStyle name="Примечание 14 13 3 3" xfId="26736"/>
    <cellStyle name="Примечание 14 13 3 4" xfId="36611"/>
    <cellStyle name="Примечание 14 13 4" xfId="14085"/>
    <cellStyle name="Примечание 14 13 4 2" xfId="16728"/>
    <cellStyle name="Примечание 14 13 4 2 2" xfId="30543"/>
    <cellStyle name="Примечание 14 13 4 2 3" xfId="40418"/>
    <cellStyle name="Примечание 14 13 4 3" xfId="19368"/>
    <cellStyle name="Примечание 14 13 4 3 2" xfId="33178"/>
    <cellStyle name="Примечание 14 13 4 3 3" xfId="43047"/>
    <cellStyle name="Примечание 14 13 4 4" xfId="27906"/>
    <cellStyle name="Примечание 14 13 4 5" xfId="37781"/>
    <cellStyle name="Примечание 14 13 5" xfId="15583"/>
    <cellStyle name="Примечание 14 13 5 2" xfId="29402"/>
    <cellStyle name="Примечание 14 13 5 3" xfId="39277"/>
    <cellStyle name="Примечание 14 13 6" xfId="25310"/>
    <cellStyle name="Примечание 14 13 7" xfId="35185"/>
    <cellStyle name="Примечание 14 14" xfId="2946"/>
    <cellStyle name="Примечание 14 14 2" xfId="10784"/>
    <cellStyle name="Примечание 14 14 3" xfId="12915"/>
    <cellStyle name="Примечание 14 14 3 2" xfId="18247"/>
    <cellStyle name="Примечание 14 14 3 2 2" xfId="32057"/>
    <cellStyle name="Примечание 14 14 3 2 3" xfId="41930"/>
    <cellStyle name="Примечание 14 14 3 3" xfId="26789"/>
    <cellStyle name="Примечание 14 14 3 4" xfId="36664"/>
    <cellStyle name="Примечание 14 14 4" xfId="14138"/>
    <cellStyle name="Примечание 14 14 4 2" xfId="16781"/>
    <cellStyle name="Примечание 14 14 4 2 2" xfId="30596"/>
    <cellStyle name="Примечание 14 14 4 2 3" xfId="40471"/>
    <cellStyle name="Примечание 14 14 4 3" xfId="19421"/>
    <cellStyle name="Примечание 14 14 4 3 2" xfId="33231"/>
    <cellStyle name="Примечание 14 14 4 3 3" xfId="43100"/>
    <cellStyle name="Примечание 14 14 4 4" xfId="27959"/>
    <cellStyle name="Примечание 14 14 4 5" xfId="37834"/>
    <cellStyle name="Примечание 14 14 5" xfId="15636"/>
    <cellStyle name="Примечание 14 14 5 2" xfId="29455"/>
    <cellStyle name="Примечание 14 14 5 3" xfId="39330"/>
    <cellStyle name="Примечание 14 14 6" xfId="25363"/>
    <cellStyle name="Примечание 14 14 7" xfId="35238"/>
    <cellStyle name="Примечание 14 15" xfId="2995"/>
    <cellStyle name="Примечание 14 15 2" xfId="12054"/>
    <cellStyle name="Примечание 14 15 2 2" xfId="14952"/>
    <cellStyle name="Примечание 14 15 2 2 2" xfId="20235"/>
    <cellStyle name="Примечание 14 15 2 2 2 2" xfId="23218"/>
    <cellStyle name="Примечание 14 15 2 2 2 3" xfId="34045"/>
    <cellStyle name="Примечание 14 15 2 2 2 4" xfId="43913"/>
    <cellStyle name="Примечание 14 15 2 2 3" xfId="23506"/>
    <cellStyle name="Примечание 14 15 2 2 4" xfId="28772"/>
    <cellStyle name="Примечание 14 15 2 2 5" xfId="38647"/>
    <cellStyle name="Примечание 14 15 2 3" xfId="14389"/>
    <cellStyle name="Примечание 14 15 2 3 2" xfId="16907"/>
    <cellStyle name="Примечание 14 15 2 3 2 2" xfId="30722"/>
    <cellStyle name="Примечание 14 15 2 3 2 3" xfId="40597"/>
    <cellStyle name="Примечание 14 15 2 3 3" xfId="19672"/>
    <cellStyle name="Примечание 14 15 2 3 3 2" xfId="33482"/>
    <cellStyle name="Примечание 14 15 2 3 3 3" xfId="43351"/>
    <cellStyle name="Примечание 14 15 2 3 4" xfId="28210"/>
    <cellStyle name="Примечание 14 15 2 3 5" xfId="38085"/>
    <cellStyle name="Примечание 14 15 2 4" xfId="15977"/>
    <cellStyle name="Примечание 14 15 2 4 2" xfId="21833"/>
    <cellStyle name="Примечание 14 15 2 4 3" xfId="29796"/>
    <cellStyle name="Примечание 14 15 2 4 4" xfId="39671"/>
    <cellStyle name="Примечание 14 15 2 5" xfId="24130"/>
    <cellStyle name="Примечание 14 15 2 6" xfId="25928"/>
    <cellStyle name="Примечание 14 15 2 7" xfId="35803"/>
    <cellStyle name="Примечание 14 15 3" xfId="12962"/>
    <cellStyle name="Примечание 14 15 3 2" xfId="18294"/>
    <cellStyle name="Примечание 14 15 3 2 2" xfId="32104"/>
    <cellStyle name="Примечание 14 15 3 2 3" xfId="41977"/>
    <cellStyle name="Примечание 14 15 3 3" xfId="23490"/>
    <cellStyle name="Примечание 14 15 3 4" xfId="26836"/>
    <cellStyle name="Примечание 14 15 3 5" xfId="36711"/>
    <cellStyle name="Примечание 14 15 4" xfId="14185"/>
    <cellStyle name="Примечание 14 15 4 2" xfId="16828"/>
    <cellStyle name="Примечание 14 15 4 2 2" xfId="30643"/>
    <cellStyle name="Примечание 14 15 4 2 3" xfId="40518"/>
    <cellStyle name="Примечание 14 15 4 3" xfId="19468"/>
    <cellStyle name="Примечание 14 15 4 3 2" xfId="33278"/>
    <cellStyle name="Примечание 14 15 4 3 3" xfId="43147"/>
    <cellStyle name="Примечание 14 15 4 4" xfId="28006"/>
    <cellStyle name="Примечание 14 15 4 5" xfId="37881"/>
    <cellStyle name="Примечание 14 15 5" xfId="21745"/>
    <cellStyle name="Примечание 14 15 6" xfId="22482"/>
    <cellStyle name="Примечание 14 15 7" xfId="23970"/>
    <cellStyle name="Примечание 14 15 8" xfId="25410"/>
    <cellStyle name="Примечание 14 15 9" xfId="35285"/>
    <cellStyle name="Примечание 14 16" xfId="12134"/>
    <cellStyle name="Примечание 14 16 2" xfId="15032"/>
    <cellStyle name="Примечание 14 16 2 2" xfId="20315"/>
    <cellStyle name="Примечание 14 16 2 2 2" xfId="23234"/>
    <cellStyle name="Примечание 14 16 2 2 3" xfId="34125"/>
    <cellStyle name="Примечание 14 16 2 2 4" xfId="43993"/>
    <cellStyle name="Примечание 14 16 2 3" xfId="23586"/>
    <cellStyle name="Примечание 14 16 2 4" xfId="28852"/>
    <cellStyle name="Примечание 14 16 2 5" xfId="38727"/>
    <cellStyle name="Примечание 14 16 3" xfId="14404"/>
    <cellStyle name="Примечание 14 16 3 2" xfId="16917"/>
    <cellStyle name="Примечание 14 16 3 2 2" xfId="30732"/>
    <cellStyle name="Примечание 14 16 3 2 3" xfId="40607"/>
    <cellStyle name="Примечание 14 16 3 3" xfId="19687"/>
    <cellStyle name="Примечание 14 16 3 3 2" xfId="33497"/>
    <cellStyle name="Примечание 14 16 3 3 3" xfId="43366"/>
    <cellStyle name="Примечание 14 16 3 4" xfId="28225"/>
    <cellStyle name="Примечание 14 16 3 5" xfId="38100"/>
    <cellStyle name="Примечание 14 16 4" xfId="21513"/>
    <cellStyle name="Примечание 14 16 5" xfId="21881"/>
    <cellStyle name="Примечание 14 16 6" xfId="22706"/>
    <cellStyle name="Примечание 14 16 7" xfId="24210"/>
    <cellStyle name="Примечание 14 16 8" xfId="26008"/>
    <cellStyle name="Примечание 14 16 9" xfId="35883"/>
    <cellStyle name="Примечание 14 17" xfId="12214"/>
    <cellStyle name="Примечание 14 17 2" xfId="15112"/>
    <cellStyle name="Примечание 14 17 2 2" xfId="20395"/>
    <cellStyle name="Примечание 14 17 2 2 2" xfId="23250"/>
    <cellStyle name="Примечание 14 17 2 2 3" xfId="34205"/>
    <cellStyle name="Примечание 14 17 2 2 4" xfId="44073"/>
    <cellStyle name="Примечание 14 17 2 3" xfId="23666"/>
    <cellStyle name="Примечание 14 17 2 4" xfId="28932"/>
    <cellStyle name="Примечание 14 17 2 5" xfId="38807"/>
    <cellStyle name="Примечание 14 17 3" xfId="14417"/>
    <cellStyle name="Примечание 14 17 3 2" xfId="16930"/>
    <cellStyle name="Примечание 14 17 3 2 2" xfId="30745"/>
    <cellStyle name="Примечание 14 17 3 2 3" xfId="40620"/>
    <cellStyle name="Примечание 14 17 3 3" xfId="19700"/>
    <cellStyle name="Примечание 14 17 3 3 2" xfId="33510"/>
    <cellStyle name="Примечание 14 17 3 3 3" xfId="43379"/>
    <cellStyle name="Примечание 14 17 3 4" xfId="28238"/>
    <cellStyle name="Примечание 14 17 3 5" xfId="38113"/>
    <cellStyle name="Примечание 14 17 4" xfId="21593"/>
    <cellStyle name="Примечание 14 17 5" xfId="21929"/>
    <cellStyle name="Примечание 14 17 6" xfId="22786"/>
    <cellStyle name="Примечание 14 17 7" xfId="24290"/>
    <cellStyle name="Примечание 14 17 8" xfId="26088"/>
    <cellStyle name="Примечание 14 17 9" xfId="35963"/>
    <cellStyle name="Примечание 14 18" xfId="11802"/>
    <cellStyle name="Примечание 14 18 2" xfId="14700"/>
    <cellStyle name="Примечание 14 18 2 2" xfId="19983"/>
    <cellStyle name="Примечание 14 18 2 2 2" xfId="33793"/>
    <cellStyle name="Примечание 14 18 2 2 3" xfId="43661"/>
    <cellStyle name="Примечание 14 18 2 3" xfId="28520"/>
    <cellStyle name="Примечание 14 18 2 4" xfId="38395"/>
    <cellStyle name="Примечание 14 18 3" xfId="14425"/>
    <cellStyle name="Примечание 14 18 3 2" xfId="16938"/>
    <cellStyle name="Примечание 14 18 3 2 2" xfId="30752"/>
    <cellStyle name="Примечание 14 18 3 2 3" xfId="40627"/>
    <cellStyle name="Примечание 14 18 3 3" xfId="19708"/>
    <cellStyle name="Примечание 14 18 3 3 2" xfId="33518"/>
    <cellStyle name="Примечание 14 18 3 3 3" xfId="43386"/>
    <cellStyle name="Примечание 14 18 3 4" xfId="28245"/>
    <cellStyle name="Примечание 14 18 3 5" xfId="38120"/>
    <cellStyle name="Примечание 14 18 4" xfId="15933"/>
    <cellStyle name="Примечание 14 18 4 2" xfId="23273"/>
    <cellStyle name="Примечание 14 18 4 3" xfId="29752"/>
    <cellStyle name="Примечание 14 18 4 4" xfId="39627"/>
    <cellStyle name="Примечание 14 18 5" xfId="25676"/>
    <cellStyle name="Примечание 14 18 6" xfId="35551"/>
    <cellStyle name="Примечание 14 19" xfId="13529"/>
    <cellStyle name="Примечание 14 19 2" xfId="16227"/>
    <cellStyle name="Примечание 14 19 2 2" xfId="30044"/>
    <cellStyle name="Примечание 14 19 2 3" xfId="39919"/>
    <cellStyle name="Примечание 14 19 3" xfId="18858"/>
    <cellStyle name="Примечание 14 19 3 2" xfId="32668"/>
    <cellStyle name="Примечание 14 19 3 3" xfId="42539"/>
    <cellStyle name="Примечание 14 19 4" xfId="27398"/>
    <cellStyle name="Примечание 14 19 5" xfId="37273"/>
    <cellStyle name="Примечание 14 2" xfId="2201"/>
    <cellStyle name="Примечание 14 2 10" xfId="2845"/>
    <cellStyle name="Примечание 14 2 10 2" xfId="12817"/>
    <cellStyle name="Примечание 14 2 10 2 2" xfId="18149"/>
    <cellStyle name="Примечание 14 2 10 2 2 2" xfId="31959"/>
    <cellStyle name="Примечание 14 2 10 2 2 3" xfId="41832"/>
    <cellStyle name="Примечание 14 2 10 2 3" xfId="26691"/>
    <cellStyle name="Примечание 14 2 10 2 4" xfId="36566"/>
    <cellStyle name="Примечание 14 2 10 3" xfId="14040"/>
    <cellStyle name="Примечание 14 2 10 3 2" xfId="16683"/>
    <cellStyle name="Примечание 14 2 10 3 2 2" xfId="30498"/>
    <cellStyle name="Примечание 14 2 10 3 2 3" xfId="40373"/>
    <cellStyle name="Примечание 14 2 10 3 3" xfId="19323"/>
    <cellStyle name="Примечание 14 2 10 3 3 2" xfId="33133"/>
    <cellStyle name="Примечание 14 2 10 3 3 3" xfId="43002"/>
    <cellStyle name="Примечание 14 2 10 3 4" xfId="27861"/>
    <cellStyle name="Примечание 14 2 10 3 5" xfId="37736"/>
    <cellStyle name="Примечание 14 2 10 4" xfId="15538"/>
    <cellStyle name="Примечание 14 2 10 4 2" xfId="29357"/>
    <cellStyle name="Примечание 14 2 10 4 3" xfId="39232"/>
    <cellStyle name="Примечание 14 2 10 5" xfId="25265"/>
    <cellStyle name="Примечание 14 2 10 6" xfId="35140"/>
    <cellStyle name="Примечание 14 2 11" xfId="2893"/>
    <cellStyle name="Примечание 14 2 11 2" xfId="12863"/>
    <cellStyle name="Примечание 14 2 11 2 2" xfId="18195"/>
    <cellStyle name="Примечание 14 2 11 2 2 2" xfId="32005"/>
    <cellStyle name="Примечание 14 2 11 2 2 3" xfId="41878"/>
    <cellStyle name="Примечание 14 2 11 2 3" xfId="26737"/>
    <cellStyle name="Примечание 14 2 11 2 4" xfId="36612"/>
    <cellStyle name="Примечание 14 2 11 3" xfId="14086"/>
    <cellStyle name="Примечание 14 2 11 3 2" xfId="16729"/>
    <cellStyle name="Примечание 14 2 11 3 2 2" xfId="30544"/>
    <cellStyle name="Примечание 14 2 11 3 2 3" xfId="40419"/>
    <cellStyle name="Примечание 14 2 11 3 3" xfId="19369"/>
    <cellStyle name="Примечание 14 2 11 3 3 2" xfId="33179"/>
    <cellStyle name="Примечание 14 2 11 3 3 3" xfId="43048"/>
    <cellStyle name="Примечание 14 2 11 3 4" xfId="27907"/>
    <cellStyle name="Примечание 14 2 11 3 5" xfId="37782"/>
    <cellStyle name="Примечание 14 2 11 4" xfId="15584"/>
    <cellStyle name="Примечание 14 2 11 4 2" xfId="29403"/>
    <cellStyle name="Примечание 14 2 11 4 3" xfId="39278"/>
    <cellStyle name="Примечание 14 2 11 5" xfId="25311"/>
    <cellStyle name="Примечание 14 2 11 6" xfId="35186"/>
    <cellStyle name="Примечание 14 2 12" xfId="2947"/>
    <cellStyle name="Примечание 14 2 12 2" xfId="12916"/>
    <cellStyle name="Примечание 14 2 12 2 2" xfId="18248"/>
    <cellStyle name="Примечание 14 2 12 2 2 2" xfId="32058"/>
    <cellStyle name="Примечание 14 2 12 2 2 3" xfId="41931"/>
    <cellStyle name="Примечание 14 2 12 2 3" xfId="26790"/>
    <cellStyle name="Примечание 14 2 12 2 4" xfId="36665"/>
    <cellStyle name="Примечание 14 2 12 3" xfId="14139"/>
    <cellStyle name="Примечание 14 2 12 3 2" xfId="16782"/>
    <cellStyle name="Примечание 14 2 12 3 2 2" xfId="30597"/>
    <cellStyle name="Примечание 14 2 12 3 2 3" xfId="40472"/>
    <cellStyle name="Примечание 14 2 12 3 3" xfId="19422"/>
    <cellStyle name="Примечание 14 2 12 3 3 2" xfId="33232"/>
    <cellStyle name="Примечание 14 2 12 3 3 3" xfId="43101"/>
    <cellStyle name="Примечание 14 2 12 3 4" xfId="27960"/>
    <cellStyle name="Примечание 14 2 12 3 5" xfId="37835"/>
    <cellStyle name="Примечание 14 2 12 4" xfId="15637"/>
    <cellStyle name="Примечание 14 2 12 4 2" xfId="29456"/>
    <cellStyle name="Примечание 14 2 12 4 3" xfId="39331"/>
    <cellStyle name="Примечание 14 2 12 5" xfId="25364"/>
    <cellStyle name="Примечание 14 2 12 6" xfId="35239"/>
    <cellStyle name="Примечание 14 2 13" xfId="2996"/>
    <cellStyle name="Примечание 14 2 13 2" xfId="12963"/>
    <cellStyle name="Примечание 14 2 13 2 2" xfId="18295"/>
    <cellStyle name="Примечание 14 2 13 2 2 2" xfId="32105"/>
    <cellStyle name="Примечание 14 2 13 2 2 3" xfId="41978"/>
    <cellStyle name="Примечание 14 2 13 2 3" xfId="26837"/>
    <cellStyle name="Примечание 14 2 13 2 4" xfId="36712"/>
    <cellStyle name="Примечание 14 2 13 3" xfId="14186"/>
    <cellStyle name="Примечание 14 2 13 3 2" xfId="16829"/>
    <cellStyle name="Примечание 14 2 13 3 2 2" xfId="30644"/>
    <cellStyle name="Примечание 14 2 13 3 2 3" xfId="40519"/>
    <cellStyle name="Примечание 14 2 13 3 3" xfId="19469"/>
    <cellStyle name="Примечание 14 2 13 3 3 2" xfId="33279"/>
    <cellStyle name="Примечание 14 2 13 3 3 3" xfId="43148"/>
    <cellStyle name="Примечание 14 2 13 3 4" xfId="28007"/>
    <cellStyle name="Примечание 14 2 13 3 5" xfId="37882"/>
    <cellStyle name="Примечание 14 2 13 4" xfId="15679"/>
    <cellStyle name="Примечание 14 2 13 4 2" xfId="29498"/>
    <cellStyle name="Примечание 14 2 13 4 3" xfId="39373"/>
    <cellStyle name="Примечание 14 2 13 5" xfId="25411"/>
    <cellStyle name="Примечание 14 2 13 6" xfId="35286"/>
    <cellStyle name="Примечание 14 2 14" xfId="11803"/>
    <cellStyle name="Примечание 14 2 14 2" xfId="14701"/>
    <cellStyle name="Примечание 14 2 14 2 2" xfId="19984"/>
    <cellStyle name="Примечание 14 2 14 2 2 2" xfId="33794"/>
    <cellStyle name="Примечание 14 2 14 2 2 3" xfId="43662"/>
    <cellStyle name="Примечание 14 2 14 2 3" xfId="28521"/>
    <cellStyle name="Примечание 14 2 14 2 4" xfId="38396"/>
    <cellStyle name="Примечание 14 2 14 3" xfId="14426"/>
    <cellStyle name="Примечание 14 2 14 3 2" xfId="16939"/>
    <cellStyle name="Примечание 14 2 14 3 2 2" xfId="30753"/>
    <cellStyle name="Примечание 14 2 14 3 2 3" xfId="40628"/>
    <cellStyle name="Примечание 14 2 14 3 3" xfId="19709"/>
    <cellStyle name="Примечание 14 2 14 3 3 2" xfId="33519"/>
    <cellStyle name="Примечание 14 2 14 3 3 3" xfId="43387"/>
    <cellStyle name="Примечание 14 2 14 3 4" xfId="28246"/>
    <cellStyle name="Примечание 14 2 14 3 5" xfId="38121"/>
    <cellStyle name="Примечание 14 2 14 4" xfId="15934"/>
    <cellStyle name="Примечание 14 2 14 4 2" xfId="24561"/>
    <cellStyle name="Примечание 14 2 14 4 3" xfId="29753"/>
    <cellStyle name="Примечание 14 2 14 4 4" xfId="39628"/>
    <cellStyle name="Примечание 14 2 14 5" xfId="25677"/>
    <cellStyle name="Примечание 14 2 14 6" xfId="35552"/>
    <cellStyle name="Примечание 14 2 15" xfId="12378"/>
    <cellStyle name="Примечание 14 2 15 2" xfId="17710"/>
    <cellStyle name="Примечание 14 2 15 2 2" xfId="31520"/>
    <cellStyle name="Примечание 14 2 15 2 3" xfId="41393"/>
    <cellStyle name="Примечание 14 2 15 3" xfId="26252"/>
    <cellStyle name="Примечание 14 2 15 4" xfId="36127"/>
    <cellStyle name="Примечание 14 2 16" xfId="13530"/>
    <cellStyle name="Примечание 14 2 16 2" xfId="16228"/>
    <cellStyle name="Примечание 14 2 16 2 2" xfId="30045"/>
    <cellStyle name="Примечание 14 2 16 2 3" xfId="39920"/>
    <cellStyle name="Примечание 14 2 16 3" xfId="18859"/>
    <cellStyle name="Примечание 14 2 16 3 2" xfId="32669"/>
    <cellStyle name="Примечание 14 2 16 3 3" xfId="42540"/>
    <cellStyle name="Примечание 14 2 16 4" xfId="27399"/>
    <cellStyle name="Примечание 14 2 16 5" xfId="37274"/>
    <cellStyle name="Примечание 14 2 17" xfId="13480"/>
    <cellStyle name="Примечание 14 2 17 2" xfId="18809"/>
    <cellStyle name="Примечание 14 2 17 2 2" xfId="32619"/>
    <cellStyle name="Примечание 14 2 17 2 3" xfId="42490"/>
    <cellStyle name="Примечание 14 2 17 3" xfId="27349"/>
    <cellStyle name="Примечание 14 2 17 4" xfId="37224"/>
    <cellStyle name="Примечание 14 2 18" xfId="17381"/>
    <cellStyle name="Примечание 14 2 18 2" xfId="31192"/>
    <cellStyle name="Примечание 14 2 18 3" xfId="41066"/>
    <cellStyle name="Примечание 14 2 19" xfId="24815"/>
    <cellStyle name="Примечание 14 2 2" xfId="2576"/>
    <cellStyle name="Примечание 14 2 2 2" xfId="10785"/>
    <cellStyle name="Примечание 14 2 2 3" xfId="12562"/>
    <cellStyle name="Примечание 14 2 2 3 2" xfId="17894"/>
    <cellStyle name="Примечание 14 2 2 3 2 2" xfId="31704"/>
    <cellStyle name="Примечание 14 2 2 3 2 3" xfId="41577"/>
    <cellStyle name="Примечание 14 2 2 3 3" xfId="26436"/>
    <cellStyle name="Примечание 14 2 2 3 4" xfId="36311"/>
    <cellStyle name="Примечание 14 2 2 4" xfId="13784"/>
    <cellStyle name="Примечание 14 2 2 4 2" xfId="16427"/>
    <cellStyle name="Примечание 14 2 2 4 2 2" xfId="30243"/>
    <cellStyle name="Примечание 14 2 2 4 2 3" xfId="40118"/>
    <cellStyle name="Примечание 14 2 2 4 3" xfId="19067"/>
    <cellStyle name="Примечание 14 2 2 4 3 2" xfId="32877"/>
    <cellStyle name="Примечание 14 2 2 4 3 3" xfId="42747"/>
    <cellStyle name="Примечание 14 2 2 4 4" xfId="27606"/>
    <cellStyle name="Примечание 14 2 2 4 5" xfId="37481"/>
    <cellStyle name="Примечание 14 2 2 5" xfId="15282"/>
    <cellStyle name="Примечание 14 2 2 5 2" xfId="29102"/>
    <cellStyle name="Примечание 14 2 2 5 3" xfId="38977"/>
    <cellStyle name="Примечание 14 2 2 6" xfId="25010"/>
    <cellStyle name="Примечание 14 2 2 7" xfId="34885"/>
    <cellStyle name="Примечание 14 2 20" xfId="34432"/>
    <cellStyle name="Примечание 14 2 21" xfId="34682"/>
    <cellStyle name="Примечание 14 2 3" xfId="2464"/>
    <cellStyle name="Примечание 14 2 3 2" xfId="12469"/>
    <cellStyle name="Примечание 14 2 3 2 2" xfId="17801"/>
    <cellStyle name="Примечание 14 2 3 2 2 2" xfId="31611"/>
    <cellStyle name="Примечание 14 2 3 2 2 3" xfId="41484"/>
    <cellStyle name="Примечание 14 2 3 2 3" xfId="26343"/>
    <cellStyle name="Примечание 14 2 3 2 4" xfId="36218"/>
    <cellStyle name="Примечание 14 2 3 3" xfId="13691"/>
    <cellStyle name="Примечание 14 2 3 3 2" xfId="16334"/>
    <cellStyle name="Примечание 14 2 3 3 2 2" xfId="30150"/>
    <cellStyle name="Примечание 14 2 3 3 2 3" xfId="40025"/>
    <cellStyle name="Примечание 14 2 3 3 3" xfId="18974"/>
    <cellStyle name="Примечание 14 2 3 3 3 2" xfId="32784"/>
    <cellStyle name="Примечание 14 2 3 3 3 3" xfId="42654"/>
    <cellStyle name="Примечание 14 2 3 3 4" xfId="27513"/>
    <cellStyle name="Примечание 14 2 3 3 5" xfId="37388"/>
    <cellStyle name="Примечание 14 2 3 4" xfId="15189"/>
    <cellStyle name="Примечание 14 2 3 4 2" xfId="29009"/>
    <cellStyle name="Примечание 14 2 3 4 3" xfId="38884"/>
    <cellStyle name="Примечание 14 2 3 5" xfId="24917"/>
    <cellStyle name="Примечание 14 2 3 6" xfId="34792"/>
    <cellStyle name="Примечание 14 2 4" xfId="2511"/>
    <cellStyle name="Примечание 14 2 4 2" xfId="12497"/>
    <cellStyle name="Примечание 14 2 4 2 2" xfId="17829"/>
    <cellStyle name="Примечание 14 2 4 2 2 2" xfId="31639"/>
    <cellStyle name="Примечание 14 2 4 2 2 3" xfId="41512"/>
    <cellStyle name="Примечание 14 2 4 2 3" xfId="26371"/>
    <cellStyle name="Примечание 14 2 4 2 4" xfId="36246"/>
    <cellStyle name="Примечание 14 2 4 3" xfId="13719"/>
    <cellStyle name="Примечание 14 2 4 3 2" xfId="16362"/>
    <cellStyle name="Примечание 14 2 4 3 2 2" xfId="30178"/>
    <cellStyle name="Примечание 14 2 4 3 2 3" xfId="40053"/>
    <cellStyle name="Примечание 14 2 4 3 3" xfId="19002"/>
    <cellStyle name="Примечание 14 2 4 3 3 2" xfId="32812"/>
    <cellStyle name="Примечание 14 2 4 3 3 3" xfId="42682"/>
    <cellStyle name="Примечание 14 2 4 3 4" xfId="27541"/>
    <cellStyle name="Примечание 14 2 4 3 5" xfId="37416"/>
    <cellStyle name="Примечание 14 2 4 4" xfId="15217"/>
    <cellStyle name="Примечание 14 2 4 4 2" xfId="29037"/>
    <cellStyle name="Примечание 14 2 4 4 3" xfId="38912"/>
    <cellStyle name="Примечание 14 2 4 5" xfId="24945"/>
    <cellStyle name="Примечание 14 2 4 6" xfId="34820"/>
    <cellStyle name="Примечание 14 2 5" xfId="2415"/>
    <cellStyle name="Примечание 14 2 5 2" xfId="12420"/>
    <cellStyle name="Примечание 14 2 5 2 2" xfId="17752"/>
    <cellStyle name="Примечание 14 2 5 2 2 2" xfId="31562"/>
    <cellStyle name="Примечание 14 2 5 2 2 3" xfId="41435"/>
    <cellStyle name="Примечание 14 2 5 2 3" xfId="26294"/>
    <cellStyle name="Примечание 14 2 5 2 4" xfId="36169"/>
    <cellStyle name="Примечание 14 2 5 3" xfId="13642"/>
    <cellStyle name="Примечание 14 2 5 3 2" xfId="16285"/>
    <cellStyle name="Примечание 14 2 5 3 2 2" xfId="30101"/>
    <cellStyle name="Примечание 14 2 5 3 2 3" xfId="39976"/>
    <cellStyle name="Примечание 14 2 5 3 3" xfId="18925"/>
    <cellStyle name="Примечание 14 2 5 3 3 2" xfId="32735"/>
    <cellStyle name="Примечание 14 2 5 3 3 3" xfId="42605"/>
    <cellStyle name="Примечание 14 2 5 3 4" xfId="27464"/>
    <cellStyle name="Примечание 14 2 5 3 5" xfId="37339"/>
    <cellStyle name="Примечание 14 2 5 4" xfId="15140"/>
    <cellStyle name="Примечание 14 2 5 4 2" xfId="28960"/>
    <cellStyle name="Примечание 14 2 5 4 3" xfId="38835"/>
    <cellStyle name="Примечание 14 2 5 5" xfId="24868"/>
    <cellStyle name="Примечание 14 2 5 6" xfId="34743"/>
    <cellStyle name="Примечание 14 2 6" xfId="2561"/>
    <cellStyle name="Примечание 14 2 6 2" xfId="12547"/>
    <cellStyle name="Примечание 14 2 6 2 2" xfId="17879"/>
    <cellStyle name="Примечание 14 2 6 2 2 2" xfId="31689"/>
    <cellStyle name="Примечание 14 2 6 2 2 3" xfId="41562"/>
    <cellStyle name="Примечание 14 2 6 2 3" xfId="26421"/>
    <cellStyle name="Примечание 14 2 6 2 4" xfId="36296"/>
    <cellStyle name="Примечание 14 2 6 3" xfId="13769"/>
    <cellStyle name="Примечание 14 2 6 3 2" xfId="16412"/>
    <cellStyle name="Примечание 14 2 6 3 2 2" xfId="30228"/>
    <cellStyle name="Примечание 14 2 6 3 2 3" xfId="40103"/>
    <cellStyle name="Примечание 14 2 6 3 3" xfId="19052"/>
    <cellStyle name="Примечание 14 2 6 3 3 2" xfId="32862"/>
    <cellStyle name="Примечание 14 2 6 3 3 3" xfId="42732"/>
    <cellStyle name="Примечание 14 2 6 3 4" xfId="27591"/>
    <cellStyle name="Примечание 14 2 6 3 5" xfId="37466"/>
    <cellStyle name="Примечание 14 2 6 4" xfId="15267"/>
    <cellStyle name="Примечание 14 2 6 4 2" xfId="29087"/>
    <cellStyle name="Примечание 14 2 6 4 3" xfId="38962"/>
    <cellStyle name="Примечание 14 2 6 5" xfId="24995"/>
    <cellStyle name="Примечание 14 2 6 6" xfId="34870"/>
    <cellStyle name="Примечание 14 2 7" xfId="2739"/>
    <cellStyle name="Примечание 14 2 7 2" xfId="12715"/>
    <cellStyle name="Примечание 14 2 7 2 2" xfId="18047"/>
    <cellStyle name="Примечание 14 2 7 2 2 2" xfId="31857"/>
    <cellStyle name="Примечание 14 2 7 2 2 3" xfId="41730"/>
    <cellStyle name="Примечание 14 2 7 2 3" xfId="26589"/>
    <cellStyle name="Примечание 14 2 7 2 4" xfId="36464"/>
    <cellStyle name="Примечание 14 2 7 3" xfId="13938"/>
    <cellStyle name="Примечание 14 2 7 3 2" xfId="16581"/>
    <cellStyle name="Примечание 14 2 7 3 2 2" xfId="30396"/>
    <cellStyle name="Примечание 14 2 7 3 2 3" xfId="40271"/>
    <cellStyle name="Примечание 14 2 7 3 3" xfId="19221"/>
    <cellStyle name="Примечание 14 2 7 3 3 2" xfId="33031"/>
    <cellStyle name="Примечание 14 2 7 3 3 3" xfId="42900"/>
    <cellStyle name="Примечание 14 2 7 3 4" xfId="27759"/>
    <cellStyle name="Примечание 14 2 7 3 5" xfId="37634"/>
    <cellStyle name="Примечание 14 2 7 4" xfId="15436"/>
    <cellStyle name="Примечание 14 2 7 4 2" xfId="29255"/>
    <cellStyle name="Примечание 14 2 7 4 3" xfId="39130"/>
    <cellStyle name="Примечание 14 2 7 5" xfId="25163"/>
    <cellStyle name="Примечание 14 2 7 6" xfId="35038"/>
    <cellStyle name="Примечание 14 2 8" xfId="2661"/>
    <cellStyle name="Примечание 14 2 8 2" xfId="12647"/>
    <cellStyle name="Примечание 14 2 8 2 2" xfId="17979"/>
    <cellStyle name="Примечание 14 2 8 2 2 2" xfId="31789"/>
    <cellStyle name="Примечание 14 2 8 2 2 3" xfId="41662"/>
    <cellStyle name="Примечание 14 2 8 2 3" xfId="26521"/>
    <cellStyle name="Примечание 14 2 8 2 4" xfId="36396"/>
    <cellStyle name="Примечание 14 2 8 3" xfId="13869"/>
    <cellStyle name="Примечание 14 2 8 3 2" xfId="16512"/>
    <cellStyle name="Примечание 14 2 8 3 2 2" xfId="30328"/>
    <cellStyle name="Примечание 14 2 8 3 2 3" xfId="40203"/>
    <cellStyle name="Примечание 14 2 8 3 3" xfId="19152"/>
    <cellStyle name="Примечание 14 2 8 3 3 2" xfId="32962"/>
    <cellStyle name="Примечание 14 2 8 3 3 3" xfId="42832"/>
    <cellStyle name="Примечание 14 2 8 3 4" xfId="27691"/>
    <cellStyle name="Примечание 14 2 8 3 5" xfId="37566"/>
    <cellStyle name="Примечание 14 2 8 4" xfId="15367"/>
    <cellStyle name="Примечание 14 2 8 4 2" xfId="29187"/>
    <cellStyle name="Примечание 14 2 8 4 3" xfId="39062"/>
    <cellStyle name="Примечание 14 2 8 5" xfId="25095"/>
    <cellStyle name="Примечание 14 2 8 6" xfId="34970"/>
    <cellStyle name="Примечание 14 2 9" xfId="2789"/>
    <cellStyle name="Примечание 14 2 9 2" xfId="12764"/>
    <cellStyle name="Примечание 14 2 9 2 2" xfId="18096"/>
    <cellStyle name="Примечание 14 2 9 2 2 2" xfId="31906"/>
    <cellStyle name="Примечание 14 2 9 2 2 3" xfId="41779"/>
    <cellStyle name="Примечание 14 2 9 2 3" xfId="26638"/>
    <cellStyle name="Примечание 14 2 9 2 4" xfId="36513"/>
    <cellStyle name="Примечание 14 2 9 3" xfId="13987"/>
    <cellStyle name="Примечание 14 2 9 3 2" xfId="16630"/>
    <cellStyle name="Примечание 14 2 9 3 2 2" xfId="30445"/>
    <cellStyle name="Примечание 14 2 9 3 2 3" xfId="40320"/>
    <cellStyle name="Примечание 14 2 9 3 3" xfId="19270"/>
    <cellStyle name="Примечание 14 2 9 3 3 2" xfId="33080"/>
    <cellStyle name="Примечание 14 2 9 3 3 3" xfId="42949"/>
    <cellStyle name="Примечание 14 2 9 3 4" xfId="27808"/>
    <cellStyle name="Примечание 14 2 9 3 5" xfId="37683"/>
    <cellStyle name="Примечание 14 2 9 4" xfId="15485"/>
    <cellStyle name="Примечание 14 2 9 4 2" xfId="29304"/>
    <cellStyle name="Примечание 14 2 9 4 3" xfId="39179"/>
    <cellStyle name="Примечание 14 2 9 5" xfId="25212"/>
    <cellStyle name="Примечание 14 2 9 6" xfId="35087"/>
    <cellStyle name="Примечание 14 20" xfId="13479"/>
    <cellStyle name="Примечание 14 20 2" xfId="18808"/>
    <cellStyle name="Примечание 14 20 2 2" xfId="32618"/>
    <cellStyle name="Примечание 14 20 2 3" xfId="42489"/>
    <cellStyle name="Примечание 14 20 3" xfId="27348"/>
    <cellStyle name="Примечание 14 20 4" xfId="37223"/>
    <cellStyle name="Примечание 14 21" xfId="17380"/>
    <cellStyle name="Примечание 14 21 2" xfId="21126"/>
    <cellStyle name="Примечание 14 21 3" xfId="31191"/>
    <cellStyle name="Примечание 14 21 4" xfId="41065"/>
    <cellStyle name="Примечание 14 22" xfId="23890"/>
    <cellStyle name="Примечание 14 23" xfId="24814"/>
    <cellStyle name="Примечание 14 24" xfId="34431"/>
    <cellStyle name="Примечание 14 25" xfId="34681"/>
    <cellStyle name="Примечание 14 3" xfId="2202"/>
    <cellStyle name="Примечание 14 3 10" xfId="2846"/>
    <cellStyle name="Примечание 14 3 10 2" xfId="12818"/>
    <cellStyle name="Примечание 14 3 10 2 2" xfId="18150"/>
    <cellStyle name="Примечание 14 3 10 2 2 2" xfId="31960"/>
    <cellStyle name="Примечание 14 3 10 2 2 3" xfId="41833"/>
    <cellStyle name="Примечание 14 3 10 2 3" xfId="26692"/>
    <cellStyle name="Примечание 14 3 10 2 4" xfId="36567"/>
    <cellStyle name="Примечание 14 3 10 3" xfId="14041"/>
    <cellStyle name="Примечание 14 3 10 3 2" xfId="16684"/>
    <cellStyle name="Примечание 14 3 10 3 2 2" xfId="30499"/>
    <cellStyle name="Примечание 14 3 10 3 2 3" xfId="40374"/>
    <cellStyle name="Примечание 14 3 10 3 3" xfId="19324"/>
    <cellStyle name="Примечание 14 3 10 3 3 2" xfId="33134"/>
    <cellStyle name="Примечание 14 3 10 3 3 3" xfId="43003"/>
    <cellStyle name="Примечание 14 3 10 3 4" xfId="27862"/>
    <cellStyle name="Примечание 14 3 10 3 5" xfId="37737"/>
    <cellStyle name="Примечание 14 3 10 4" xfId="15539"/>
    <cellStyle name="Примечание 14 3 10 4 2" xfId="29358"/>
    <cellStyle name="Примечание 14 3 10 4 3" xfId="39233"/>
    <cellStyle name="Примечание 14 3 10 5" xfId="25266"/>
    <cellStyle name="Примечание 14 3 10 6" xfId="35141"/>
    <cellStyle name="Примечание 14 3 11" xfId="2894"/>
    <cellStyle name="Примечание 14 3 11 2" xfId="12864"/>
    <cellStyle name="Примечание 14 3 11 2 2" xfId="18196"/>
    <cellStyle name="Примечание 14 3 11 2 2 2" xfId="32006"/>
    <cellStyle name="Примечание 14 3 11 2 2 3" xfId="41879"/>
    <cellStyle name="Примечание 14 3 11 2 3" xfId="26738"/>
    <cellStyle name="Примечание 14 3 11 2 4" xfId="36613"/>
    <cellStyle name="Примечание 14 3 11 3" xfId="14087"/>
    <cellStyle name="Примечание 14 3 11 3 2" xfId="16730"/>
    <cellStyle name="Примечание 14 3 11 3 2 2" xfId="30545"/>
    <cellStyle name="Примечание 14 3 11 3 2 3" xfId="40420"/>
    <cellStyle name="Примечание 14 3 11 3 3" xfId="19370"/>
    <cellStyle name="Примечание 14 3 11 3 3 2" xfId="33180"/>
    <cellStyle name="Примечание 14 3 11 3 3 3" xfId="43049"/>
    <cellStyle name="Примечание 14 3 11 3 4" xfId="27908"/>
    <cellStyle name="Примечание 14 3 11 3 5" xfId="37783"/>
    <cellStyle name="Примечание 14 3 11 4" xfId="15585"/>
    <cellStyle name="Примечание 14 3 11 4 2" xfId="29404"/>
    <cellStyle name="Примечание 14 3 11 4 3" xfId="39279"/>
    <cellStyle name="Примечание 14 3 11 5" xfId="25312"/>
    <cellStyle name="Примечание 14 3 11 6" xfId="35187"/>
    <cellStyle name="Примечание 14 3 12" xfId="2948"/>
    <cellStyle name="Примечание 14 3 12 2" xfId="12917"/>
    <cellStyle name="Примечание 14 3 12 2 2" xfId="18249"/>
    <cellStyle name="Примечание 14 3 12 2 2 2" xfId="32059"/>
    <cellStyle name="Примечание 14 3 12 2 2 3" xfId="41932"/>
    <cellStyle name="Примечание 14 3 12 2 3" xfId="26791"/>
    <cellStyle name="Примечание 14 3 12 2 4" xfId="36666"/>
    <cellStyle name="Примечание 14 3 12 3" xfId="14140"/>
    <cellStyle name="Примечание 14 3 12 3 2" xfId="16783"/>
    <cellStyle name="Примечание 14 3 12 3 2 2" xfId="30598"/>
    <cellStyle name="Примечание 14 3 12 3 2 3" xfId="40473"/>
    <cellStyle name="Примечание 14 3 12 3 3" xfId="19423"/>
    <cellStyle name="Примечание 14 3 12 3 3 2" xfId="33233"/>
    <cellStyle name="Примечание 14 3 12 3 3 3" xfId="43102"/>
    <cellStyle name="Примечание 14 3 12 3 4" xfId="27961"/>
    <cellStyle name="Примечание 14 3 12 3 5" xfId="37836"/>
    <cellStyle name="Примечание 14 3 12 4" xfId="15638"/>
    <cellStyle name="Примечание 14 3 12 4 2" xfId="29457"/>
    <cellStyle name="Примечание 14 3 12 4 3" xfId="39332"/>
    <cellStyle name="Примечание 14 3 12 5" xfId="25365"/>
    <cellStyle name="Примечание 14 3 12 6" xfId="35240"/>
    <cellStyle name="Примечание 14 3 13" xfId="2997"/>
    <cellStyle name="Примечание 14 3 13 2" xfId="12964"/>
    <cellStyle name="Примечание 14 3 13 2 2" xfId="18296"/>
    <cellStyle name="Примечание 14 3 13 2 2 2" xfId="32106"/>
    <cellStyle name="Примечание 14 3 13 2 2 3" xfId="41979"/>
    <cellStyle name="Примечание 14 3 13 2 3" xfId="26838"/>
    <cellStyle name="Примечание 14 3 13 2 4" xfId="36713"/>
    <cellStyle name="Примечание 14 3 13 3" xfId="14187"/>
    <cellStyle name="Примечание 14 3 13 3 2" xfId="16830"/>
    <cellStyle name="Примечание 14 3 13 3 2 2" xfId="30645"/>
    <cellStyle name="Примечание 14 3 13 3 2 3" xfId="40520"/>
    <cellStyle name="Примечание 14 3 13 3 3" xfId="19470"/>
    <cellStyle name="Примечание 14 3 13 3 3 2" xfId="33280"/>
    <cellStyle name="Примечание 14 3 13 3 3 3" xfId="43149"/>
    <cellStyle name="Примечание 14 3 13 3 4" xfId="28008"/>
    <cellStyle name="Примечание 14 3 13 3 5" xfId="37883"/>
    <cellStyle name="Примечание 14 3 13 4" xfId="15680"/>
    <cellStyle name="Примечание 14 3 13 4 2" xfId="29499"/>
    <cellStyle name="Примечание 14 3 13 4 3" xfId="39374"/>
    <cellStyle name="Примечание 14 3 13 5" xfId="25412"/>
    <cellStyle name="Примечание 14 3 13 6" xfId="35287"/>
    <cellStyle name="Примечание 14 3 14" xfId="11804"/>
    <cellStyle name="Примечание 14 3 14 2" xfId="14702"/>
    <cellStyle name="Примечание 14 3 14 2 2" xfId="19985"/>
    <cellStyle name="Примечание 14 3 14 2 2 2" xfId="33795"/>
    <cellStyle name="Примечание 14 3 14 2 2 3" xfId="43663"/>
    <cellStyle name="Примечание 14 3 14 2 3" xfId="28522"/>
    <cellStyle name="Примечание 14 3 14 2 4" xfId="38397"/>
    <cellStyle name="Примечание 14 3 14 3" xfId="13052"/>
    <cellStyle name="Примечание 14 3 14 3 2" xfId="16003"/>
    <cellStyle name="Примечание 14 3 14 3 2 2" xfId="29822"/>
    <cellStyle name="Примечание 14 3 14 3 2 3" xfId="39697"/>
    <cellStyle name="Примечание 14 3 14 3 3" xfId="18384"/>
    <cellStyle name="Примечание 14 3 14 3 3 2" xfId="32194"/>
    <cellStyle name="Примечание 14 3 14 3 3 3" xfId="42067"/>
    <cellStyle name="Примечание 14 3 14 3 4" xfId="26926"/>
    <cellStyle name="Примечание 14 3 14 3 5" xfId="36801"/>
    <cellStyle name="Примечание 14 3 14 4" xfId="15935"/>
    <cellStyle name="Примечание 14 3 14 4 2" xfId="24562"/>
    <cellStyle name="Примечание 14 3 14 4 3" xfId="29754"/>
    <cellStyle name="Примечание 14 3 14 4 4" xfId="39629"/>
    <cellStyle name="Примечание 14 3 14 5" xfId="25678"/>
    <cellStyle name="Примечание 14 3 14 6" xfId="35553"/>
    <cellStyle name="Примечание 14 3 15" xfId="12379"/>
    <cellStyle name="Примечание 14 3 15 2" xfId="17711"/>
    <cellStyle name="Примечание 14 3 15 2 2" xfId="31521"/>
    <cellStyle name="Примечание 14 3 15 2 3" xfId="41394"/>
    <cellStyle name="Примечание 14 3 15 3" xfId="26253"/>
    <cellStyle name="Примечание 14 3 15 4" xfId="36128"/>
    <cellStyle name="Примечание 14 3 16" xfId="13531"/>
    <cellStyle name="Примечание 14 3 16 2" xfId="16229"/>
    <cellStyle name="Примечание 14 3 16 2 2" xfId="30046"/>
    <cellStyle name="Примечание 14 3 16 2 3" xfId="39921"/>
    <cellStyle name="Примечание 14 3 16 3" xfId="18860"/>
    <cellStyle name="Примечание 14 3 16 3 2" xfId="32670"/>
    <cellStyle name="Примечание 14 3 16 3 3" xfId="42541"/>
    <cellStyle name="Примечание 14 3 16 4" xfId="27400"/>
    <cellStyle name="Примечание 14 3 16 5" xfId="37275"/>
    <cellStyle name="Примечание 14 3 17" xfId="13481"/>
    <cellStyle name="Примечание 14 3 17 2" xfId="18810"/>
    <cellStyle name="Примечание 14 3 17 2 2" xfId="32620"/>
    <cellStyle name="Примечание 14 3 17 2 3" xfId="42491"/>
    <cellStyle name="Примечание 14 3 17 3" xfId="27350"/>
    <cellStyle name="Примечание 14 3 17 4" xfId="37225"/>
    <cellStyle name="Примечание 14 3 18" xfId="17382"/>
    <cellStyle name="Примечание 14 3 18 2" xfId="31193"/>
    <cellStyle name="Примечание 14 3 18 3" xfId="41067"/>
    <cellStyle name="Примечание 14 3 19" xfId="24816"/>
    <cellStyle name="Примечание 14 3 2" xfId="2577"/>
    <cellStyle name="Примечание 14 3 2 2" xfId="10786"/>
    <cellStyle name="Примечание 14 3 2 3" xfId="12563"/>
    <cellStyle name="Примечание 14 3 2 3 2" xfId="17895"/>
    <cellStyle name="Примечание 14 3 2 3 2 2" xfId="31705"/>
    <cellStyle name="Примечание 14 3 2 3 2 3" xfId="41578"/>
    <cellStyle name="Примечание 14 3 2 3 3" xfId="26437"/>
    <cellStyle name="Примечание 14 3 2 3 4" xfId="36312"/>
    <cellStyle name="Примечание 14 3 2 4" xfId="13785"/>
    <cellStyle name="Примечание 14 3 2 4 2" xfId="16428"/>
    <cellStyle name="Примечание 14 3 2 4 2 2" xfId="30244"/>
    <cellStyle name="Примечание 14 3 2 4 2 3" xfId="40119"/>
    <cellStyle name="Примечание 14 3 2 4 3" xfId="19068"/>
    <cellStyle name="Примечание 14 3 2 4 3 2" xfId="32878"/>
    <cellStyle name="Примечание 14 3 2 4 3 3" xfId="42748"/>
    <cellStyle name="Примечание 14 3 2 4 4" xfId="27607"/>
    <cellStyle name="Примечание 14 3 2 4 5" xfId="37482"/>
    <cellStyle name="Примечание 14 3 2 5" xfId="15283"/>
    <cellStyle name="Примечание 14 3 2 5 2" xfId="29103"/>
    <cellStyle name="Примечание 14 3 2 5 3" xfId="38978"/>
    <cellStyle name="Примечание 14 3 2 6" xfId="25011"/>
    <cellStyle name="Примечание 14 3 2 7" xfId="34886"/>
    <cellStyle name="Примечание 14 3 20" xfId="34433"/>
    <cellStyle name="Примечание 14 3 21" xfId="34683"/>
    <cellStyle name="Примечание 14 3 3" xfId="2463"/>
    <cellStyle name="Примечание 14 3 3 2" xfId="12468"/>
    <cellStyle name="Примечание 14 3 3 2 2" xfId="17800"/>
    <cellStyle name="Примечание 14 3 3 2 2 2" xfId="31610"/>
    <cellStyle name="Примечание 14 3 3 2 2 3" xfId="41483"/>
    <cellStyle name="Примечание 14 3 3 2 3" xfId="26342"/>
    <cellStyle name="Примечание 14 3 3 2 4" xfId="36217"/>
    <cellStyle name="Примечание 14 3 3 3" xfId="13690"/>
    <cellStyle name="Примечание 14 3 3 3 2" xfId="16333"/>
    <cellStyle name="Примечание 14 3 3 3 2 2" xfId="30149"/>
    <cellStyle name="Примечание 14 3 3 3 2 3" xfId="40024"/>
    <cellStyle name="Примечание 14 3 3 3 3" xfId="18973"/>
    <cellStyle name="Примечание 14 3 3 3 3 2" xfId="32783"/>
    <cellStyle name="Примечание 14 3 3 3 3 3" xfId="42653"/>
    <cellStyle name="Примечание 14 3 3 3 4" xfId="27512"/>
    <cellStyle name="Примечание 14 3 3 3 5" xfId="37387"/>
    <cellStyle name="Примечание 14 3 3 4" xfId="15188"/>
    <cellStyle name="Примечание 14 3 3 4 2" xfId="29008"/>
    <cellStyle name="Примечание 14 3 3 4 3" xfId="38883"/>
    <cellStyle name="Примечание 14 3 3 5" xfId="24916"/>
    <cellStyle name="Примечание 14 3 3 6" xfId="34791"/>
    <cellStyle name="Примечание 14 3 4" xfId="2512"/>
    <cellStyle name="Примечание 14 3 4 2" xfId="12498"/>
    <cellStyle name="Примечание 14 3 4 2 2" xfId="17830"/>
    <cellStyle name="Примечание 14 3 4 2 2 2" xfId="31640"/>
    <cellStyle name="Примечание 14 3 4 2 2 3" xfId="41513"/>
    <cellStyle name="Примечание 14 3 4 2 3" xfId="26372"/>
    <cellStyle name="Примечание 14 3 4 2 4" xfId="36247"/>
    <cellStyle name="Примечание 14 3 4 3" xfId="13720"/>
    <cellStyle name="Примечание 14 3 4 3 2" xfId="16363"/>
    <cellStyle name="Примечание 14 3 4 3 2 2" xfId="30179"/>
    <cellStyle name="Примечание 14 3 4 3 2 3" xfId="40054"/>
    <cellStyle name="Примечание 14 3 4 3 3" xfId="19003"/>
    <cellStyle name="Примечание 14 3 4 3 3 2" xfId="32813"/>
    <cellStyle name="Примечание 14 3 4 3 3 3" xfId="42683"/>
    <cellStyle name="Примечание 14 3 4 3 4" xfId="27542"/>
    <cellStyle name="Примечание 14 3 4 3 5" xfId="37417"/>
    <cellStyle name="Примечание 14 3 4 4" xfId="15218"/>
    <cellStyle name="Примечание 14 3 4 4 2" xfId="29038"/>
    <cellStyle name="Примечание 14 3 4 4 3" xfId="38913"/>
    <cellStyle name="Примечание 14 3 4 5" xfId="24946"/>
    <cellStyle name="Примечание 14 3 4 6" xfId="34821"/>
    <cellStyle name="Примечание 14 3 5" xfId="2414"/>
    <cellStyle name="Примечание 14 3 5 2" xfId="12419"/>
    <cellStyle name="Примечание 14 3 5 2 2" xfId="17751"/>
    <cellStyle name="Примечание 14 3 5 2 2 2" xfId="31561"/>
    <cellStyle name="Примечание 14 3 5 2 2 3" xfId="41434"/>
    <cellStyle name="Примечание 14 3 5 2 3" xfId="26293"/>
    <cellStyle name="Примечание 14 3 5 2 4" xfId="36168"/>
    <cellStyle name="Примечание 14 3 5 3" xfId="13641"/>
    <cellStyle name="Примечание 14 3 5 3 2" xfId="16284"/>
    <cellStyle name="Примечание 14 3 5 3 2 2" xfId="30100"/>
    <cellStyle name="Примечание 14 3 5 3 2 3" xfId="39975"/>
    <cellStyle name="Примечание 14 3 5 3 3" xfId="18924"/>
    <cellStyle name="Примечание 14 3 5 3 3 2" xfId="32734"/>
    <cellStyle name="Примечание 14 3 5 3 3 3" xfId="42604"/>
    <cellStyle name="Примечание 14 3 5 3 4" xfId="27463"/>
    <cellStyle name="Примечание 14 3 5 3 5" xfId="37338"/>
    <cellStyle name="Примечание 14 3 5 4" xfId="15139"/>
    <cellStyle name="Примечание 14 3 5 4 2" xfId="28959"/>
    <cellStyle name="Примечание 14 3 5 4 3" xfId="38834"/>
    <cellStyle name="Примечание 14 3 5 5" xfId="24867"/>
    <cellStyle name="Примечание 14 3 5 6" xfId="34742"/>
    <cellStyle name="Примечание 14 3 6" xfId="2562"/>
    <cellStyle name="Примечание 14 3 6 2" xfId="12548"/>
    <cellStyle name="Примечание 14 3 6 2 2" xfId="17880"/>
    <cellStyle name="Примечание 14 3 6 2 2 2" xfId="31690"/>
    <cellStyle name="Примечание 14 3 6 2 2 3" xfId="41563"/>
    <cellStyle name="Примечание 14 3 6 2 3" xfId="26422"/>
    <cellStyle name="Примечание 14 3 6 2 4" xfId="36297"/>
    <cellStyle name="Примечание 14 3 6 3" xfId="13770"/>
    <cellStyle name="Примечание 14 3 6 3 2" xfId="16413"/>
    <cellStyle name="Примечание 14 3 6 3 2 2" xfId="30229"/>
    <cellStyle name="Примечание 14 3 6 3 2 3" xfId="40104"/>
    <cellStyle name="Примечание 14 3 6 3 3" xfId="19053"/>
    <cellStyle name="Примечание 14 3 6 3 3 2" xfId="32863"/>
    <cellStyle name="Примечание 14 3 6 3 3 3" xfId="42733"/>
    <cellStyle name="Примечание 14 3 6 3 4" xfId="27592"/>
    <cellStyle name="Примечание 14 3 6 3 5" xfId="37467"/>
    <cellStyle name="Примечание 14 3 6 4" xfId="15268"/>
    <cellStyle name="Примечание 14 3 6 4 2" xfId="29088"/>
    <cellStyle name="Примечание 14 3 6 4 3" xfId="38963"/>
    <cellStyle name="Примечание 14 3 6 5" xfId="24996"/>
    <cellStyle name="Примечание 14 3 6 6" xfId="34871"/>
    <cellStyle name="Примечание 14 3 7" xfId="2740"/>
    <cellStyle name="Примечание 14 3 7 2" xfId="12716"/>
    <cellStyle name="Примечание 14 3 7 2 2" xfId="18048"/>
    <cellStyle name="Примечание 14 3 7 2 2 2" xfId="31858"/>
    <cellStyle name="Примечание 14 3 7 2 2 3" xfId="41731"/>
    <cellStyle name="Примечание 14 3 7 2 3" xfId="26590"/>
    <cellStyle name="Примечание 14 3 7 2 4" xfId="36465"/>
    <cellStyle name="Примечание 14 3 7 3" xfId="13939"/>
    <cellStyle name="Примечание 14 3 7 3 2" xfId="16582"/>
    <cellStyle name="Примечание 14 3 7 3 2 2" xfId="30397"/>
    <cellStyle name="Примечание 14 3 7 3 2 3" xfId="40272"/>
    <cellStyle name="Примечание 14 3 7 3 3" xfId="19222"/>
    <cellStyle name="Примечание 14 3 7 3 3 2" xfId="33032"/>
    <cellStyle name="Примечание 14 3 7 3 3 3" xfId="42901"/>
    <cellStyle name="Примечание 14 3 7 3 4" xfId="27760"/>
    <cellStyle name="Примечание 14 3 7 3 5" xfId="37635"/>
    <cellStyle name="Примечание 14 3 7 4" xfId="15437"/>
    <cellStyle name="Примечание 14 3 7 4 2" xfId="29256"/>
    <cellStyle name="Примечание 14 3 7 4 3" xfId="39131"/>
    <cellStyle name="Примечание 14 3 7 5" xfId="25164"/>
    <cellStyle name="Примечание 14 3 7 6" xfId="35039"/>
    <cellStyle name="Примечание 14 3 8" xfId="2662"/>
    <cellStyle name="Примечание 14 3 8 2" xfId="12648"/>
    <cellStyle name="Примечание 14 3 8 2 2" xfId="17980"/>
    <cellStyle name="Примечание 14 3 8 2 2 2" xfId="31790"/>
    <cellStyle name="Примечание 14 3 8 2 2 3" xfId="41663"/>
    <cellStyle name="Примечание 14 3 8 2 3" xfId="26522"/>
    <cellStyle name="Примечание 14 3 8 2 4" xfId="36397"/>
    <cellStyle name="Примечание 14 3 8 3" xfId="13870"/>
    <cellStyle name="Примечание 14 3 8 3 2" xfId="16513"/>
    <cellStyle name="Примечание 14 3 8 3 2 2" xfId="30329"/>
    <cellStyle name="Примечание 14 3 8 3 2 3" xfId="40204"/>
    <cellStyle name="Примечание 14 3 8 3 3" xfId="19153"/>
    <cellStyle name="Примечание 14 3 8 3 3 2" xfId="32963"/>
    <cellStyle name="Примечание 14 3 8 3 3 3" xfId="42833"/>
    <cellStyle name="Примечание 14 3 8 3 4" xfId="27692"/>
    <cellStyle name="Примечание 14 3 8 3 5" xfId="37567"/>
    <cellStyle name="Примечание 14 3 8 4" xfId="15368"/>
    <cellStyle name="Примечание 14 3 8 4 2" xfId="29188"/>
    <cellStyle name="Примечание 14 3 8 4 3" xfId="39063"/>
    <cellStyle name="Примечание 14 3 8 5" xfId="25096"/>
    <cellStyle name="Примечание 14 3 8 6" xfId="34971"/>
    <cellStyle name="Примечание 14 3 9" xfId="2790"/>
    <cellStyle name="Примечание 14 3 9 2" xfId="12765"/>
    <cellStyle name="Примечание 14 3 9 2 2" xfId="18097"/>
    <cellStyle name="Примечание 14 3 9 2 2 2" xfId="31907"/>
    <cellStyle name="Примечание 14 3 9 2 2 3" xfId="41780"/>
    <cellStyle name="Примечание 14 3 9 2 3" xfId="26639"/>
    <cellStyle name="Примечание 14 3 9 2 4" xfId="36514"/>
    <cellStyle name="Примечание 14 3 9 3" xfId="13988"/>
    <cellStyle name="Примечание 14 3 9 3 2" xfId="16631"/>
    <cellStyle name="Примечание 14 3 9 3 2 2" xfId="30446"/>
    <cellStyle name="Примечание 14 3 9 3 2 3" xfId="40321"/>
    <cellStyle name="Примечание 14 3 9 3 3" xfId="19271"/>
    <cellStyle name="Примечание 14 3 9 3 3 2" xfId="33081"/>
    <cellStyle name="Примечание 14 3 9 3 3 3" xfId="42950"/>
    <cellStyle name="Примечание 14 3 9 3 4" xfId="27809"/>
    <cellStyle name="Примечание 14 3 9 3 5" xfId="37684"/>
    <cellStyle name="Примечание 14 3 9 4" xfId="15486"/>
    <cellStyle name="Примечание 14 3 9 4 2" xfId="29305"/>
    <cellStyle name="Примечание 14 3 9 4 3" xfId="39180"/>
    <cellStyle name="Примечание 14 3 9 5" xfId="25213"/>
    <cellStyle name="Примечание 14 3 9 6" xfId="35088"/>
    <cellStyle name="Примечание 14 4" xfId="2575"/>
    <cellStyle name="Примечание 14 4 2" xfId="10779"/>
    <cellStyle name="Примечание 14 4 3" xfId="12561"/>
    <cellStyle name="Примечание 14 4 3 2" xfId="17893"/>
    <cellStyle name="Примечание 14 4 3 2 2" xfId="31703"/>
    <cellStyle name="Примечание 14 4 3 2 3" xfId="41576"/>
    <cellStyle name="Примечание 14 4 3 3" xfId="26435"/>
    <cellStyle name="Примечание 14 4 3 4" xfId="36310"/>
    <cellStyle name="Примечание 14 4 4" xfId="13783"/>
    <cellStyle name="Примечание 14 4 4 2" xfId="16426"/>
    <cellStyle name="Примечание 14 4 4 2 2" xfId="30242"/>
    <cellStyle name="Примечание 14 4 4 2 3" xfId="40117"/>
    <cellStyle name="Примечание 14 4 4 3" xfId="19066"/>
    <cellStyle name="Примечание 14 4 4 3 2" xfId="32876"/>
    <cellStyle name="Примечание 14 4 4 3 3" xfId="42746"/>
    <cellStyle name="Примечание 14 4 4 4" xfId="27605"/>
    <cellStyle name="Примечание 14 4 4 5" xfId="37480"/>
    <cellStyle name="Примечание 14 4 5" xfId="15281"/>
    <cellStyle name="Примечание 14 4 5 2" xfId="29101"/>
    <cellStyle name="Примечание 14 4 5 3" xfId="38976"/>
    <cellStyle name="Примечание 14 4 6" xfId="25009"/>
    <cellStyle name="Примечание 14 4 7" xfId="34884"/>
    <cellStyle name="Примечание 14 5" xfId="2465"/>
    <cellStyle name="Примечание 14 5 2" xfId="10787"/>
    <cellStyle name="Примечание 14 5 3" xfId="12470"/>
    <cellStyle name="Примечание 14 5 3 2" xfId="17802"/>
    <cellStyle name="Примечание 14 5 3 2 2" xfId="31612"/>
    <cellStyle name="Примечание 14 5 3 2 3" xfId="41485"/>
    <cellStyle name="Примечание 14 5 3 3" xfId="26344"/>
    <cellStyle name="Примечание 14 5 3 4" xfId="36219"/>
    <cellStyle name="Примечание 14 5 4" xfId="13692"/>
    <cellStyle name="Примечание 14 5 4 2" xfId="16335"/>
    <cellStyle name="Примечание 14 5 4 2 2" xfId="30151"/>
    <cellStyle name="Примечание 14 5 4 2 3" xfId="40026"/>
    <cellStyle name="Примечание 14 5 4 3" xfId="18975"/>
    <cellStyle name="Примечание 14 5 4 3 2" xfId="32785"/>
    <cellStyle name="Примечание 14 5 4 3 3" xfId="42655"/>
    <cellStyle name="Примечание 14 5 4 4" xfId="27514"/>
    <cellStyle name="Примечание 14 5 4 5" xfId="37389"/>
    <cellStyle name="Примечание 14 5 5" xfId="15190"/>
    <cellStyle name="Примечание 14 5 5 2" xfId="29010"/>
    <cellStyle name="Примечание 14 5 5 3" xfId="38885"/>
    <cellStyle name="Примечание 14 5 6" xfId="24918"/>
    <cellStyle name="Примечание 14 5 7" xfId="34793"/>
    <cellStyle name="Примечание 14 6" xfId="2510"/>
    <cellStyle name="Примечание 14 6 2" xfId="10788"/>
    <cellStyle name="Примечание 14 6 3" xfId="12496"/>
    <cellStyle name="Примечание 14 6 3 2" xfId="17828"/>
    <cellStyle name="Примечание 14 6 3 2 2" xfId="31638"/>
    <cellStyle name="Примечание 14 6 3 2 3" xfId="41511"/>
    <cellStyle name="Примечание 14 6 3 3" xfId="26370"/>
    <cellStyle name="Примечание 14 6 3 4" xfId="36245"/>
    <cellStyle name="Примечание 14 6 4" xfId="13718"/>
    <cellStyle name="Примечание 14 6 4 2" xfId="16361"/>
    <cellStyle name="Примечание 14 6 4 2 2" xfId="30177"/>
    <cellStyle name="Примечание 14 6 4 2 3" xfId="40052"/>
    <cellStyle name="Примечание 14 6 4 3" xfId="19001"/>
    <cellStyle name="Примечание 14 6 4 3 2" xfId="32811"/>
    <cellStyle name="Примечание 14 6 4 3 3" xfId="42681"/>
    <cellStyle name="Примечание 14 6 4 4" xfId="27540"/>
    <cellStyle name="Примечание 14 6 4 5" xfId="37415"/>
    <cellStyle name="Примечание 14 6 5" xfId="15216"/>
    <cellStyle name="Примечание 14 6 5 2" xfId="29036"/>
    <cellStyle name="Примечание 14 6 5 3" xfId="38911"/>
    <cellStyle name="Примечание 14 6 6" xfId="24944"/>
    <cellStyle name="Примечание 14 6 7" xfId="34819"/>
    <cellStyle name="Примечание 14 7" xfId="2416"/>
    <cellStyle name="Примечание 14 7 2" xfId="10789"/>
    <cellStyle name="Примечание 14 7 3" xfId="12421"/>
    <cellStyle name="Примечание 14 7 3 2" xfId="17753"/>
    <cellStyle name="Примечание 14 7 3 2 2" xfId="31563"/>
    <cellStyle name="Примечание 14 7 3 2 3" xfId="41436"/>
    <cellStyle name="Примечание 14 7 3 3" xfId="26295"/>
    <cellStyle name="Примечание 14 7 3 4" xfId="36170"/>
    <cellStyle name="Примечание 14 7 4" xfId="13643"/>
    <cellStyle name="Примечание 14 7 4 2" xfId="16286"/>
    <cellStyle name="Примечание 14 7 4 2 2" xfId="30102"/>
    <cellStyle name="Примечание 14 7 4 2 3" xfId="39977"/>
    <cellStyle name="Примечание 14 7 4 3" xfId="18926"/>
    <cellStyle name="Примечание 14 7 4 3 2" xfId="32736"/>
    <cellStyle name="Примечание 14 7 4 3 3" xfId="42606"/>
    <cellStyle name="Примечание 14 7 4 4" xfId="27465"/>
    <cellStyle name="Примечание 14 7 4 5" xfId="37340"/>
    <cellStyle name="Примечание 14 7 5" xfId="15141"/>
    <cellStyle name="Примечание 14 7 5 2" xfId="28961"/>
    <cellStyle name="Примечание 14 7 5 3" xfId="38836"/>
    <cellStyle name="Примечание 14 7 6" xfId="24869"/>
    <cellStyle name="Примечание 14 7 7" xfId="34744"/>
    <cellStyle name="Примечание 14 8" xfId="2560"/>
    <cellStyle name="Примечание 14 8 2" xfId="10790"/>
    <cellStyle name="Примечание 14 8 3" xfId="12546"/>
    <cellStyle name="Примечание 14 8 3 2" xfId="17878"/>
    <cellStyle name="Примечание 14 8 3 2 2" xfId="31688"/>
    <cellStyle name="Примечание 14 8 3 2 3" xfId="41561"/>
    <cellStyle name="Примечание 14 8 3 3" xfId="26420"/>
    <cellStyle name="Примечание 14 8 3 4" xfId="36295"/>
    <cellStyle name="Примечание 14 8 4" xfId="13768"/>
    <cellStyle name="Примечание 14 8 4 2" xfId="16411"/>
    <cellStyle name="Примечание 14 8 4 2 2" xfId="30227"/>
    <cellStyle name="Примечание 14 8 4 2 3" xfId="40102"/>
    <cellStyle name="Примечание 14 8 4 3" xfId="19051"/>
    <cellStyle name="Примечание 14 8 4 3 2" xfId="32861"/>
    <cellStyle name="Примечание 14 8 4 3 3" xfId="42731"/>
    <cellStyle name="Примечание 14 8 4 4" xfId="27590"/>
    <cellStyle name="Примечание 14 8 4 5" xfId="37465"/>
    <cellStyle name="Примечание 14 8 5" xfId="15266"/>
    <cellStyle name="Примечание 14 8 5 2" xfId="29086"/>
    <cellStyle name="Примечание 14 8 5 3" xfId="38961"/>
    <cellStyle name="Примечание 14 8 6" xfId="24994"/>
    <cellStyle name="Примечание 14 8 7" xfId="34869"/>
    <cellStyle name="Примечание 14 9" xfId="2738"/>
    <cellStyle name="Примечание 14 9 2" xfId="10791"/>
    <cellStyle name="Примечание 14 9 3" xfId="12714"/>
    <cellStyle name="Примечание 14 9 3 2" xfId="18046"/>
    <cellStyle name="Примечание 14 9 3 2 2" xfId="31856"/>
    <cellStyle name="Примечание 14 9 3 2 3" xfId="41729"/>
    <cellStyle name="Примечание 14 9 3 3" xfId="26588"/>
    <cellStyle name="Примечание 14 9 3 4" xfId="36463"/>
    <cellStyle name="Примечание 14 9 4" xfId="13937"/>
    <cellStyle name="Примечание 14 9 4 2" xfId="16580"/>
    <cellStyle name="Примечание 14 9 4 2 2" xfId="30395"/>
    <cellStyle name="Примечание 14 9 4 2 3" xfId="40270"/>
    <cellStyle name="Примечание 14 9 4 3" xfId="19220"/>
    <cellStyle name="Примечание 14 9 4 3 2" xfId="33030"/>
    <cellStyle name="Примечание 14 9 4 3 3" xfId="42899"/>
    <cellStyle name="Примечание 14 9 4 4" xfId="27758"/>
    <cellStyle name="Примечание 14 9 4 5" xfId="37633"/>
    <cellStyle name="Примечание 14 9 5" xfId="15435"/>
    <cellStyle name="Примечание 14 9 5 2" xfId="29254"/>
    <cellStyle name="Примечание 14 9 5 3" xfId="39129"/>
    <cellStyle name="Примечание 14 9 6" xfId="25162"/>
    <cellStyle name="Примечание 14 9 7" xfId="35037"/>
    <cellStyle name="Примечание 15" xfId="2203"/>
    <cellStyle name="Примечание 15 10" xfId="2663"/>
    <cellStyle name="Примечание 15 10 2" xfId="10793"/>
    <cellStyle name="Примечание 15 10 3" xfId="12649"/>
    <cellStyle name="Примечание 15 10 3 2" xfId="17981"/>
    <cellStyle name="Примечание 15 10 3 2 2" xfId="31791"/>
    <cellStyle name="Примечание 15 10 3 2 3" xfId="41664"/>
    <cellStyle name="Примечание 15 10 3 3" xfId="26523"/>
    <cellStyle name="Примечание 15 10 3 4" xfId="36398"/>
    <cellStyle name="Примечание 15 10 4" xfId="13871"/>
    <cellStyle name="Примечание 15 10 4 2" xfId="16514"/>
    <cellStyle name="Примечание 15 10 4 2 2" xfId="30330"/>
    <cellStyle name="Примечание 15 10 4 2 3" xfId="40205"/>
    <cellStyle name="Примечание 15 10 4 3" xfId="19154"/>
    <cellStyle name="Примечание 15 10 4 3 2" xfId="32964"/>
    <cellStyle name="Примечание 15 10 4 3 3" xfId="42834"/>
    <cellStyle name="Примечание 15 10 4 4" xfId="27693"/>
    <cellStyle name="Примечание 15 10 4 5" xfId="37568"/>
    <cellStyle name="Примечание 15 10 5" xfId="15369"/>
    <cellStyle name="Примечание 15 10 5 2" xfId="29189"/>
    <cellStyle name="Примечание 15 10 5 3" xfId="39064"/>
    <cellStyle name="Примечание 15 10 6" xfId="25097"/>
    <cellStyle name="Примечание 15 10 7" xfId="34972"/>
    <cellStyle name="Примечание 15 11" xfId="2791"/>
    <cellStyle name="Примечание 15 11 2" xfId="10794"/>
    <cellStyle name="Примечание 15 11 3" xfId="12766"/>
    <cellStyle name="Примечание 15 11 3 2" xfId="18098"/>
    <cellStyle name="Примечание 15 11 3 2 2" xfId="31908"/>
    <cellStyle name="Примечание 15 11 3 2 3" xfId="41781"/>
    <cellStyle name="Примечание 15 11 3 3" xfId="26640"/>
    <cellStyle name="Примечание 15 11 3 4" xfId="36515"/>
    <cellStyle name="Примечание 15 11 4" xfId="13989"/>
    <cellStyle name="Примечание 15 11 4 2" xfId="16632"/>
    <cellStyle name="Примечание 15 11 4 2 2" xfId="30447"/>
    <cellStyle name="Примечание 15 11 4 2 3" xfId="40322"/>
    <cellStyle name="Примечание 15 11 4 3" xfId="19272"/>
    <cellStyle name="Примечание 15 11 4 3 2" xfId="33082"/>
    <cellStyle name="Примечание 15 11 4 3 3" xfId="42951"/>
    <cellStyle name="Примечание 15 11 4 4" xfId="27810"/>
    <cellStyle name="Примечание 15 11 4 5" xfId="37685"/>
    <cellStyle name="Примечание 15 11 5" xfId="15487"/>
    <cellStyle name="Примечание 15 11 5 2" xfId="29306"/>
    <cellStyle name="Примечание 15 11 5 3" xfId="39181"/>
    <cellStyle name="Примечание 15 11 6" xfId="25214"/>
    <cellStyle name="Примечание 15 11 7" xfId="35089"/>
    <cellStyle name="Примечание 15 12" xfId="2847"/>
    <cellStyle name="Примечание 15 12 2" xfId="10795"/>
    <cellStyle name="Примечание 15 12 3" xfId="12819"/>
    <cellStyle name="Примечание 15 12 3 2" xfId="18151"/>
    <cellStyle name="Примечание 15 12 3 2 2" xfId="31961"/>
    <cellStyle name="Примечание 15 12 3 2 3" xfId="41834"/>
    <cellStyle name="Примечание 15 12 3 3" xfId="26693"/>
    <cellStyle name="Примечание 15 12 3 4" xfId="36568"/>
    <cellStyle name="Примечание 15 12 4" xfId="14042"/>
    <cellStyle name="Примечание 15 12 4 2" xfId="16685"/>
    <cellStyle name="Примечание 15 12 4 2 2" xfId="30500"/>
    <cellStyle name="Примечание 15 12 4 2 3" xfId="40375"/>
    <cellStyle name="Примечание 15 12 4 3" xfId="19325"/>
    <cellStyle name="Примечание 15 12 4 3 2" xfId="33135"/>
    <cellStyle name="Примечание 15 12 4 3 3" xfId="43004"/>
    <cellStyle name="Примечание 15 12 4 4" xfId="27863"/>
    <cellStyle name="Примечание 15 12 4 5" xfId="37738"/>
    <cellStyle name="Примечание 15 12 5" xfId="15540"/>
    <cellStyle name="Примечание 15 12 5 2" xfId="29359"/>
    <cellStyle name="Примечание 15 12 5 3" xfId="39234"/>
    <cellStyle name="Примечание 15 12 6" xfId="25267"/>
    <cellStyle name="Примечание 15 12 7" xfId="35142"/>
    <cellStyle name="Примечание 15 13" xfId="2895"/>
    <cellStyle name="Примечание 15 13 2" xfId="10796"/>
    <cellStyle name="Примечание 15 13 3" xfId="12865"/>
    <cellStyle name="Примечание 15 13 3 2" xfId="18197"/>
    <cellStyle name="Примечание 15 13 3 2 2" xfId="32007"/>
    <cellStyle name="Примечание 15 13 3 2 3" xfId="41880"/>
    <cellStyle name="Примечание 15 13 3 3" xfId="26739"/>
    <cellStyle name="Примечание 15 13 3 4" xfId="36614"/>
    <cellStyle name="Примечание 15 13 4" xfId="14088"/>
    <cellStyle name="Примечание 15 13 4 2" xfId="16731"/>
    <cellStyle name="Примечание 15 13 4 2 2" xfId="30546"/>
    <cellStyle name="Примечание 15 13 4 2 3" xfId="40421"/>
    <cellStyle name="Примечание 15 13 4 3" xfId="19371"/>
    <cellStyle name="Примечание 15 13 4 3 2" xfId="33181"/>
    <cellStyle name="Примечание 15 13 4 3 3" xfId="43050"/>
    <cellStyle name="Примечание 15 13 4 4" xfId="27909"/>
    <cellStyle name="Примечание 15 13 4 5" xfId="37784"/>
    <cellStyle name="Примечание 15 13 5" xfId="15586"/>
    <cellStyle name="Примечание 15 13 5 2" xfId="29405"/>
    <cellStyle name="Примечание 15 13 5 3" xfId="39280"/>
    <cellStyle name="Примечание 15 13 6" xfId="25313"/>
    <cellStyle name="Примечание 15 13 7" xfId="35188"/>
    <cellStyle name="Примечание 15 14" xfId="2949"/>
    <cellStyle name="Примечание 15 14 2" xfId="10797"/>
    <cellStyle name="Примечание 15 14 3" xfId="12918"/>
    <cellStyle name="Примечание 15 14 3 2" xfId="18250"/>
    <cellStyle name="Примечание 15 14 3 2 2" xfId="32060"/>
    <cellStyle name="Примечание 15 14 3 2 3" xfId="41933"/>
    <cellStyle name="Примечание 15 14 3 3" xfId="26792"/>
    <cellStyle name="Примечание 15 14 3 4" xfId="36667"/>
    <cellStyle name="Примечание 15 14 4" xfId="14141"/>
    <cellStyle name="Примечание 15 14 4 2" xfId="16784"/>
    <cellStyle name="Примечание 15 14 4 2 2" xfId="30599"/>
    <cellStyle name="Примечание 15 14 4 2 3" xfId="40474"/>
    <cellStyle name="Примечание 15 14 4 3" xfId="19424"/>
    <cellStyle name="Примечание 15 14 4 3 2" xfId="33234"/>
    <cellStyle name="Примечание 15 14 4 3 3" xfId="43103"/>
    <cellStyle name="Примечание 15 14 4 4" xfId="27962"/>
    <cellStyle name="Примечание 15 14 4 5" xfId="37837"/>
    <cellStyle name="Примечание 15 14 5" xfId="15639"/>
    <cellStyle name="Примечание 15 14 5 2" xfId="29458"/>
    <cellStyle name="Примечание 15 14 5 3" xfId="39333"/>
    <cellStyle name="Примечание 15 14 6" xfId="25366"/>
    <cellStyle name="Примечание 15 14 7" xfId="35241"/>
    <cellStyle name="Примечание 15 15" xfId="2998"/>
    <cellStyle name="Примечание 15 15 2" xfId="12055"/>
    <cellStyle name="Примечание 15 15 2 2" xfId="14953"/>
    <cellStyle name="Примечание 15 15 2 2 2" xfId="20236"/>
    <cellStyle name="Примечание 15 15 2 2 2 2" xfId="23219"/>
    <cellStyle name="Примечание 15 15 2 2 2 3" xfId="34046"/>
    <cellStyle name="Примечание 15 15 2 2 2 4" xfId="43914"/>
    <cellStyle name="Примечание 15 15 2 2 3" xfId="23507"/>
    <cellStyle name="Примечание 15 15 2 2 4" xfId="28773"/>
    <cellStyle name="Примечание 15 15 2 2 5" xfId="38648"/>
    <cellStyle name="Примечание 15 15 2 3" xfId="14397"/>
    <cellStyle name="Примечание 15 15 2 3 2" xfId="16910"/>
    <cellStyle name="Примечание 15 15 2 3 2 2" xfId="30725"/>
    <cellStyle name="Примечание 15 15 2 3 2 3" xfId="40600"/>
    <cellStyle name="Примечание 15 15 2 3 3" xfId="19680"/>
    <cellStyle name="Примечание 15 15 2 3 3 2" xfId="33490"/>
    <cellStyle name="Примечание 15 15 2 3 3 3" xfId="43359"/>
    <cellStyle name="Примечание 15 15 2 3 4" xfId="28218"/>
    <cellStyle name="Примечание 15 15 2 3 5" xfId="38093"/>
    <cellStyle name="Примечание 15 15 2 4" xfId="15978"/>
    <cellStyle name="Примечание 15 15 2 4 2" xfId="21834"/>
    <cellStyle name="Примечание 15 15 2 4 3" xfId="29797"/>
    <cellStyle name="Примечание 15 15 2 4 4" xfId="39672"/>
    <cellStyle name="Примечание 15 15 2 5" xfId="24131"/>
    <cellStyle name="Примечание 15 15 2 6" xfId="25929"/>
    <cellStyle name="Примечание 15 15 2 7" xfId="35804"/>
    <cellStyle name="Примечание 15 15 3" xfId="12965"/>
    <cellStyle name="Примечание 15 15 3 2" xfId="18297"/>
    <cellStyle name="Примечание 15 15 3 2 2" xfId="32107"/>
    <cellStyle name="Примечание 15 15 3 2 3" xfId="41980"/>
    <cellStyle name="Примечание 15 15 3 3" xfId="23491"/>
    <cellStyle name="Примечание 15 15 3 4" xfId="26839"/>
    <cellStyle name="Примечание 15 15 3 5" xfId="36714"/>
    <cellStyle name="Примечание 15 15 4" xfId="14188"/>
    <cellStyle name="Примечание 15 15 4 2" xfId="16831"/>
    <cellStyle name="Примечание 15 15 4 2 2" xfId="30646"/>
    <cellStyle name="Примечание 15 15 4 2 3" xfId="40521"/>
    <cellStyle name="Примечание 15 15 4 3" xfId="19471"/>
    <cellStyle name="Примечание 15 15 4 3 2" xfId="33281"/>
    <cellStyle name="Примечание 15 15 4 3 3" xfId="43150"/>
    <cellStyle name="Примечание 15 15 4 4" xfId="28009"/>
    <cellStyle name="Примечание 15 15 4 5" xfId="37884"/>
    <cellStyle name="Примечание 15 15 5" xfId="21746"/>
    <cellStyle name="Примечание 15 15 6" xfId="22483"/>
    <cellStyle name="Примечание 15 15 7" xfId="23971"/>
    <cellStyle name="Примечание 15 15 8" xfId="25413"/>
    <cellStyle name="Примечание 15 15 9" xfId="35288"/>
    <cellStyle name="Примечание 15 16" xfId="12135"/>
    <cellStyle name="Примечание 15 16 2" xfId="15033"/>
    <cellStyle name="Примечание 15 16 2 2" xfId="20316"/>
    <cellStyle name="Примечание 15 16 2 2 2" xfId="23235"/>
    <cellStyle name="Примечание 15 16 2 2 3" xfId="34126"/>
    <cellStyle name="Примечание 15 16 2 2 4" xfId="43994"/>
    <cellStyle name="Примечание 15 16 2 3" xfId="23587"/>
    <cellStyle name="Примечание 15 16 2 4" xfId="28853"/>
    <cellStyle name="Примечание 15 16 2 5" xfId="38728"/>
    <cellStyle name="Примечание 15 16 3" xfId="13011"/>
    <cellStyle name="Примечание 15 16 3 2" xfId="15992"/>
    <cellStyle name="Примечание 15 16 3 2 2" xfId="29811"/>
    <cellStyle name="Примечание 15 16 3 2 3" xfId="39686"/>
    <cellStyle name="Примечание 15 16 3 3" xfId="18343"/>
    <cellStyle name="Примечание 15 16 3 3 2" xfId="32153"/>
    <cellStyle name="Примечание 15 16 3 3 3" xfId="42026"/>
    <cellStyle name="Примечание 15 16 3 4" xfId="26885"/>
    <cellStyle name="Примечание 15 16 3 5" xfId="36760"/>
    <cellStyle name="Примечание 15 16 4" xfId="21514"/>
    <cellStyle name="Примечание 15 16 5" xfId="21882"/>
    <cellStyle name="Примечание 15 16 6" xfId="22707"/>
    <cellStyle name="Примечание 15 16 7" xfId="24211"/>
    <cellStyle name="Примечание 15 16 8" xfId="26009"/>
    <cellStyle name="Примечание 15 16 9" xfId="35884"/>
    <cellStyle name="Примечание 15 17" xfId="12215"/>
    <cellStyle name="Примечание 15 17 2" xfId="15113"/>
    <cellStyle name="Примечание 15 17 2 2" xfId="20396"/>
    <cellStyle name="Примечание 15 17 2 2 2" xfId="23251"/>
    <cellStyle name="Примечание 15 17 2 2 3" xfId="34206"/>
    <cellStyle name="Примечание 15 17 2 2 4" xfId="44074"/>
    <cellStyle name="Примечание 15 17 2 3" xfId="23667"/>
    <cellStyle name="Примечание 15 17 2 4" xfId="28933"/>
    <cellStyle name="Примечание 15 17 2 5" xfId="38808"/>
    <cellStyle name="Примечание 15 17 3" xfId="13008"/>
    <cellStyle name="Примечание 15 17 3 2" xfId="15989"/>
    <cellStyle name="Примечание 15 17 3 2 2" xfId="29808"/>
    <cellStyle name="Примечание 15 17 3 2 3" xfId="39683"/>
    <cellStyle name="Примечание 15 17 3 3" xfId="18340"/>
    <cellStyle name="Примечание 15 17 3 3 2" xfId="32150"/>
    <cellStyle name="Примечание 15 17 3 3 3" xfId="42023"/>
    <cellStyle name="Примечание 15 17 3 4" xfId="26882"/>
    <cellStyle name="Примечание 15 17 3 5" xfId="36757"/>
    <cellStyle name="Примечание 15 17 4" xfId="21594"/>
    <cellStyle name="Примечание 15 17 5" xfId="21930"/>
    <cellStyle name="Примечание 15 17 6" xfId="22787"/>
    <cellStyle name="Примечание 15 17 7" xfId="24291"/>
    <cellStyle name="Примечание 15 17 8" xfId="26089"/>
    <cellStyle name="Примечание 15 17 9" xfId="35964"/>
    <cellStyle name="Примечание 15 18" xfId="11805"/>
    <cellStyle name="Примечание 15 18 2" xfId="14703"/>
    <cellStyle name="Примечание 15 18 2 2" xfId="19986"/>
    <cellStyle name="Примечание 15 18 2 2 2" xfId="33796"/>
    <cellStyle name="Примечание 15 18 2 2 3" xfId="43664"/>
    <cellStyle name="Примечание 15 18 2 3" xfId="28523"/>
    <cellStyle name="Примечание 15 18 2 4" xfId="38398"/>
    <cellStyle name="Примечание 15 18 3" xfId="14240"/>
    <cellStyle name="Примечание 15 18 3 2" xfId="16883"/>
    <cellStyle name="Примечание 15 18 3 2 2" xfId="30698"/>
    <cellStyle name="Примечание 15 18 3 2 3" xfId="40573"/>
    <cellStyle name="Примечание 15 18 3 3" xfId="19523"/>
    <cellStyle name="Примечание 15 18 3 3 2" xfId="33333"/>
    <cellStyle name="Примечание 15 18 3 3 3" xfId="43202"/>
    <cellStyle name="Примечание 15 18 3 4" xfId="28061"/>
    <cellStyle name="Примечание 15 18 3 5" xfId="37936"/>
    <cellStyle name="Примечание 15 18 4" xfId="15936"/>
    <cellStyle name="Примечание 15 18 4 2" xfId="23272"/>
    <cellStyle name="Примечание 15 18 4 3" xfId="29755"/>
    <cellStyle name="Примечание 15 18 4 4" xfId="39630"/>
    <cellStyle name="Примечание 15 18 5" xfId="25679"/>
    <cellStyle name="Примечание 15 18 6" xfId="35554"/>
    <cellStyle name="Примечание 15 19" xfId="13532"/>
    <cellStyle name="Примечание 15 19 2" xfId="16230"/>
    <cellStyle name="Примечание 15 19 2 2" xfId="30047"/>
    <cellStyle name="Примечание 15 19 2 3" xfId="39922"/>
    <cellStyle name="Примечание 15 19 3" xfId="18861"/>
    <cellStyle name="Примечание 15 19 3 2" xfId="32671"/>
    <cellStyle name="Примечание 15 19 3 3" xfId="42542"/>
    <cellStyle name="Примечание 15 19 4" xfId="27401"/>
    <cellStyle name="Примечание 15 19 5" xfId="37276"/>
    <cellStyle name="Примечание 15 2" xfId="2204"/>
    <cellStyle name="Примечание 15 2 10" xfId="2848"/>
    <cellStyle name="Примечание 15 2 10 2" xfId="12820"/>
    <cellStyle name="Примечание 15 2 10 2 2" xfId="18152"/>
    <cellStyle name="Примечание 15 2 10 2 2 2" xfId="31962"/>
    <cellStyle name="Примечание 15 2 10 2 2 3" xfId="41835"/>
    <cellStyle name="Примечание 15 2 10 2 3" xfId="26694"/>
    <cellStyle name="Примечание 15 2 10 2 4" xfId="36569"/>
    <cellStyle name="Примечание 15 2 10 3" xfId="14043"/>
    <cellStyle name="Примечание 15 2 10 3 2" xfId="16686"/>
    <cellStyle name="Примечание 15 2 10 3 2 2" xfId="30501"/>
    <cellStyle name="Примечание 15 2 10 3 2 3" xfId="40376"/>
    <cellStyle name="Примечание 15 2 10 3 3" xfId="19326"/>
    <cellStyle name="Примечание 15 2 10 3 3 2" xfId="33136"/>
    <cellStyle name="Примечание 15 2 10 3 3 3" xfId="43005"/>
    <cellStyle name="Примечание 15 2 10 3 4" xfId="27864"/>
    <cellStyle name="Примечание 15 2 10 3 5" xfId="37739"/>
    <cellStyle name="Примечание 15 2 10 4" xfId="15541"/>
    <cellStyle name="Примечание 15 2 10 4 2" xfId="29360"/>
    <cellStyle name="Примечание 15 2 10 4 3" xfId="39235"/>
    <cellStyle name="Примечание 15 2 10 5" xfId="25268"/>
    <cellStyle name="Примечание 15 2 10 6" xfId="35143"/>
    <cellStyle name="Примечание 15 2 11" xfId="2896"/>
    <cellStyle name="Примечание 15 2 11 2" xfId="12866"/>
    <cellStyle name="Примечание 15 2 11 2 2" xfId="18198"/>
    <cellStyle name="Примечание 15 2 11 2 2 2" xfId="32008"/>
    <cellStyle name="Примечание 15 2 11 2 2 3" xfId="41881"/>
    <cellStyle name="Примечание 15 2 11 2 3" xfId="26740"/>
    <cellStyle name="Примечание 15 2 11 2 4" xfId="36615"/>
    <cellStyle name="Примечание 15 2 11 3" xfId="14089"/>
    <cellStyle name="Примечание 15 2 11 3 2" xfId="16732"/>
    <cellStyle name="Примечание 15 2 11 3 2 2" xfId="30547"/>
    <cellStyle name="Примечание 15 2 11 3 2 3" xfId="40422"/>
    <cellStyle name="Примечание 15 2 11 3 3" xfId="19372"/>
    <cellStyle name="Примечание 15 2 11 3 3 2" xfId="33182"/>
    <cellStyle name="Примечание 15 2 11 3 3 3" xfId="43051"/>
    <cellStyle name="Примечание 15 2 11 3 4" xfId="27910"/>
    <cellStyle name="Примечание 15 2 11 3 5" xfId="37785"/>
    <cellStyle name="Примечание 15 2 11 4" xfId="15587"/>
    <cellStyle name="Примечание 15 2 11 4 2" xfId="29406"/>
    <cellStyle name="Примечание 15 2 11 4 3" xfId="39281"/>
    <cellStyle name="Примечание 15 2 11 5" xfId="25314"/>
    <cellStyle name="Примечание 15 2 11 6" xfId="35189"/>
    <cellStyle name="Примечание 15 2 12" xfId="2950"/>
    <cellStyle name="Примечание 15 2 12 2" xfId="12919"/>
    <cellStyle name="Примечание 15 2 12 2 2" xfId="18251"/>
    <cellStyle name="Примечание 15 2 12 2 2 2" xfId="32061"/>
    <cellStyle name="Примечание 15 2 12 2 2 3" xfId="41934"/>
    <cellStyle name="Примечание 15 2 12 2 3" xfId="26793"/>
    <cellStyle name="Примечание 15 2 12 2 4" xfId="36668"/>
    <cellStyle name="Примечание 15 2 12 3" xfId="14142"/>
    <cellStyle name="Примечание 15 2 12 3 2" xfId="16785"/>
    <cellStyle name="Примечание 15 2 12 3 2 2" xfId="30600"/>
    <cellStyle name="Примечание 15 2 12 3 2 3" xfId="40475"/>
    <cellStyle name="Примечание 15 2 12 3 3" xfId="19425"/>
    <cellStyle name="Примечание 15 2 12 3 3 2" xfId="33235"/>
    <cellStyle name="Примечание 15 2 12 3 3 3" xfId="43104"/>
    <cellStyle name="Примечание 15 2 12 3 4" xfId="27963"/>
    <cellStyle name="Примечание 15 2 12 3 5" xfId="37838"/>
    <cellStyle name="Примечание 15 2 12 4" xfId="15640"/>
    <cellStyle name="Примечание 15 2 12 4 2" xfId="29459"/>
    <cellStyle name="Примечание 15 2 12 4 3" xfId="39334"/>
    <cellStyle name="Примечание 15 2 12 5" xfId="25367"/>
    <cellStyle name="Примечание 15 2 12 6" xfId="35242"/>
    <cellStyle name="Примечание 15 2 13" xfId="2999"/>
    <cellStyle name="Примечание 15 2 13 2" xfId="12966"/>
    <cellStyle name="Примечание 15 2 13 2 2" xfId="18298"/>
    <cellStyle name="Примечание 15 2 13 2 2 2" xfId="32108"/>
    <cellStyle name="Примечание 15 2 13 2 2 3" xfId="41981"/>
    <cellStyle name="Примечание 15 2 13 2 3" xfId="26840"/>
    <cellStyle name="Примечание 15 2 13 2 4" xfId="36715"/>
    <cellStyle name="Примечание 15 2 13 3" xfId="14189"/>
    <cellStyle name="Примечание 15 2 13 3 2" xfId="16832"/>
    <cellStyle name="Примечание 15 2 13 3 2 2" xfId="30647"/>
    <cellStyle name="Примечание 15 2 13 3 2 3" xfId="40522"/>
    <cellStyle name="Примечание 15 2 13 3 3" xfId="19472"/>
    <cellStyle name="Примечание 15 2 13 3 3 2" xfId="33282"/>
    <cellStyle name="Примечание 15 2 13 3 3 3" xfId="43151"/>
    <cellStyle name="Примечание 15 2 13 3 4" xfId="28010"/>
    <cellStyle name="Примечание 15 2 13 3 5" xfId="37885"/>
    <cellStyle name="Примечание 15 2 13 4" xfId="15681"/>
    <cellStyle name="Примечание 15 2 13 4 2" xfId="29500"/>
    <cellStyle name="Примечание 15 2 13 4 3" xfId="39375"/>
    <cellStyle name="Примечание 15 2 13 5" xfId="25414"/>
    <cellStyle name="Примечание 15 2 13 6" xfId="35289"/>
    <cellStyle name="Примечание 15 2 14" xfId="11806"/>
    <cellStyle name="Примечание 15 2 14 2" xfId="14704"/>
    <cellStyle name="Примечание 15 2 14 2 2" xfId="19987"/>
    <cellStyle name="Примечание 15 2 14 2 2 2" xfId="33797"/>
    <cellStyle name="Примечание 15 2 14 2 2 3" xfId="43665"/>
    <cellStyle name="Примечание 15 2 14 2 3" xfId="28524"/>
    <cellStyle name="Примечание 15 2 14 2 4" xfId="38399"/>
    <cellStyle name="Примечание 15 2 14 3" xfId="14233"/>
    <cellStyle name="Примечание 15 2 14 3 2" xfId="16876"/>
    <cellStyle name="Примечание 15 2 14 3 2 2" xfId="30691"/>
    <cellStyle name="Примечание 15 2 14 3 2 3" xfId="40566"/>
    <cellStyle name="Примечание 15 2 14 3 3" xfId="19516"/>
    <cellStyle name="Примечание 15 2 14 3 3 2" xfId="33326"/>
    <cellStyle name="Примечание 15 2 14 3 3 3" xfId="43195"/>
    <cellStyle name="Примечание 15 2 14 3 4" xfId="28054"/>
    <cellStyle name="Примечание 15 2 14 3 5" xfId="37929"/>
    <cellStyle name="Примечание 15 2 14 4" xfId="15937"/>
    <cellStyle name="Примечание 15 2 14 4 2" xfId="24563"/>
    <cellStyle name="Примечание 15 2 14 4 3" xfId="29756"/>
    <cellStyle name="Примечание 15 2 14 4 4" xfId="39631"/>
    <cellStyle name="Примечание 15 2 14 5" xfId="25680"/>
    <cellStyle name="Примечание 15 2 14 6" xfId="35555"/>
    <cellStyle name="Примечание 15 2 15" xfId="12380"/>
    <cellStyle name="Примечание 15 2 15 2" xfId="17712"/>
    <cellStyle name="Примечание 15 2 15 2 2" xfId="31522"/>
    <cellStyle name="Примечание 15 2 15 2 3" xfId="41395"/>
    <cellStyle name="Примечание 15 2 15 3" xfId="26254"/>
    <cellStyle name="Примечание 15 2 15 4" xfId="36129"/>
    <cellStyle name="Примечание 15 2 16" xfId="13533"/>
    <cellStyle name="Примечание 15 2 16 2" xfId="16231"/>
    <cellStyle name="Примечание 15 2 16 2 2" xfId="30048"/>
    <cellStyle name="Примечание 15 2 16 2 3" xfId="39923"/>
    <cellStyle name="Примечание 15 2 16 3" xfId="18862"/>
    <cellStyle name="Примечание 15 2 16 3 2" xfId="32672"/>
    <cellStyle name="Примечание 15 2 16 3 3" xfId="42543"/>
    <cellStyle name="Примечание 15 2 16 4" xfId="27402"/>
    <cellStyle name="Примечание 15 2 16 5" xfId="37277"/>
    <cellStyle name="Примечание 15 2 17" xfId="13483"/>
    <cellStyle name="Примечание 15 2 17 2" xfId="18812"/>
    <cellStyle name="Примечание 15 2 17 2 2" xfId="32622"/>
    <cellStyle name="Примечание 15 2 17 2 3" xfId="42493"/>
    <cellStyle name="Примечание 15 2 17 3" xfId="27352"/>
    <cellStyle name="Примечание 15 2 17 4" xfId="37227"/>
    <cellStyle name="Примечание 15 2 18" xfId="17384"/>
    <cellStyle name="Примечание 15 2 18 2" xfId="31195"/>
    <cellStyle name="Примечание 15 2 18 3" xfId="41069"/>
    <cellStyle name="Примечание 15 2 19" xfId="24818"/>
    <cellStyle name="Примечание 15 2 2" xfId="2579"/>
    <cellStyle name="Примечание 15 2 2 2" xfId="10798"/>
    <cellStyle name="Примечание 15 2 2 3" xfId="12565"/>
    <cellStyle name="Примечание 15 2 2 3 2" xfId="17897"/>
    <cellStyle name="Примечание 15 2 2 3 2 2" xfId="31707"/>
    <cellStyle name="Примечание 15 2 2 3 2 3" xfId="41580"/>
    <cellStyle name="Примечание 15 2 2 3 3" xfId="26439"/>
    <cellStyle name="Примечание 15 2 2 3 4" xfId="36314"/>
    <cellStyle name="Примечание 15 2 2 4" xfId="13787"/>
    <cellStyle name="Примечание 15 2 2 4 2" xfId="16430"/>
    <cellStyle name="Примечание 15 2 2 4 2 2" xfId="30246"/>
    <cellStyle name="Примечание 15 2 2 4 2 3" xfId="40121"/>
    <cellStyle name="Примечание 15 2 2 4 3" xfId="19070"/>
    <cellStyle name="Примечание 15 2 2 4 3 2" xfId="32880"/>
    <cellStyle name="Примечание 15 2 2 4 3 3" xfId="42750"/>
    <cellStyle name="Примечание 15 2 2 4 4" xfId="27609"/>
    <cellStyle name="Примечание 15 2 2 4 5" xfId="37484"/>
    <cellStyle name="Примечание 15 2 2 5" xfId="15285"/>
    <cellStyle name="Примечание 15 2 2 5 2" xfId="29105"/>
    <cellStyle name="Примечание 15 2 2 5 3" xfId="38980"/>
    <cellStyle name="Примечание 15 2 2 6" xfId="25013"/>
    <cellStyle name="Примечание 15 2 2 7" xfId="34888"/>
    <cellStyle name="Примечание 15 2 20" xfId="34435"/>
    <cellStyle name="Примечание 15 2 21" xfId="34685"/>
    <cellStyle name="Примечание 15 2 3" xfId="2461"/>
    <cellStyle name="Примечание 15 2 3 2" xfId="12466"/>
    <cellStyle name="Примечание 15 2 3 2 2" xfId="17798"/>
    <cellStyle name="Примечание 15 2 3 2 2 2" xfId="31608"/>
    <cellStyle name="Примечание 15 2 3 2 2 3" xfId="41481"/>
    <cellStyle name="Примечание 15 2 3 2 3" xfId="26340"/>
    <cellStyle name="Примечание 15 2 3 2 4" xfId="36215"/>
    <cellStyle name="Примечание 15 2 3 3" xfId="13688"/>
    <cellStyle name="Примечание 15 2 3 3 2" xfId="16331"/>
    <cellStyle name="Примечание 15 2 3 3 2 2" xfId="30147"/>
    <cellStyle name="Примечание 15 2 3 3 2 3" xfId="40022"/>
    <cellStyle name="Примечание 15 2 3 3 3" xfId="18971"/>
    <cellStyle name="Примечание 15 2 3 3 3 2" xfId="32781"/>
    <cellStyle name="Примечание 15 2 3 3 3 3" xfId="42651"/>
    <cellStyle name="Примечание 15 2 3 3 4" xfId="27510"/>
    <cellStyle name="Примечание 15 2 3 3 5" xfId="37385"/>
    <cellStyle name="Примечание 15 2 3 4" xfId="15186"/>
    <cellStyle name="Примечание 15 2 3 4 2" xfId="29006"/>
    <cellStyle name="Примечание 15 2 3 4 3" xfId="38881"/>
    <cellStyle name="Примечание 15 2 3 5" xfId="24914"/>
    <cellStyle name="Примечание 15 2 3 6" xfId="34789"/>
    <cellStyle name="Примечание 15 2 4" xfId="2514"/>
    <cellStyle name="Примечание 15 2 4 2" xfId="12500"/>
    <cellStyle name="Примечание 15 2 4 2 2" xfId="17832"/>
    <cellStyle name="Примечание 15 2 4 2 2 2" xfId="31642"/>
    <cellStyle name="Примечание 15 2 4 2 2 3" xfId="41515"/>
    <cellStyle name="Примечание 15 2 4 2 3" xfId="26374"/>
    <cellStyle name="Примечание 15 2 4 2 4" xfId="36249"/>
    <cellStyle name="Примечание 15 2 4 3" xfId="13722"/>
    <cellStyle name="Примечание 15 2 4 3 2" xfId="16365"/>
    <cellStyle name="Примечание 15 2 4 3 2 2" xfId="30181"/>
    <cellStyle name="Примечание 15 2 4 3 2 3" xfId="40056"/>
    <cellStyle name="Примечание 15 2 4 3 3" xfId="19005"/>
    <cellStyle name="Примечание 15 2 4 3 3 2" xfId="32815"/>
    <cellStyle name="Примечание 15 2 4 3 3 3" xfId="42685"/>
    <cellStyle name="Примечание 15 2 4 3 4" xfId="27544"/>
    <cellStyle name="Примечание 15 2 4 3 5" xfId="37419"/>
    <cellStyle name="Примечание 15 2 4 4" xfId="15220"/>
    <cellStyle name="Примечание 15 2 4 4 2" xfId="29040"/>
    <cellStyle name="Примечание 15 2 4 4 3" xfId="38915"/>
    <cellStyle name="Примечание 15 2 4 5" xfId="24948"/>
    <cellStyle name="Примечание 15 2 4 6" xfId="34823"/>
    <cellStyle name="Примечание 15 2 5" xfId="2412"/>
    <cellStyle name="Примечание 15 2 5 2" xfId="12417"/>
    <cellStyle name="Примечание 15 2 5 2 2" xfId="17749"/>
    <cellStyle name="Примечание 15 2 5 2 2 2" xfId="31559"/>
    <cellStyle name="Примечание 15 2 5 2 2 3" xfId="41432"/>
    <cellStyle name="Примечание 15 2 5 2 3" xfId="26291"/>
    <cellStyle name="Примечание 15 2 5 2 4" xfId="36166"/>
    <cellStyle name="Примечание 15 2 5 3" xfId="13639"/>
    <cellStyle name="Примечание 15 2 5 3 2" xfId="16282"/>
    <cellStyle name="Примечание 15 2 5 3 2 2" xfId="30098"/>
    <cellStyle name="Примечание 15 2 5 3 2 3" xfId="39973"/>
    <cellStyle name="Примечание 15 2 5 3 3" xfId="18922"/>
    <cellStyle name="Примечание 15 2 5 3 3 2" xfId="32732"/>
    <cellStyle name="Примечание 15 2 5 3 3 3" xfId="42602"/>
    <cellStyle name="Примечание 15 2 5 3 4" xfId="27461"/>
    <cellStyle name="Примечание 15 2 5 3 5" xfId="37336"/>
    <cellStyle name="Примечание 15 2 5 4" xfId="15137"/>
    <cellStyle name="Примечание 15 2 5 4 2" xfId="28957"/>
    <cellStyle name="Примечание 15 2 5 4 3" xfId="38832"/>
    <cellStyle name="Примечание 15 2 5 5" xfId="24865"/>
    <cellStyle name="Примечание 15 2 5 6" xfId="34740"/>
    <cellStyle name="Примечание 15 2 6" xfId="2614"/>
    <cellStyle name="Примечание 15 2 6 2" xfId="12600"/>
    <cellStyle name="Примечание 15 2 6 2 2" xfId="17932"/>
    <cellStyle name="Примечание 15 2 6 2 2 2" xfId="31742"/>
    <cellStyle name="Примечание 15 2 6 2 2 3" xfId="41615"/>
    <cellStyle name="Примечание 15 2 6 2 3" xfId="26474"/>
    <cellStyle name="Примечание 15 2 6 2 4" xfId="36349"/>
    <cellStyle name="Примечание 15 2 6 3" xfId="13822"/>
    <cellStyle name="Примечание 15 2 6 3 2" xfId="16465"/>
    <cellStyle name="Примечание 15 2 6 3 2 2" xfId="30281"/>
    <cellStyle name="Примечание 15 2 6 3 2 3" xfId="40156"/>
    <cellStyle name="Примечание 15 2 6 3 3" xfId="19105"/>
    <cellStyle name="Примечание 15 2 6 3 3 2" xfId="32915"/>
    <cellStyle name="Примечание 15 2 6 3 3 3" xfId="42785"/>
    <cellStyle name="Примечание 15 2 6 3 4" xfId="27644"/>
    <cellStyle name="Примечание 15 2 6 3 5" xfId="37519"/>
    <cellStyle name="Примечание 15 2 6 4" xfId="15320"/>
    <cellStyle name="Примечание 15 2 6 4 2" xfId="29140"/>
    <cellStyle name="Примечание 15 2 6 4 3" xfId="39015"/>
    <cellStyle name="Примечание 15 2 6 5" xfId="25048"/>
    <cellStyle name="Примечание 15 2 6 6" xfId="34923"/>
    <cellStyle name="Примечание 15 2 7" xfId="2742"/>
    <cellStyle name="Примечание 15 2 7 2" xfId="12718"/>
    <cellStyle name="Примечание 15 2 7 2 2" xfId="18050"/>
    <cellStyle name="Примечание 15 2 7 2 2 2" xfId="31860"/>
    <cellStyle name="Примечание 15 2 7 2 2 3" xfId="41733"/>
    <cellStyle name="Примечание 15 2 7 2 3" xfId="26592"/>
    <cellStyle name="Примечание 15 2 7 2 4" xfId="36467"/>
    <cellStyle name="Примечание 15 2 7 3" xfId="13941"/>
    <cellStyle name="Примечание 15 2 7 3 2" xfId="16584"/>
    <cellStyle name="Примечание 15 2 7 3 2 2" xfId="30399"/>
    <cellStyle name="Примечание 15 2 7 3 2 3" xfId="40274"/>
    <cellStyle name="Примечание 15 2 7 3 3" xfId="19224"/>
    <cellStyle name="Примечание 15 2 7 3 3 2" xfId="33034"/>
    <cellStyle name="Примечание 15 2 7 3 3 3" xfId="42903"/>
    <cellStyle name="Примечание 15 2 7 3 4" xfId="27762"/>
    <cellStyle name="Примечание 15 2 7 3 5" xfId="37637"/>
    <cellStyle name="Примечание 15 2 7 4" xfId="15439"/>
    <cellStyle name="Примечание 15 2 7 4 2" xfId="29258"/>
    <cellStyle name="Примечание 15 2 7 4 3" xfId="39133"/>
    <cellStyle name="Примечание 15 2 7 5" xfId="25166"/>
    <cellStyle name="Примечание 15 2 7 6" xfId="35041"/>
    <cellStyle name="Примечание 15 2 8" xfId="2664"/>
    <cellStyle name="Примечание 15 2 8 2" xfId="12650"/>
    <cellStyle name="Примечание 15 2 8 2 2" xfId="17982"/>
    <cellStyle name="Примечание 15 2 8 2 2 2" xfId="31792"/>
    <cellStyle name="Примечание 15 2 8 2 2 3" xfId="41665"/>
    <cellStyle name="Примечание 15 2 8 2 3" xfId="26524"/>
    <cellStyle name="Примечание 15 2 8 2 4" xfId="36399"/>
    <cellStyle name="Примечание 15 2 8 3" xfId="13872"/>
    <cellStyle name="Примечание 15 2 8 3 2" xfId="16515"/>
    <cellStyle name="Примечание 15 2 8 3 2 2" xfId="30331"/>
    <cellStyle name="Примечание 15 2 8 3 2 3" xfId="40206"/>
    <cellStyle name="Примечание 15 2 8 3 3" xfId="19155"/>
    <cellStyle name="Примечание 15 2 8 3 3 2" xfId="32965"/>
    <cellStyle name="Примечание 15 2 8 3 3 3" xfId="42835"/>
    <cellStyle name="Примечание 15 2 8 3 4" xfId="27694"/>
    <cellStyle name="Примечание 15 2 8 3 5" xfId="37569"/>
    <cellStyle name="Примечание 15 2 8 4" xfId="15370"/>
    <cellStyle name="Примечание 15 2 8 4 2" xfId="29190"/>
    <cellStyle name="Примечание 15 2 8 4 3" xfId="39065"/>
    <cellStyle name="Примечание 15 2 8 5" xfId="25098"/>
    <cellStyle name="Примечание 15 2 8 6" xfId="34973"/>
    <cellStyle name="Примечание 15 2 9" xfId="2792"/>
    <cellStyle name="Примечание 15 2 9 2" xfId="12767"/>
    <cellStyle name="Примечание 15 2 9 2 2" xfId="18099"/>
    <cellStyle name="Примечание 15 2 9 2 2 2" xfId="31909"/>
    <cellStyle name="Примечание 15 2 9 2 2 3" xfId="41782"/>
    <cellStyle name="Примечание 15 2 9 2 3" xfId="26641"/>
    <cellStyle name="Примечание 15 2 9 2 4" xfId="36516"/>
    <cellStyle name="Примечание 15 2 9 3" xfId="13990"/>
    <cellStyle name="Примечание 15 2 9 3 2" xfId="16633"/>
    <cellStyle name="Примечание 15 2 9 3 2 2" xfId="30448"/>
    <cellStyle name="Примечание 15 2 9 3 2 3" xfId="40323"/>
    <cellStyle name="Примечание 15 2 9 3 3" xfId="19273"/>
    <cellStyle name="Примечание 15 2 9 3 3 2" xfId="33083"/>
    <cellStyle name="Примечание 15 2 9 3 3 3" xfId="42952"/>
    <cellStyle name="Примечание 15 2 9 3 4" xfId="27811"/>
    <cellStyle name="Примечание 15 2 9 3 5" xfId="37686"/>
    <cellStyle name="Примечание 15 2 9 4" xfId="15488"/>
    <cellStyle name="Примечание 15 2 9 4 2" xfId="29307"/>
    <cellStyle name="Примечание 15 2 9 4 3" xfId="39182"/>
    <cellStyle name="Примечание 15 2 9 5" xfId="25215"/>
    <cellStyle name="Примечание 15 2 9 6" xfId="35090"/>
    <cellStyle name="Примечание 15 20" xfId="13482"/>
    <cellStyle name="Примечание 15 20 2" xfId="18811"/>
    <cellStyle name="Примечание 15 20 2 2" xfId="32621"/>
    <cellStyle name="Примечание 15 20 2 3" xfId="42492"/>
    <cellStyle name="Примечание 15 20 3" xfId="27351"/>
    <cellStyle name="Примечание 15 20 4" xfId="37226"/>
    <cellStyle name="Примечание 15 21" xfId="17383"/>
    <cellStyle name="Примечание 15 21 2" xfId="21125"/>
    <cellStyle name="Примечание 15 21 3" xfId="31194"/>
    <cellStyle name="Примечание 15 21 4" xfId="41068"/>
    <cellStyle name="Примечание 15 22" xfId="23891"/>
    <cellStyle name="Примечание 15 23" xfId="24817"/>
    <cellStyle name="Примечание 15 24" xfId="34434"/>
    <cellStyle name="Примечание 15 25" xfId="34684"/>
    <cellStyle name="Примечание 15 3" xfId="2205"/>
    <cellStyle name="Примечание 15 3 10" xfId="2849"/>
    <cellStyle name="Примечание 15 3 10 2" xfId="12821"/>
    <cellStyle name="Примечание 15 3 10 2 2" xfId="18153"/>
    <cellStyle name="Примечание 15 3 10 2 2 2" xfId="31963"/>
    <cellStyle name="Примечание 15 3 10 2 2 3" xfId="41836"/>
    <cellStyle name="Примечание 15 3 10 2 3" xfId="26695"/>
    <cellStyle name="Примечание 15 3 10 2 4" xfId="36570"/>
    <cellStyle name="Примечание 15 3 10 3" xfId="14044"/>
    <cellStyle name="Примечание 15 3 10 3 2" xfId="16687"/>
    <cellStyle name="Примечание 15 3 10 3 2 2" xfId="30502"/>
    <cellStyle name="Примечание 15 3 10 3 2 3" xfId="40377"/>
    <cellStyle name="Примечание 15 3 10 3 3" xfId="19327"/>
    <cellStyle name="Примечание 15 3 10 3 3 2" xfId="33137"/>
    <cellStyle name="Примечание 15 3 10 3 3 3" xfId="43006"/>
    <cellStyle name="Примечание 15 3 10 3 4" xfId="27865"/>
    <cellStyle name="Примечание 15 3 10 3 5" xfId="37740"/>
    <cellStyle name="Примечание 15 3 10 4" xfId="15542"/>
    <cellStyle name="Примечание 15 3 10 4 2" xfId="29361"/>
    <cellStyle name="Примечание 15 3 10 4 3" xfId="39236"/>
    <cellStyle name="Примечание 15 3 10 5" xfId="25269"/>
    <cellStyle name="Примечание 15 3 10 6" xfId="35144"/>
    <cellStyle name="Примечание 15 3 11" xfId="2897"/>
    <cellStyle name="Примечание 15 3 11 2" xfId="12867"/>
    <cellStyle name="Примечание 15 3 11 2 2" xfId="18199"/>
    <cellStyle name="Примечание 15 3 11 2 2 2" xfId="32009"/>
    <cellStyle name="Примечание 15 3 11 2 2 3" xfId="41882"/>
    <cellStyle name="Примечание 15 3 11 2 3" xfId="26741"/>
    <cellStyle name="Примечание 15 3 11 2 4" xfId="36616"/>
    <cellStyle name="Примечание 15 3 11 3" xfId="14090"/>
    <cellStyle name="Примечание 15 3 11 3 2" xfId="16733"/>
    <cellStyle name="Примечание 15 3 11 3 2 2" xfId="30548"/>
    <cellStyle name="Примечание 15 3 11 3 2 3" xfId="40423"/>
    <cellStyle name="Примечание 15 3 11 3 3" xfId="19373"/>
    <cellStyle name="Примечание 15 3 11 3 3 2" xfId="33183"/>
    <cellStyle name="Примечание 15 3 11 3 3 3" xfId="43052"/>
    <cellStyle name="Примечание 15 3 11 3 4" xfId="27911"/>
    <cellStyle name="Примечание 15 3 11 3 5" xfId="37786"/>
    <cellStyle name="Примечание 15 3 11 4" xfId="15588"/>
    <cellStyle name="Примечание 15 3 11 4 2" xfId="29407"/>
    <cellStyle name="Примечание 15 3 11 4 3" xfId="39282"/>
    <cellStyle name="Примечание 15 3 11 5" xfId="25315"/>
    <cellStyle name="Примечание 15 3 11 6" xfId="35190"/>
    <cellStyle name="Примечание 15 3 12" xfId="2951"/>
    <cellStyle name="Примечание 15 3 12 2" xfId="12920"/>
    <cellStyle name="Примечание 15 3 12 2 2" xfId="18252"/>
    <cellStyle name="Примечание 15 3 12 2 2 2" xfId="32062"/>
    <cellStyle name="Примечание 15 3 12 2 2 3" xfId="41935"/>
    <cellStyle name="Примечание 15 3 12 2 3" xfId="26794"/>
    <cellStyle name="Примечание 15 3 12 2 4" xfId="36669"/>
    <cellStyle name="Примечание 15 3 12 3" xfId="14143"/>
    <cellStyle name="Примечание 15 3 12 3 2" xfId="16786"/>
    <cellStyle name="Примечание 15 3 12 3 2 2" xfId="30601"/>
    <cellStyle name="Примечание 15 3 12 3 2 3" xfId="40476"/>
    <cellStyle name="Примечание 15 3 12 3 3" xfId="19426"/>
    <cellStyle name="Примечание 15 3 12 3 3 2" xfId="33236"/>
    <cellStyle name="Примечание 15 3 12 3 3 3" xfId="43105"/>
    <cellStyle name="Примечание 15 3 12 3 4" xfId="27964"/>
    <cellStyle name="Примечание 15 3 12 3 5" xfId="37839"/>
    <cellStyle name="Примечание 15 3 12 4" xfId="15641"/>
    <cellStyle name="Примечание 15 3 12 4 2" xfId="29460"/>
    <cellStyle name="Примечание 15 3 12 4 3" xfId="39335"/>
    <cellStyle name="Примечание 15 3 12 5" xfId="25368"/>
    <cellStyle name="Примечание 15 3 12 6" xfId="35243"/>
    <cellStyle name="Примечание 15 3 13" xfId="3000"/>
    <cellStyle name="Примечание 15 3 13 2" xfId="12967"/>
    <cellStyle name="Примечание 15 3 13 2 2" xfId="18299"/>
    <cellStyle name="Примечание 15 3 13 2 2 2" xfId="32109"/>
    <cellStyle name="Примечание 15 3 13 2 2 3" xfId="41982"/>
    <cellStyle name="Примечание 15 3 13 2 3" xfId="26841"/>
    <cellStyle name="Примечание 15 3 13 2 4" xfId="36716"/>
    <cellStyle name="Примечание 15 3 13 3" xfId="14190"/>
    <cellStyle name="Примечание 15 3 13 3 2" xfId="16833"/>
    <cellStyle name="Примечание 15 3 13 3 2 2" xfId="30648"/>
    <cellStyle name="Примечание 15 3 13 3 2 3" xfId="40523"/>
    <cellStyle name="Примечание 15 3 13 3 3" xfId="19473"/>
    <cellStyle name="Примечание 15 3 13 3 3 2" xfId="33283"/>
    <cellStyle name="Примечание 15 3 13 3 3 3" xfId="43152"/>
    <cellStyle name="Примечание 15 3 13 3 4" xfId="28011"/>
    <cellStyle name="Примечание 15 3 13 3 5" xfId="37886"/>
    <cellStyle name="Примечание 15 3 13 4" xfId="15682"/>
    <cellStyle name="Примечание 15 3 13 4 2" xfId="29501"/>
    <cellStyle name="Примечание 15 3 13 4 3" xfId="39376"/>
    <cellStyle name="Примечание 15 3 13 5" xfId="25415"/>
    <cellStyle name="Примечание 15 3 13 6" xfId="35290"/>
    <cellStyle name="Примечание 15 3 14" xfId="11807"/>
    <cellStyle name="Примечание 15 3 14 2" xfId="14705"/>
    <cellStyle name="Примечание 15 3 14 2 2" xfId="19988"/>
    <cellStyle name="Примечание 15 3 14 2 2 2" xfId="33798"/>
    <cellStyle name="Примечание 15 3 14 2 2 3" xfId="43666"/>
    <cellStyle name="Примечание 15 3 14 2 3" xfId="28525"/>
    <cellStyle name="Примечание 15 3 14 2 4" xfId="38400"/>
    <cellStyle name="Примечание 15 3 14 3" xfId="14241"/>
    <cellStyle name="Примечание 15 3 14 3 2" xfId="16884"/>
    <cellStyle name="Примечание 15 3 14 3 2 2" xfId="30699"/>
    <cellStyle name="Примечание 15 3 14 3 2 3" xfId="40574"/>
    <cellStyle name="Примечание 15 3 14 3 3" xfId="19524"/>
    <cellStyle name="Примечание 15 3 14 3 3 2" xfId="33334"/>
    <cellStyle name="Примечание 15 3 14 3 3 3" xfId="43203"/>
    <cellStyle name="Примечание 15 3 14 3 4" xfId="28062"/>
    <cellStyle name="Примечание 15 3 14 3 5" xfId="37937"/>
    <cellStyle name="Примечание 15 3 14 4" xfId="15938"/>
    <cellStyle name="Примечание 15 3 14 4 2" xfId="24564"/>
    <cellStyle name="Примечание 15 3 14 4 3" xfId="29757"/>
    <cellStyle name="Примечание 15 3 14 4 4" xfId="39632"/>
    <cellStyle name="Примечание 15 3 14 5" xfId="25681"/>
    <cellStyle name="Примечание 15 3 14 6" xfId="35556"/>
    <cellStyle name="Примечание 15 3 15" xfId="12381"/>
    <cellStyle name="Примечание 15 3 15 2" xfId="17713"/>
    <cellStyle name="Примечание 15 3 15 2 2" xfId="31523"/>
    <cellStyle name="Примечание 15 3 15 2 3" xfId="41396"/>
    <cellStyle name="Примечание 15 3 15 3" xfId="26255"/>
    <cellStyle name="Примечание 15 3 15 4" xfId="36130"/>
    <cellStyle name="Примечание 15 3 16" xfId="13534"/>
    <cellStyle name="Примечание 15 3 16 2" xfId="16232"/>
    <cellStyle name="Примечание 15 3 16 2 2" xfId="30049"/>
    <cellStyle name="Примечание 15 3 16 2 3" xfId="39924"/>
    <cellStyle name="Примечание 15 3 16 3" xfId="18863"/>
    <cellStyle name="Примечание 15 3 16 3 2" xfId="32673"/>
    <cellStyle name="Примечание 15 3 16 3 3" xfId="42544"/>
    <cellStyle name="Примечание 15 3 16 4" xfId="27403"/>
    <cellStyle name="Примечание 15 3 16 5" xfId="37278"/>
    <cellStyle name="Примечание 15 3 17" xfId="13484"/>
    <cellStyle name="Примечание 15 3 17 2" xfId="18813"/>
    <cellStyle name="Примечание 15 3 17 2 2" xfId="32623"/>
    <cellStyle name="Примечание 15 3 17 2 3" xfId="42494"/>
    <cellStyle name="Примечание 15 3 17 3" xfId="27353"/>
    <cellStyle name="Примечание 15 3 17 4" xfId="37228"/>
    <cellStyle name="Примечание 15 3 18" xfId="17385"/>
    <cellStyle name="Примечание 15 3 18 2" xfId="31196"/>
    <cellStyle name="Примечание 15 3 18 3" xfId="41070"/>
    <cellStyle name="Примечание 15 3 19" xfId="24819"/>
    <cellStyle name="Примечание 15 3 2" xfId="2580"/>
    <cellStyle name="Примечание 15 3 2 2" xfId="10799"/>
    <cellStyle name="Примечание 15 3 2 3" xfId="12566"/>
    <cellStyle name="Примечание 15 3 2 3 2" xfId="17898"/>
    <cellStyle name="Примечание 15 3 2 3 2 2" xfId="31708"/>
    <cellStyle name="Примечание 15 3 2 3 2 3" xfId="41581"/>
    <cellStyle name="Примечание 15 3 2 3 3" xfId="26440"/>
    <cellStyle name="Примечание 15 3 2 3 4" xfId="36315"/>
    <cellStyle name="Примечание 15 3 2 4" xfId="13788"/>
    <cellStyle name="Примечание 15 3 2 4 2" xfId="16431"/>
    <cellStyle name="Примечание 15 3 2 4 2 2" xfId="30247"/>
    <cellStyle name="Примечание 15 3 2 4 2 3" xfId="40122"/>
    <cellStyle name="Примечание 15 3 2 4 3" xfId="19071"/>
    <cellStyle name="Примечание 15 3 2 4 3 2" xfId="32881"/>
    <cellStyle name="Примечание 15 3 2 4 3 3" xfId="42751"/>
    <cellStyle name="Примечание 15 3 2 4 4" xfId="27610"/>
    <cellStyle name="Примечание 15 3 2 4 5" xfId="37485"/>
    <cellStyle name="Примечание 15 3 2 5" xfId="15286"/>
    <cellStyle name="Примечание 15 3 2 5 2" xfId="29106"/>
    <cellStyle name="Примечание 15 3 2 5 3" xfId="38981"/>
    <cellStyle name="Примечание 15 3 2 6" xfId="25014"/>
    <cellStyle name="Примечание 15 3 2 7" xfId="34889"/>
    <cellStyle name="Примечание 15 3 20" xfId="34436"/>
    <cellStyle name="Примечание 15 3 21" xfId="34686"/>
    <cellStyle name="Примечание 15 3 3" xfId="2460"/>
    <cellStyle name="Примечание 15 3 3 2" xfId="12465"/>
    <cellStyle name="Примечание 15 3 3 2 2" xfId="17797"/>
    <cellStyle name="Примечание 15 3 3 2 2 2" xfId="31607"/>
    <cellStyle name="Примечание 15 3 3 2 2 3" xfId="41480"/>
    <cellStyle name="Примечание 15 3 3 2 3" xfId="26339"/>
    <cellStyle name="Примечание 15 3 3 2 4" xfId="36214"/>
    <cellStyle name="Примечание 15 3 3 3" xfId="13687"/>
    <cellStyle name="Примечание 15 3 3 3 2" xfId="16330"/>
    <cellStyle name="Примечание 15 3 3 3 2 2" xfId="30146"/>
    <cellStyle name="Примечание 15 3 3 3 2 3" xfId="40021"/>
    <cellStyle name="Примечание 15 3 3 3 3" xfId="18970"/>
    <cellStyle name="Примечание 15 3 3 3 3 2" xfId="32780"/>
    <cellStyle name="Примечание 15 3 3 3 3 3" xfId="42650"/>
    <cellStyle name="Примечание 15 3 3 3 4" xfId="27509"/>
    <cellStyle name="Примечание 15 3 3 3 5" xfId="37384"/>
    <cellStyle name="Примечание 15 3 3 4" xfId="15185"/>
    <cellStyle name="Примечание 15 3 3 4 2" xfId="29005"/>
    <cellStyle name="Примечание 15 3 3 4 3" xfId="38880"/>
    <cellStyle name="Примечание 15 3 3 5" xfId="24913"/>
    <cellStyle name="Примечание 15 3 3 6" xfId="34788"/>
    <cellStyle name="Примечание 15 3 4" xfId="2515"/>
    <cellStyle name="Примечание 15 3 4 2" xfId="12501"/>
    <cellStyle name="Примечание 15 3 4 2 2" xfId="17833"/>
    <cellStyle name="Примечание 15 3 4 2 2 2" xfId="31643"/>
    <cellStyle name="Примечание 15 3 4 2 2 3" xfId="41516"/>
    <cellStyle name="Примечание 15 3 4 2 3" xfId="26375"/>
    <cellStyle name="Примечание 15 3 4 2 4" xfId="36250"/>
    <cellStyle name="Примечание 15 3 4 3" xfId="13723"/>
    <cellStyle name="Примечание 15 3 4 3 2" xfId="16366"/>
    <cellStyle name="Примечание 15 3 4 3 2 2" xfId="30182"/>
    <cellStyle name="Примечание 15 3 4 3 2 3" xfId="40057"/>
    <cellStyle name="Примечание 15 3 4 3 3" xfId="19006"/>
    <cellStyle name="Примечание 15 3 4 3 3 2" xfId="32816"/>
    <cellStyle name="Примечание 15 3 4 3 3 3" xfId="42686"/>
    <cellStyle name="Примечание 15 3 4 3 4" xfId="27545"/>
    <cellStyle name="Примечание 15 3 4 3 5" xfId="37420"/>
    <cellStyle name="Примечание 15 3 4 4" xfId="15221"/>
    <cellStyle name="Примечание 15 3 4 4 2" xfId="29041"/>
    <cellStyle name="Примечание 15 3 4 4 3" xfId="38916"/>
    <cellStyle name="Примечание 15 3 4 5" xfId="24949"/>
    <cellStyle name="Примечание 15 3 4 6" xfId="34824"/>
    <cellStyle name="Примечание 15 3 5" xfId="2411"/>
    <cellStyle name="Примечание 15 3 5 2" xfId="12416"/>
    <cellStyle name="Примечание 15 3 5 2 2" xfId="17748"/>
    <cellStyle name="Примечание 15 3 5 2 2 2" xfId="31558"/>
    <cellStyle name="Примечание 15 3 5 2 2 3" xfId="41431"/>
    <cellStyle name="Примечание 15 3 5 2 3" xfId="26290"/>
    <cellStyle name="Примечание 15 3 5 2 4" xfId="36165"/>
    <cellStyle name="Примечание 15 3 5 3" xfId="13638"/>
    <cellStyle name="Примечание 15 3 5 3 2" xfId="16281"/>
    <cellStyle name="Примечание 15 3 5 3 2 2" xfId="30097"/>
    <cellStyle name="Примечание 15 3 5 3 2 3" xfId="39972"/>
    <cellStyle name="Примечание 15 3 5 3 3" xfId="18921"/>
    <cellStyle name="Примечание 15 3 5 3 3 2" xfId="32731"/>
    <cellStyle name="Примечание 15 3 5 3 3 3" xfId="42601"/>
    <cellStyle name="Примечание 15 3 5 3 4" xfId="27460"/>
    <cellStyle name="Примечание 15 3 5 3 5" xfId="37335"/>
    <cellStyle name="Примечание 15 3 5 4" xfId="15136"/>
    <cellStyle name="Примечание 15 3 5 4 2" xfId="28956"/>
    <cellStyle name="Примечание 15 3 5 4 3" xfId="38831"/>
    <cellStyle name="Примечание 15 3 5 5" xfId="24864"/>
    <cellStyle name="Примечание 15 3 5 6" xfId="34739"/>
    <cellStyle name="Примечание 15 3 6" xfId="2615"/>
    <cellStyle name="Примечание 15 3 6 2" xfId="12601"/>
    <cellStyle name="Примечание 15 3 6 2 2" xfId="17933"/>
    <cellStyle name="Примечание 15 3 6 2 2 2" xfId="31743"/>
    <cellStyle name="Примечание 15 3 6 2 2 3" xfId="41616"/>
    <cellStyle name="Примечание 15 3 6 2 3" xfId="26475"/>
    <cellStyle name="Примечание 15 3 6 2 4" xfId="36350"/>
    <cellStyle name="Примечание 15 3 6 3" xfId="13823"/>
    <cellStyle name="Примечание 15 3 6 3 2" xfId="16466"/>
    <cellStyle name="Примечание 15 3 6 3 2 2" xfId="30282"/>
    <cellStyle name="Примечание 15 3 6 3 2 3" xfId="40157"/>
    <cellStyle name="Примечание 15 3 6 3 3" xfId="19106"/>
    <cellStyle name="Примечание 15 3 6 3 3 2" xfId="32916"/>
    <cellStyle name="Примечание 15 3 6 3 3 3" xfId="42786"/>
    <cellStyle name="Примечание 15 3 6 3 4" xfId="27645"/>
    <cellStyle name="Примечание 15 3 6 3 5" xfId="37520"/>
    <cellStyle name="Примечание 15 3 6 4" xfId="15321"/>
    <cellStyle name="Примечание 15 3 6 4 2" xfId="29141"/>
    <cellStyle name="Примечание 15 3 6 4 3" xfId="39016"/>
    <cellStyle name="Примечание 15 3 6 5" xfId="25049"/>
    <cellStyle name="Примечание 15 3 6 6" xfId="34924"/>
    <cellStyle name="Примечание 15 3 7" xfId="2743"/>
    <cellStyle name="Примечание 15 3 7 2" xfId="12719"/>
    <cellStyle name="Примечание 15 3 7 2 2" xfId="18051"/>
    <cellStyle name="Примечание 15 3 7 2 2 2" xfId="31861"/>
    <cellStyle name="Примечание 15 3 7 2 2 3" xfId="41734"/>
    <cellStyle name="Примечание 15 3 7 2 3" xfId="26593"/>
    <cellStyle name="Примечание 15 3 7 2 4" xfId="36468"/>
    <cellStyle name="Примечание 15 3 7 3" xfId="13942"/>
    <cellStyle name="Примечание 15 3 7 3 2" xfId="16585"/>
    <cellStyle name="Примечание 15 3 7 3 2 2" xfId="30400"/>
    <cellStyle name="Примечание 15 3 7 3 2 3" xfId="40275"/>
    <cellStyle name="Примечание 15 3 7 3 3" xfId="19225"/>
    <cellStyle name="Примечание 15 3 7 3 3 2" xfId="33035"/>
    <cellStyle name="Примечание 15 3 7 3 3 3" xfId="42904"/>
    <cellStyle name="Примечание 15 3 7 3 4" xfId="27763"/>
    <cellStyle name="Примечание 15 3 7 3 5" xfId="37638"/>
    <cellStyle name="Примечание 15 3 7 4" xfId="15440"/>
    <cellStyle name="Примечание 15 3 7 4 2" xfId="29259"/>
    <cellStyle name="Примечание 15 3 7 4 3" xfId="39134"/>
    <cellStyle name="Примечание 15 3 7 5" xfId="25167"/>
    <cellStyle name="Примечание 15 3 7 6" xfId="35042"/>
    <cellStyle name="Примечание 15 3 8" xfId="2665"/>
    <cellStyle name="Примечание 15 3 8 2" xfId="12651"/>
    <cellStyle name="Примечание 15 3 8 2 2" xfId="17983"/>
    <cellStyle name="Примечание 15 3 8 2 2 2" xfId="31793"/>
    <cellStyle name="Примечание 15 3 8 2 2 3" xfId="41666"/>
    <cellStyle name="Примечание 15 3 8 2 3" xfId="26525"/>
    <cellStyle name="Примечание 15 3 8 2 4" xfId="36400"/>
    <cellStyle name="Примечание 15 3 8 3" xfId="13873"/>
    <cellStyle name="Примечание 15 3 8 3 2" xfId="16516"/>
    <cellStyle name="Примечание 15 3 8 3 2 2" xfId="30332"/>
    <cellStyle name="Примечание 15 3 8 3 2 3" xfId="40207"/>
    <cellStyle name="Примечание 15 3 8 3 3" xfId="19156"/>
    <cellStyle name="Примечание 15 3 8 3 3 2" xfId="32966"/>
    <cellStyle name="Примечание 15 3 8 3 3 3" xfId="42836"/>
    <cellStyle name="Примечание 15 3 8 3 4" xfId="27695"/>
    <cellStyle name="Примечание 15 3 8 3 5" xfId="37570"/>
    <cellStyle name="Примечание 15 3 8 4" xfId="15371"/>
    <cellStyle name="Примечание 15 3 8 4 2" xfId="29191"/>
    <cellStyle name="Примечание 15 3 8 4 3" xfId="39066"/>
    <cellStyle name="Примечание 15 3 8 5" xfId="25099"/>
    <cellStyle name="Примечание 15 3 8 6" xfId="34974"/>
    <cellStyle name="Примечание 15 3 9" xfId="2793"/>
    <cellStyle name="Примечание 15 3 9 2" xfId="12768"/>
    <cellStyle name="Примечание 15 3 9 2 2" xfId="18100"/>
    <cellStyle name="Примечание 15 3 9 2 2 2" xfId="31910"/>
    <cellStyle name="Примечание 15 3 9 2 2 3" xfId="41783"/>
    <cellStyle name="Примечание 15 3 9 2 3" xfId="26642"/>
    <cellStyle name="Примечание 15 3 9 2 4" xfId="36517"/>
    <cellStyle name="Примечание 15 3 9 3" xfId="13991"/>
    <cellStyle name="Примечание 15 3 9 3 2" xfId="16634"/>
    <cellStyle name="Примечание 15 3 9 3 2 2" xfId="30449"/>
    <cellStyle name="Примечание 15 3 9 3 2 3" xfId="40324"/>
    <cellStyle name="Примечание 15 3 9 3 3" xfId="19274"/>
    <cellStyle name="Примечание 15 3 9 3 3 2" xfId="33084"/>
    <cellStyle name="Примечание 15 3 9 3 3 3" xfId="42953"/>
    <cellStyle name="Примечание 15 3 9 3 4" xfId="27812"/>
    <cellStyle name="Примечание 15 3 9 3 5" xfId="37687"/>
    <cellStyle name="Примечание 15 3 9 4" xfId="15489"/>
    <cellStyle name="Примечание 15 3 9 4 2" xfId="29308"/>
    <cellStyle name="Примечание 15 3 9 4 3" xfId="39183"/>
    <cellStyle name="Примечание 15 3 9 5" xfId="25216"/>
    <cellStyle name="Примечание 15 3 9 6" xfId="35091"/>
    <cellStyle name="Примечание 15 4" xfId="2578"/>
    <cellStyle name="Примечание 15 4 2" xfId="10792"/>
    <cellStyle name="Примечание 15 4 3" xfId="12564"/>
    <cellStyle name="Примечание 15 4 3 2" xfId="17896"/>
    <cellStyle name="Примечание 15 4 3 2 2" xfId="31706"/>
    <cellStyle name="Примечание 15 4 3 2 3" xfId="41579"/>
    <cellStyle name="Примечание 15 4 3 3" xfId="26438"/>
    <cellStyle name="Примечание 15 4 3 4" xfId="36313"/>
    <cellStyle name="Примечание 15 4 4" xfId="13786"/>
    <cellStyle name="Примечание 15 4 4 2" xfId="16429"/>
    <cellStyle name="Примечание 15 4 4 2 2" xfId="30245"/>
    <cellStyle name="Примечание 15 4 4 2 3" xfId="40120"/>
    <cellStyle name="Примечание 15 4 4 3" xfId="19069"/>
    <cellStyle name="Примечание 15 4 4 3 2" xfId="32879"/>
    <cellStyle name="Примечание 15 4 4 3 3" xfId="42749"/>
    <cellStyle name="Примечание 15 4 4 4" xfId="27608"/>
    <cellStyle name="Примечание 15 4 4 5" xfId="37483"/>
    <cellStyle name="Примечание 15 4 5" xfId="15284"/>
    <cellStyle name="Примечание 15 4 5 2" xfId="29104"/>
    <cellStyle name="Примечание 15 4 5 3" xfId="38979"/>
    <cellStyle name="Примечание 15 4 6" xfId="25012"/>
    <cellStyle name="Примечание 15 4 7" xfId="34887"/>
    <cellStyle name="Примечание 15 5" xfId="2462"/>
    <cellStyle name="Примечание 15 5 2" xfId="10800"/>
    <cellStyle name="Примечание 15 5 3" xfId="12467"/>
    <cellStyle name="Примечание 15 5 3 2" xfId="17799"/>
    <cellStyle name="Примечание 15 5 3 2 2" xfId="31609"/>
    <cellStyle name="Примечание 15 5 3 2 3" xfId="41482"/>
    <cellStyle name="Примечание 15 5 3 3" xfId="26341"/>
    <cellStyle name="Примечание 15 5 3 4" xfId="36216"/>
    <cellStyle name="Примечание 15 5 4" xfId="13689"/>
    <cellStyle name="Примечание 15 5 4 2" xfId="16332"/>
    <cellStyle name="Примечание 15 5 4 2 2" xfId="30148"/>
    <cellStyle name="Примечание 15 5 4 2 3" xfId="40023"/>
    <cellStyle name="Примечание 15 5 4 3" xfId="18972"/>
    <cellStyle name="Примечание 15 5 4 3 2" xfId="32782"/>
    <cellStyle name="Примечание 15 5 4 3 3" xfId="42652"/>
    <cellStyle name="Примечание 15 5 4 4" xfId="27511"/>
    <cellStyle name="Примечание 15 5 4 5" xfId="37386"/>
    <cellStyle name="Примечание 15 5 5" xfId="15187"/>
    <cellStyle name="Примечание 15 5 5 2" xfId="29007"/>
    <cellStyle name="Примечание 15 5 5 3" xfId="38882"/>
    <cellStyle name="Примечание 15 5 6" xfId="24915"/>
    <cellStyle name="Примечание 15 5 7" xfId="34790"/>
    <cellStyle name="Примечание 15 6" xfId="2513"/>
    <cellStyle name="Примечание 15 6 2" xfId="10801"/>
    <cellStyle name="Примечание 15 6 3" xfId="12499"/>
    <cellStyle name="Примечание 15 6 3 2" xfId="17831"/>
    <cellStyle name="Примечание 15 6 3 2 2" xfId="31641"/>
    <cellStyle name="Примечание 15 6 3 2 3" xfId="41514"/>
    <cellStyle name="Примечание 15 6 3 3" xfId="26373"/>
    <cellStyle name="Примечание 15 6 3 4" xfId="36248"/>
    <cellStyle name="Примечание 15 6 4" xfId="13721"/>
    <cellStyle name="Примечание 15 6 4 2" xfId="16364"/>
    <cellStyle name="Примечание 15 6 4 2 2" xfId="30180"/>
    <cellStyle name="Примечание 15 6 4 2 3" xfId="40055"/>
    <cellStyle name="Примечание 15 6 4 3" xfId="19004"/>
    <cellStyle name="Примечание 15 6 4 3 2" xfId="32814"/>
    <cellStyle name="Примечание 15 6 4 3 3" xfId="42684"/>
    <cellStyle name="Примечание 15 6 4 4" xfId="27543"/>
    <cellStyle name="Примечание 15 6 4 5" xfId="37418"/>
    <cellStyle name="Примечание 15 6 5" xfId="15219"/>
    <cellStyle name="Примечание 15 6 5 2" xfId="29039"/>
    <cellStyle name="Примечание 15 6 5 3" xfId="38914"/>
    <cellStyle name="Примечание 15 6 6" xfId="24947"/>
    <cellStyle name="Примечание 15 6 7" xfId="34822"/>
    <cellStyle name="Примечание 15 7" xfId="2413"/>
    <cellStyle name="Примечание 15 7 2" xfId="10802"/>
    <cellStyle name="Примечание 15 7 3" xfId="12418"/>
    <cellStyle name="Примечание 15 7 3 2" xfId="17750"/>
    <cellStyle name="Примечание 15 7 3 2 2" xfId="31560"/>
    <cellStyle name="Примечание 15 7 3 2 3" xfId="41433"/>
    <cellStyle name="Примечание 15 7 3 3" xfId="26292"/>
    <cellStyle name="Примечание 15 7 3 4" xfId="36167"/>
    <cellStyle name="Примечание 15 7 4" xfId="13640"/>
    <cellStyle name="Примечание 15 7 4 2" xfId="16283"/>
    <cellStyle name="Примечание 15 7 4 2 2" xfId="30099"/>
    <cellStyle name="Примечание 15 7 4 2 3" xfId="39974"/>
    <cellStyle name="Примечание 15 7 4 3" xfId="18923"/>
    <cellStyle name="Примечание 15 7 4 3 2" xfId="32733"/>
    <cellStyle name="Примечание 15 7 4 3 3" xfId="42603"/>
    <cellStyle name="Примечание 15 7 4 4" xfId="27462"/>
    <cellStyle name="Примечание 15 7 4 5" xfId="37337"/>
    <cellStyle name="Примечание 15 7 5" xfId="15138"/>
    <cellStyle name="Примечание 15 7 5 2" xfId="28958"/>
    <cellStyle name="Примечание 15 7 5 3" xfId="38833"/>
    <cellStyle name="Примечание 15 7 6" xfId="24866"/>
    <cellStyle name="Примечание 15 7 7" xfId="34741"/>
    <cellStyle name="Примечание 15 8" xfId="2613"/>
    <cellStyle name="Примечание 15 8 2" xfId="10803"/>
    <cellStyle name="Примечание 15 8 3" xfId="12599"/>
    <cellStyle name="Примечание 15 8 3 2" xfId="17931"/>
    <cellStyle name="Примечание 15 8 3 2 2" xfId="31741"/>
    <cellStyle name="Примечание 15 8 3 2 3" xfId="41614"/>
    <cellStyle name="Примечание 15 8 3 3" xfId="26473"/>
    <cellStyle name="Примечание 15 8 3 4" xfId="36348"/>
    <cellStyle name="Примечание 15 8 4" xfId="13821"/>
    <cellStyle name="Примечание 15 8 4 2" xfId="16464"/>
    <cellStyle name="Примечание 15 8 4 2 2" xfId="30280"/>
    <cellStyle name="Примечание 15 8 4 2 3" xfId="40155"/>
    <cellStyle name="Примечание 15 8 4 3" xfId="19104"/>
    <cellStyle name="Примечание 15 8 4 3 2" xfId="32914"/>
    <cellStyle name="Примечание 15 8 4 3 3" xfId="42784"/>
    <cellStyle name="Примечание 15 8 4 4" xfId="27643"/>
    <cellStyle name="Примечание 15 8 4 5" xfId="37518"/>
    <cellStyle name="Примечание 15 8 5" xfId="15319"/>
    <cellStyle name="Примечание 15 8 5 2" xfId="29139"/>
    <cellStyle name="Примечание 15 8 5 3" xfId="39014"/>
    <cellStyle name="Примечание 15 8 6" xfId="25047"/>
    <cellStyle name="Примечание 15 8 7" xfId="34922"/>
    <cellStyle name="Примечание 15 9" xfId="2741"/>
    <cellStyle name="Примечание 15 9 2" xfId="10804"/>
    <cellStyle name="Примечание 15 9 3" xfId="12717"/>
    <cellStyle name="Примечание 15 9 3 2" xfId="18049"/>
    <cellStyle name="Примечание 15 9 3 2 2" xfId="31859"/>
    <cellStyle name="Примечание 15 9 3 2 3" xfId="41732"/>
    <cellStyle name="Примечание 15 9 3 3" xfId="26591"/>
    <cellStyle name="Примечание 15 9 3 4" xfId="36466"/>
    <cellStyle name="Примечание 15 9 4" xfId="13940"/>
    <cellStyle name="Примечание 15 9 4 2" xfId="16583"/>
    <cellStyle name="Примечание 15 9 4 2 2" xfId="30398"/>
    <cellStyle name="Примечание 15 9 4 2 3" xfId="40273"/>
    <cellStyle name="Примечание 15 9 4 3" xfId="19223"/>
    <cellStyle name="Примечание 15 9 4 3 2" xfId="33033"/>
    <cellStyle name="Примечание 15 9 4 3 3" xfId="42902"/>
    <cellStyle name="Примечание 15 9 4 4" xfId="27761"/>
    <cellStyle name="Примечание 15 9 4 5" xfId="37636"/>
    <cellStyle name="Примечание 15 9 5" xfId="15438"/>
    <cellStyle name="Примечание 15 9 5 2" xfId="29257"/>
    <cellStyle name="Примечание 15 9 5 3" xfId="39132"/>
    <cellStyle name="Примечание 15 9 6" xfId="25165"/>
    <cellStyle name="Примечание 15 9 7" xfId="35040"/>
    <cellStyle name="Примечание 16" xfId="2206"/>
    <cellStyle name="Примечание 16 10" xfId="2666"/>
    <cellStyle name="Примечание 16 10 2" xfId="10806"/>
    <cellStyle name="Примечание 16 10 3" xfId="12652"/>
    <cellStyle name="Примечание 16 10 3 2" xfId="17984"/>
    <cellStyle name="Примечание 16 10 3 2 2" xfId="31794"/>
    <cellStyle name="Примечание 16 10 3 2 3" xfId="41667"/>
    <cellStyle name="Примечание 16 10 3 3" xfId="26526"/>
    <cellStyle name="Примечание 16 10 3 4" xfId="36401"/>
    <cellStyle name="Примечание 16 10 4" xfId="13874"/>
    <cellStyle name="Примечание 16 10 4 2" xfId="16517"/>
    <cellStyle name="Примечание 16 10 4 2 2" xfId="30333"/>
    <cellStyle name="Примечание 16 10 4 2 3" xfId="40208"/>
    <cellStyle name="Примечание 16 10 4 3" xfId="19157"/>
    <cellStyle name="Примечание 16 10 4 3 2" xfId="32967"/>
    <cellStyle name="Примечание 16 10 4 3 3" xfId="42837"/>
    <cellStyle name="Примечание 16 10 4 4" xfId="27696"/>
    <cellStyle name="Примечание 16 10 4 5" xfId="37571"/>
    <cellStyle name="Примечание 16 10 5" xfId="15372"/>
    <cellStyle name="Примечание 16 10 5 2" xfId="29192"/>
    <cellStyle name="Примечание 16 10 5 3" xfId="39067"/>
    <cellStyle name="Примечание 16 10 6" xfId="25100"/>
    <cellStyle name="Примечание 16 10 7" xfId="34975"/>
    <cellStyle name="Примечание 16 11" xfId="2794"/>
    <cellStyle name="Примечание 16 11 2" xfId="10807"/>
    <cellStyle name="Примечание 16 11 3" xfId="12769"/>
    <cellStyle name="Примечание 16 11 3 2" xfId="18101"/>
    <cellStyle name="Примечание 16 11 3 2 2" xfId="31911"/>
    <cellStyle name="Примечание 16 11 3 2 3" xfId="41784"/>
    <cellStyle name="Примечание 16 11 3 3" xfId="26643"/>
    <cellStyle name="Примечание 16 11 3 4" xfId="36518"/>
    <cellStyle name="Примечание 16 11 4" xfId="13992"/>
    <cellStyle name="Примечание 16 11 4 2" xfId="16635"/>
    <cellStyle name="Примечание 16 11 4 2 2" xfId="30450"/>
    <cellStyle name="Примечание 16 11 4 2 3" xfId="40325"/>
    <cellStyle name="Примечание 16 11 4 3" xfId="19275"/>
    <cellStyle name="Примечание 16 11 4 3 2" xfId="33085"/>
    <cellStyle name="Примечание 16 11 4 3 3" xfId="42954"/>
    <cellStyle name="Примечание 16 11 4 4" xfId="27813"/>
    <cellStyle name="Примечание 16 11 4 5" xfId="37688"/>
    <cellStyle name="Примечание 16 11 5" xfId="15490"/>
    <cellStyle name="Примечание 16 11 5 2" xfId="29309"/>
    <cellStyle name="Примечание 16 11 5 3" xfId="39184"/>
    <cellStyle name="Примечание 16 11 6" xfId="25217"/>
    <cellStyle name="Примечание 16 11 7" xfId="35092"/>
    <cellStyle name="Примечание 16 12" xfId="2850"/>
    <cellStyle name="Примечание 16 12 2" xfId="10808"/>
    <cellStyle name="Примечание 16 12 3" xfId="12822"/>
    <cellStyle name="Примечание 16 12 3 2" xfId="18154"/>
    <cellStyle name="Примечание 16 12 3 2 2" xfId="31964"/>
    <cellStyle name="Примечание 16 12 3 2 3" xfId="41837"/>
    <cellStyle name="Примечание 16 12 3 3" xfId="26696"/>
    <cellStyle name="Примечание 16 12 3 4" xfId="36571"/>
    <cellStyle name="Примечание 16 12 4" xfId="14045"/>
    <cellStyle name="Примечание 16 12 4 2" xfId="16688"/>
    <cellStyle name="Примечание 16 12 4 2 2" xfId="30503"/>
    <cellStyle name="Примечание 16 12 4 2 3" xfId="40378"/>
    <cellStyle name="Примечание 16 12 4 3" xfId="19328"/>
    <cellStyle name="Примечание 16 12 4 3 2" xfId="33138"/>
    <cellStyle name="Примечание 16 12 4 3 3" xfId="43007"/>
    <cellStyle name="Примечание 16 12 4 4" xfId="27866"/>
    <cellStyle name="Примечание 16 12 4 5" xfId="37741"/>
    <cellStyle name="Примечание 16 12 5" xfId="15543"/>
    <cellStyle name="Примечание 16 12 5 2" xfId="29362"/>
    <cellStyle name="Примечание 16 12 5 3" xfId="39237"/>
    <cellStyle name="Примечание 16 12 6" xfId="25270"/>
    <cellStyle name="Примечание 16 12 7" xfId="35145"/>
    <cellStyle name="Примечание 16 13" xfId="2898"/>
    <cellStyle name="Примечание 16 13 2" xfId="10809"/>
    <cellStyle name="Примечание 16 13 3" xfId="12868"/>
    <cellStyle name="Примечание 16 13 3 2" xfId="18200"/>
    <cellStyle name="Примечание 16 13 3 2 2" xfId="32010"/>
    <cellStyle name="Примечание 16 13 3 2 3" xfId="41883"/>
    <cellStyle name="Примечание 16 13 3 3" xfId="26742"/>
    <cellStyle name="Примечание 16 13 3 4" xfId="36617"/>
    <cellStyle name="Примечание 16 13 4" xfId="14091"/>
    <cellStyle name="Примечание 16 13 4 2" xfId="16734"/>
    <cellStyle name="Примечание 16 13 4 2 2" xfId="30549"/>
    <cellStyle name="Примечание 16 13 4 2 3" xfId="40424"/>
    <cellStyle name="Примечание 16 13 4 3" xfId="19374"/>
    <cellStyle name="Примечание 16 13 4 3 2" xfId="33184"/>
    <cellStyle name="Примечание 16 13 4 3 3" xfId="43053"/>
    <cellStyle name="Примечание 16 13 4 4" xfId="27912"/>
    <cellStyle name="Примечание 16 13 4 5" xfId="37787"/>
    <cellStyle name="Примечание 16 13 5" xfId="15589"/>
    <cellStyle name="Примечание 16 13 5 2" xfId="29408"/>
    <cellStyle name="Примечание 16 13 5 3" xfId="39283"/>
    <cellStyle name="Примечание 16 13 6" xfId="25316"/>
    <cellStyle name="Примечание 16 13 7" xfId="35191"/>
    <cellStyle name="Примечание 16 14" xfId="2952"/>
    <cellStyle name="Примечание 16 14 2" xfId="10810"/>
    <cellStyle name="Примечание 16 14 3" xfId="12921"/>
    <cellStyle name="Примечание 16 14 3 2" xfId="18253"/>
    <cellStyle name="Примечание 16 14 3 2 2" xfId="32063"/>
    <cellStyle name="Примечание 16 14 3 2 3" xfId="41936"/>
    <cellStyle name="Примечание 16 14 3 3" xfId="26795"/>
    <cellStyle name="Примечание 16 14 3 4" xfId="36670"/>
    <cellStyle name="Примечание 16 14 4" xfId="14144"/>
    <cellStyle name="Примечание 16 14 4 2" xfId="16787"/>
    <cellStyle name="Примечание 16 14 4 2 2" xfId="30602"/>
    <cellStyle name="Примечание 16 14 4 2 3" xfId="40477"/>
    <cellStyle name="Примечание 16 14 4 3" xfId="19427"/>
    <cellStyle name="Примечание 16 14 4 3 2" xfId="33237"/>
    <cellStyle name="Примечание 16 14 4 3 3" xfId="43106"/>
    <cellStyle name="Примечание 16 14 4 4" xfId="27965"/>
    <cellStyle name="Примечание 16 14 4 5" xfId="37840"/>
    <cellStyle name="Примечание 16 14 5" xfId="15642"/>
    <cellStyle name="Примечание 16 14 5 2" xfId="29461"/>
    <cellStyle name="Примечание 16 14 5 3" xfId="39336"/>
    <cellStyle name="Примечание 16 14 6" xfId="25369"/>
    <cellStyle name="Примечание 16 14 7" xfId="35244"/>
    <cellStyle name="Примечание 16 15" xfId="3001"/>
    <cellStyle name="Примечание 16 15 2" xfId="12056"/>
    <cellStyle name="Примечание 16 15 2 2" xfId="14954"/>
    <cellStyle name="Примечание 16 15 2 2 2" xfId="20237"/>
    <cellStyle name="Примечание 16 15 2 2 2 2" xfId="23220"/>
    <cellStyle name="Примечание 16 15 2 2 2 3" xfId="34047"/>
    <cellStyle name="Примечание 16 15 2 2 2 4" xfId="43915"/>
    <cellStyle name="Примечание 16 15 2 2 3" xfId="23508"/>
    <cellStyle name="Примечание 16 15 2 2 4" xfId="28774"/>
    <cellStyle name="Примечание 16 15 2 2 5" xfId="38649"/>
    <cellStyle name="Примечание 16 15 2 3" xfId="14398"/>
    <cellStyle name="Примечание 16 15 2 3 2" xfId="16911"/>
    <cellStyle name="Примечание 16 15 2 3 2 2" xfId="30726"/>
    <cellStyle name="Примечание 16 15 2 3 2 3" xfId="40601"/>
    <cellStyle name="Примечание 16 15 2 3 3" xfId="19681"/>
    <cellStyle name="Примечание 16 15 2 3 3 2" xfId="33491"/>
    <cellStyle name="Примечание 16 15 2 3 3 3" xfId="43360"/>
    <cellStyle name="Примечание 16 15 2 3 4" xfId="28219"/>
    <cellStyle name="Примечание 16 15 2 3 5" xfId="38094"/>
    <cellStyle name="Примечание 16 15 2 4" xfId="15979"/>
    <cellStyle name="Примечание 16 15 2 4 2" xfId="21835"/>
    <cellStyle name="Примечание 16 15 2 4 3" xfId="29798"/>
    <cellStyle name="Примечание 16 15 2 4 4" xfId="39673"/>
    <cellStyle name="Примечание 16 15 2 5" xfId="24132"/>
    <cellStyle name="Примечание 16 15 2 6" xfId="25930"/>
    <cellStyle name="Примечание 16 15 2 7" xfId="35805"/>
    <cellStyle name="Примечание 16 15 3" xfId="12968"/>
    <cellStyle name="Примечание 16 15 3 2" xfId="18300"/>
    <cellStyle name="Примечание 16 15 3 2 2" xfId="32110"/>
    <cellStyle name="Примечание 16 15 3 2 3" xfId="41983"/>
    <cellStyle name="Примечание 16 15 3 3" xfId="23492"/>
    <cellStyle name="Примечание 16 15 3 4" xfId="26842"/>
    <cellStyle name="Примечание 16 15 3 5" xfId="36717"/>
    <cellStyle name="Примечание 16 15 4" xfId="14191"/>
    <cellStyle name="Примечание 16 15 4 2" xfId="16834"/>
    <cellStyle name="Примечание 16 15 4 2 2" xfId="30649"/>
    <cellStyle name="Примечание 16 15 4 2 3" xfId="40524"/>
    <cellStyle name="Примечание 16 15 4 3" xfId="19474"/>
    <cellStyle name="Примечание 16 15 4 3 2" xfId="33284"/>
    <cellStyle name="Примечание 16 15 4 3 3" xfId="43153"/>
    <cellStyle name="Примечание 16 15 4 4" xfId="28012"/>
    <cellStyle name="Примечание 16 15 4 5" xfId="37887"/>
    <cellStyle name="Примечание 16 15 5" xfId="21747"/>
    <cellStyle name="Примечание 16 15 6" xfId="22484"/>
    <cellStyle name="Примечание 16 15 7" xfId="23972"/>
    <cellStyle name="Примечание 16 15 8" xfId="25416"/>
    <cellStyle name="Примечание 16 15 9" xfId="35291"/>
    <cellStyle name="Примечание 16 16" xfId="12136"/>
    <cellStyle name="Примечание 16 16 2" xfId="15034"/>
    <cellStyle name="Примечание 16 16 2 2" xfId="20317"/>
    <cellStyle name="Примечание 16 16 2 2 2" xfId="23236"/>
    <cellStyle name="Примечание 16 16 2 2 3" xfId="34127"/>
    <cellStyle name="Примечание 16 16 2 2 4" xfId="43995"/>
    <cellStyle name="Примечание 16 16 2 3" xfId="23588"/>
    <cellStyle name="Примечание 16 16 2 4" xfId="28854"/>
    <cellStyle name="Примечание 16 16 2 5" xfId="38729"/>
    <cellStyle name="Примечание 16 16 3" xfId="14406"/>
    <cellStyle name="Примечание 16 16 3 2" xfId="16919"/>
    <cellStyle name="Примечание 16 16 3 2 2" xfId="30734"/>
    <cellStyle name="Примечание 16 16 3 2 3" xfId="40609"/>
    <cellStyle name="Примечание 16 16 3 3" xfId="19689"/>
    <cellStyle name="Примечание 16 16 3 3 2" xfId="33499"/>
    <cellStyle name="Примечание 16 16 3 3 3" xfId="43368"/>
    <cellStyle name="Примечание 16 16 3 4" xfId="28227"/>
    <cellStyle name="Примечание 16 16 3 5" xfId="38102"/>
    <cellStyle name="Примечание 16 16 4" xfId="21515"/>
    <cellStyle name="Примечание 16 16 5" xfId="21883"/>
    <cellStyle name="Примечание 16 16 6" xfId="22708"/>
    <cellStyle name="Примечание 16 16 7" xfId="24212"/>
    <cellStyle name="Примечание 16 16 8" xfId="26010"/>
    <cellStyle name="Примечание 16 16 9" xfId="35885"/>
    <cellStyle name="Примечание 16 17" xfId="12216"/>
    <cellStyle name="Примечание 16 17 2" xfId="15114"/>
    <cellStyle name="Примечание 16 17 2 2" xfId="20397"/>
    <cellStyle name="Примечание 16 17 2 2 2" xfId="23252"/>
    <cellStyle name="Примечание 16 17 2 2 3" xfId="34207"/>
    <cellStyle name="Примечание 16 17 2 2 4" xfId="44075"/>
    <cellStyle name="Примечание 16 17 2 3" xfId="23668"/>
    <cellStyle name="Примечание 16 17 2 4" xfId="28934"/>
    <cellStyle name="Примечание 16 17 2 5" xfId="38809"/>
    <cellStyle name="Примечание 16 17 3" xfId="14477"/>
    <cellStyle name="Примечание 16 17 3 2" xfId="16951"/>
    <cellStyle name="Примечание 16 17 3 2 2" xfId="30765"/>
    <cellStyle name="Примечание 16 17 3 2 3" xfId="40640"/>
    <cellStyle name="Примечание 16 17 3 3" xfId="19760"/>
    <cellStyle name="Примечание 16 17 3 3 2" xfId="33570"/>
    <cellStyle name="Примечание 16 17 3 3 3" xfId="43438"/>
    <cellStyle name="Примечание 16 17 3 4" xfId="28297"/>
    <cellStyle name="Примечание 16 17 3 5" xfId="38172"/>
    <cellStyle name="Примечание 16 17 4" xfId="21595"/>
    <cellStyle name="Примечание 16 17 5" xfId="21931"/>
    <cellStyle name="Примечание 16 17 6" xfId="22788"/>
    <cellStyle name="Примечание 16 17 7" xfId="24292"/>
    <cellStyle name="Примечание 16 17 8" xfId="26090"/>
    <cellStyle name="Примечание 16 17 9" xfId="35965"/>
    <cellStyle name="Примечание 16 18" xfId="11808"/>
    <cellStyle name="Примечание 16 18 2" xfId="14706"/>
    <cellStyle name="Примечание 16 18 2 2" xfId="19989"/>
    <cellStyle name="Примечание 16 18 2 2 2" xfId="33799"/>
    <cellStyle name="Примечание 16 18 2 2 3" xfId="43667"/>
    <cellStyle name="Примечание 16 18 2 3" xfId="28526"/>
    <cellStyle name="Примечание 16 18 2 4" xfId="38401"/>
    <cellStyle name="Примечание 16 18 3" xfId="14242"/>
    <cellStyle name="Примечание 16 18 3 2" xfId="16885"/>
    <cellStyle name="Примечание 16 18 3 2 2" xfId="30700"/>
    <cellStyle name="Примечание 16 18 3 2 3" xfId="40575"/>
    <cellStyle name="Примечание 16 18 3 3" xfId="19525"/>
    <cellStyle name="Примечание 16 18 3 3 2" xfId="33335"/>
    <cellStyle name="Примечание 16 18 3 3 3" xfId="43204"/>
    <cellStyle name="Примечание 16 18 3 4" xfId="28063"/>
    <cellStyle name="Примечание 16 18 3 5" xfId="37938"/>
    <cellStyle name="Примечание 16 18 4" xfId="15939"/>
    <cellStyle name="Примечание 16 18 4 2" xfId="23271"/>
    <cellStyle name="Примечание 16 18 4 3" xfId="29758"/>
    <cellStyle name="Примечание 16 18 4 4" xfId="39633"/>
    <cellStyle name="Примечание 16 18 5" xfId="25682"/>
    <cellStyle name="Примечание 16 18 6" xfId="35557"/>
    <cellStyle name="Примечание 16 19" xfId="13535"/>
    <cellStyle name="Примечание 16 19 2" xfId="16233"/>
    <cellStyle name="Примечание 16 19 2 2" xfId="30050"/>
    <cellStyle name="Примечание 16 19 2 3" xfId="39925"/>
    <cellStyle name="Примечание 16 19 3" xfId="18864"/>
    <cellStyle name="Примечание 16 19 3 2" xfId="32674"/>
    <cellStyle name="Примечание 16 19 3 3" xfId="42545"/>
    <cellStyle name="Примечание 16 19 4" xfId="27404"/>
    <cellStyle name="Примечание 16 19 5" xfId="37279"/>
    <cellStyle name="Примечание 16 2" xfId="2207"/>
    <cellStyle name="Примечание 16 2 10" xfId="2851"/>
    <cellStyle name="Примечание 16 2 10 2" xfId="12823"/>
    <cellStyle name="Примечание 16 2 10 2 2" xfId="18155"/>
    <cellStyle name="Примечание 16 2 10 2 2 2" xfId="31965"/>
    <cellStyle name="Примечание 16 2 10 2 2 3" xfId="41838"/>
    <cellStyle name="Примечание 16 2 10 2 3" xfId="26697"/>
    <cellStyle name="Примечание 16 2 10 2 4" xfId="36572"/>
    <cellStyle name="Примечание 16 2 10 3" xfId="14046"/>
    <cellStyle name="Примечание 16 2 10 3 2" xfId="16689"/>
    <cellStyle name="Примечание 16 2 10 3 2 2" xfId="30504"/>
    <cellStyle name="Примечание 16 2 10 3 2 3" xfId="40379"/>
    <cellStyle name="Примечание 16 2 10 3 3" xfId="19329"/>
    <cellStyle name="Примечание 16 2 10 3 3 2" xfId="33139"/>
    <cellStyle name="Примечание 16 2 10 3 3 3" xfId="43008"/>
    <cellStyle name="Примечание 16 2 10 3 4" xfId="27867"/>
    <cellStyle name="Примечание 16 2 10 3 5" xfId="37742"/>
    <cellStyle name="Примечание 16 2 10 4" xfId="15544"/>
    <cellStyle name="Примечание 16 2 10 4 2" xfId="29363"/>
    <cellStyle name="Примечание 16 2 10 4 3" xfId="39238"/>
    <cellStyle name="Примечание 16 2 10 5" xfId="25271"/>
    <cellStyle name="Примечание 16 2 10 6" xfId="35146"/>
    <cellStyle name="Примечание 16 2 11" xfId="2899"/>
    <cellStyle name="Примечание 16 2 11 2" xfId="12869"/>
    <cellStyle name="Примечание 16 2 11 2 2" xfId="18201"/>
    <cellStyle name="Примечание 16 2 11 2 2 2" xfId="32011"/>
    <cellStyle name="Примечание 16 2 11 2 2 3" xfId="41884"/>
    <cellStyle name="Примечание 16 2 11 2 3" xfId="26743"/>
    <cellStyle name="Примечание 16 2 11 2 4" xfId="36618"/>
    <cellStyle name="Примечание 16 2 11 3" xfId="14092"/>
    <cellStyle name="Примечание 16 2 11 3 2" xfId="16735"/>
    <cellStyle name="Примечание 16 2 11 3 2 2" xfId="30550"/>
    <cellStyle name="Примечание 16 2 11 3 2 3" xfId="40425"/>
    <cellStyle name="Примечание 16 2 11 3 3" xfId="19375"/>
    <cellStyle name="Примечание 16 2 11 3 3 2" xfId="33185"/>
    <cellStyle name="Примечание 16 2 11 3 3 3" xfId="43054"/>
    <cellStyle name="Примечание 16 2 11 3 4" xfId="27913"/>
    <cellStyle name="Примечание 16 2 11 3 5" xfId="37788"/>
    <cellStyle name="Примечание 16 2 11 4" xfId="15590"/>
    <cellStyle name="Примечание 16 2 11 4 2" xfId="29409"/>
    <cellStyle name="Примечание 16 2 11 4 3" xfId="39284"/>
    <cellStyle name="Примечание 16 2 11 5" xfId="25317"/>
    <cellStyle name="Примечание 16 2 11 6" xfId="35192"/>
    <cellStyle name="Примечание 16 2 12" xfId="2953"/>
    <cellStyle name="Примечание 16 2 12 2" xfId="12922"/>
    <cellStyle name="Примечание 16 2 12 2 2" xfId="18254"/>
    <cellStyle name="Примечание 16 2 12 2 2 2" xfId="32064"/>
    <cellStyle name="Примечание 16 2 12 2 2 3" xfId="41937"/>
    <cellStyle name="Примечание 16 2 12 2 3" xfId="26796"/>
    <cellStyle name="Примечание 16 2 12 2 4" xfId="36671"/>
    <cellStyle name="Примечание 16 2 12 3" xfId="14145"/>
    <cellStyle name="Примечание 16 2 12 3 2" xfId="16788"/>
    <cellStyle name="Примечание 16 2 12 3 2 2" xfId="30603"/>
    <cellStyle name="Примечание 16 2 12 3 2 3" xfId="40478"/>
    <cellStyle name="Примечание 16 2 12 3 3" xfId="19428"/>
    <cellStyle name="Примечание 16 2 12 3 3 2" xfId="33238"/>
    <cellStyle name="Примечание 16 2 12 3 3 3" xfId="43107"/>
    <cellStyle name="Примечание 16 2 12 3 4" xfId="27966"/>
    <cellStyle name="Примечание 16 2 12 3 5" xfId="37841"/>
    <cellStyle name="Примечание 16 2 12 4" xfId="15643"/>
    <cellStyle name="Примечание 16 2 12 4 2" xfId="29462"/>
    <cellStyle name="Примечание 16 2 12 4 3" xfId="39337"/>
    <cellStyle name="Примечание 16 2 12 5" xfId="25370"/>
    <cellStyle name="Примечание 16 2 12 6" xfId="35245"/>
    <cellStyle name="Примечание 16 2 13" xfId="3002"/>
    <cellStyle name="Примечание 16 2 13 2" xfId="12969"/>
    <cellStyle name="Примечание 16 2 13 2 2" xfId="18301"/>
    <cellStyle name="Примечание 16 2 13 2 2 2" xfId="32111"/>
    <cellStyle name="Примечание 16 2 13 2 2 3" xfId="41984"/>
    <cellStyle name="Примечание 16 2 13 2 3" xfId="26843"/>
    <cellStyle name="Примечание 16 2 13 2 4" xfId="36718"/>
    <cellStyle name="Примечание 16 2 13 3" xfId="14192"/>
    <cellStyle name="Примечание 16 2 13 3 2" xfId="16835"/>
    <cellStyle name="Примечание 16 2 13 3 2 2" xfId="30650"/>
    <cellStyle name="Примечание 16 2 13 3 2 3" xfId="40525"/>
    <cellStyle name="Примечание 16 2 13 3 3" xfId="19475"/>
    <cellStyle name="Примечание 16 2 13 3 3 2" xfId="33285"/>
    <cellStyle name="Примечание 16 2 13 3 3 3" xfId="43154"/>
    <cellStyle name="Примечание 16 2 13 3 4" xfId="28013"/>
    <cellStyle name="Примечание 16 2 13 3 5" xfId="37888"/>
    <cellStyle name="Примечание 16 2 13 4" xfId="15683"/>
    <cellStyle name="Примечание 16 2 13 4 2" xfId="29502"/>
    <cellStyle name="Примечание 16 2 13 4 3" xfId="39377"/>
    <cellStyle name="Примечание 16 2 13 5" xfId="25417"/>
    <cellStyle name="Примечание 16 2 13 6" xfId="35292"/>
    <cellStyle name="Примечание 16 2 14" xfId="11809"/>
    <cellStyle name="Примечание 16 2 14 2" xfId="14707"/>
    <cellStyle name="Примечание 16 2 14 2 2" xfId="19990"/>
    <cellStyle name="Примечание 16 2 14 2 2 2" xfId="33800"/>
    <cellStyle name="Примечание 16 2 14 2 2 3" xfId="43668"/>
    <cellStyle name="Примечание 16 2 14 2 3" xfId="28527"/>
    <cellStyle name="Примечание 16 2 14 2 4" xfId="38402"/>
    <cellStyle name="Примечание 16 2 14 3" xfId="14427"/>
    <cellStyle name="Примечание 16 2 14 3 2" xfId="16940"/>
    <cellStyle name="Примечание 16 2 14 3 2 2" xfId="30754"/>
    <cellStyle name="Примечание 16 2 14 3 2 3" xfId="40629"/>
    <cellStyle name="Примечание 16 2 14 3 3" xfId="19710"/>
    <cellStyle name="Примечание 16 2 14 3 3 2" xfId="33520"/>
    <cellStyle name="Примечание 16 2 14 3 3 3" xfId="43388"/>
    <cellStyle name="Примечание 16 2 14 3 4" xfId="28247"/>
    <cellStyle name="Примечание 16 2 14 3 5" xfId="38122"/>
    <cellStyle name="Примечание 16 2 14 4" xfId="15940"/>
    <cellStyle name="Примечание 16 2 14 4 2" xfId="24565"/>
    <cellStyle name="Примечание 16 2 14 4 3" xfId="29759"/>
    <cellStyle name="Примечание 16 2 14 4 4" xfId="39634"/>
    <cellStyle name="Примечание 16 2 14 5" xfId="25683"/>
    <cellStyle name="Примечание 16 2 14 6" xfId="35558"/>
    <cellStyle name="Примечание 16 2 15" xfId="12382"/>
    <cellStyle name="Примечание 16 2 15 2" xfId="17714"/>
    <cellStyle name="Примечание 16 2 15 2 2" xfId="31524"/>
    <cellStyle name="Примечание 16 2 15 2 3" xfId="41397"/>
    <cellStyle name="Примечание 16 2 15 3" xfId="26256"/>
    <cellStyle name="Примечание 16 2 15 4" xfId="36131"/>
    <cellStyle name="Примечание 16 2 16" xfId="13536"/>
    <cellStyle name="Примечание 16 2 16 2" xfId="16234"/>
    <cellStyle name="Примечание 16 2 16 2 2" xfId="30051"/>
    <cellStyle name="Примечание 16 2 16 2 3" xfId="39926"/>
    <cellStyle name="Примечание 16 2 16 3" xfId="18865"/>
    <cellStyle name="Примечание 16 2 16 3 2" xfId="32675"/>
    <cellStyle name="Примечание 16 2 16 3 3" xfId="42546"/>
    <cellStyle name="Примечание 16 2 16 4" xfId="27405"/>
    <cellStyle name="Примечание 16 2 16 5" xfId="37280"/>
    <cellStyle name="Примечание 16 2 17" xfId="13486"/>
    <cellStyle name="Примечание 16 2 17 2" xfId="18815"/>
    <cellStyle name="Примечание 16 2 17 2 2" xfId="32625"/>
    <cellStyle name="Примечание 16 2 17 2 3" xfId="42496"/>
    <cellStyle name="Примечание 16 2 17 3" xfId="27355"/>
    <cellStyle name="Примечание 16 2 17 4" xfId="37230"/>
    <cellStyle name="Примечание 16 2 18" xfId="17387"/>
    <cellStyle name="Примечание 16 2 18 2" xfId="31198"/>
    <cellStyle name="Примечание 16 2 18 3" xfId="41072"/>
    <cellStyle name="Примечание 16 2 19" xfId="24821"/>
    <cellStyle name="Примечание 16 2 2" xfId="2582"/>
    <cellStyle name="Примечание 16 2 2 2" xfId="10811"/>
    <cellStyle name="Примечание 16 2 2 3" xfId="12568"/>
    <cellStyle name="Примечание 16 2 2 3 2" xfId="17900"/>
    <cellStyle name="Примечание 16 2 2 3 2 2" xfId="31710"/>
    <cellStyle name="Примечание 16 2 2 3 2 3" xfId="41583"/>
    <cellStyle name="Примечание 16 2 2 3 3" xfId="26442"/>
    <cellStyle name="Примечание 16 2 2 3 4" xfId="36317"/>
    <cellStyle name="Примечание 16 2 2 4" xfId="13790"/>
    <cellStyle name="Примечание 16 2 2 4 2" xfId="16433"/>
    <cellStyle name="Примечание 16 2 2 4 2 2" xfId="30249"/>
    <cellStyle name="Примечание 16 2 2 4 2 3" xfId="40124"/>
    <cellStyle name="Примечание 16 2 2 4 3" xfId="19073"/>
    <cellStyle name="Примечание 16 2 2 4 3 2" xfId="32883"/>
    <cellStyle name="Примечание 16 2 2 4 3 3" xfId="42753"/>
    <cellStyle name="Примечание 16 2 2 4 4" xfId="27612"/>
    <cellStyle name="Примечание 16 2 2 4 5" xfId="37487"/>
    <cellStyle name="Примечание 16 2 2 5" xfId="15288"/>
    <cellStyle name="Примечание 16 2 2 5 2" xfId="29108"/>
    <cellStyle name="Примечание 16 2 2 5 3" xfId="38983"/>
    <cellStyle name="Примечание 16 2 2 6" xfId="25016"/>
    <cellStyle name="Примечание 16 2 2 7" xfId="34891"/>
    <cellStyle name="Примечание 16 2 20" xfId="34438"/>
    <cellStyle name="Примечание 16 2 21" xfId="34688"/>
    <cellStyle name="Примечание 16 2 3" xfId="2458"/>
    <cellStyle name="Примечание 16 2 3 2" xfId="12463"/>
    <cellStyle name="Примечание 16 2 3 2 2" xfId="17795"/>
    <cellStyle name="Примечание 16 2 3 2 2 2" xfId="31605"/>
    <cellStyle name="Примечание 16 2 3 2 2 3" xfId="41478"/>
    <cellStyle name="Примечание 16 2 3 2 3" xfId="26337"/>
    <cellStyle name="Примечание 16 2 3 2 4" xfId="36212"/>
    <cellStyle name="Примечание 16 2 3 3" xfId="13685"/>
    <cellStyle name="Примечание 16 2 3 3 2" xfId="16328"/>
    <cellStyle name="Примечание 16 2 3 3 2 2" xfId="30144"/>
    <cellStyle name="Примечание 16 2 3 3 2 3" xfId="40019"/>
    <cellStyle name="Примечание 16 2 3 3 3" xfId="18968"/>
    <cellStyle name="Примечание 16 2 3 3 3 2" xfId="32778"/>
    <cellStyle name="Примечание 16 2 3 3 3 3" xfId="42648"/>
    <cellStyle name="Примечание 16 2 3 3 4" xfId="27507"/>
    <cellStyle name="Примечание 16 2 3 3 5" xfId="37382"/>
    <cellStyle name="Примечание 16 2 3 4" xfId="15183"/>
    <cellStyle name="Примечание 16 2 3 4 2" xfId="29003"/>
    <cellStyle name="Примечание 16 2 3 4 3" xfId="38878"/>
    <cellStyle name="Примечание 16 2 3 5" xfId="24911"/>
    <cellStyle name="Примечание 16 2 3 6" xfId="34786"/>
    <cellStyle name="Примечание 16 2 4" xfId="2517"/>
    <cellStyle name="Примечание 16 2 4 2" xfId="12503"/>
    <cellStyle name="Примечание 16 2 4 2 2" xfId="17835"/>
    <cellStyle name="Примечание 16 2 4 2 2 2" xfId="31645"/>
    <cellStyle name="Примечание 16 2 4 2 2 3" xfId="41518"/>
    <cellStyle name="Примечание 16 2 4 2 3" xfId="26377"/>
    <cellStyle name="Примечание 16 2 4 2 4" xfId="36252"/>
    <cellStyle name="Примечание 16 2 4 3" xfId="13725"/>
    <cellStyle name="Примечание 16 2 4 3 2" xfId="16368"/>
    <cellStyle name="Примечание 16 2 4 3 2 2" xfId="30184"/>
    <cellStyle name="Примечание 16 2 4 3 2 3" xfId="40059"/>
    <cellStyle name="Примечание 16 2 4 3 3" xfId="19008"/>
    <cellStyle name="Примечание 16 2 4 3 3 2" xfId="32818"/>
    <cellStyle name="Примечание 16 2 4 3 3 3" xfId="42688"/>
    <cellStyle name="Примечание 16 2 4 3 4" xfId="27547"/>
    <cellStyle name="Примечание 16 2 4 3 5" xfId="37422"/>
    <cellStyle name="Примечание 16 2 4 4" xfId="15223"/>
    <cellStyle name="Примечание 16 2 4 4 2" xfId="29043"/>
    <cellStyle name="Примечание 16 2 4 4 3" xfId="38918"/>
    <cellStyle name="Примечание 16 2 4 5" xfId="24951"/>
    <cellStyle name="Примечание 16 2 4 6" xfId="34826"/>
    <cellStyle name="Примечание 16 2 5" xfId="2409"/>
    <cellStyle name="Примечание 16 2 5 2" xfId="12414"/>
    <cellStyle name="Примечание 16 2 5 2 2" xfId="17746"/>
    <cellStyle name="Примечание 16 2 5 2 2 2" xfId="31556"/>
    <cellStyle name="Примечание 16 2 5 2 2 3" xfId="41429"/>
    <cellStyle name="Примечание 16 2 5 2 3" xfId="26288"/>
    <cellStyle name="Примечание 16 2 5 2 4" xfId="36163"/>
    <cellStyle name="Примечание 16 2 5 3" xfId="13636"/>
    <cellStyle name="Примечание 16 2 5 3 2" xfId="16279"/>
    <cellStyle name="Примечание 16 2 5 3 2 2" xfId="30095"/>
    <cellStyle name="Примечание 16 2 5 3 2 3" xfId="39970"/>
    <cellStyle name="Примечание 16 2 5 3 3" xfId="18919"/>
    <cellStyle name="Примечание 16 2 5 3 3 2" xfId="32729"/>
    <cellStyle name="Примечание 16 2 5 3 3 3" xfId="42599"/>
    <cellStyle name="Примечание 16 2 5 3 4" xfId="27458"/>
    <cellStyle name="Примечание 16 2 5 3 5" xfId="37333"/>
    <cellStyle name="Примечание 16 2 5 4" xfId="15134"/>
    <cellStyle name="Примечание 16 2 5 4 2" xfId="28954"/>
    <cellStyle name="Примечание 16 2 5 4 3" xfId="38829"/>
    <cellStyle name="Примечание 16 2 5 5" xfId="24862"/>
    <cellStyle name="Примечание 16 2 5 6" xfId="34737"/>
    <cellStyle name="Примечание 16 2 6" xfId="2617"/>
    <cellStyle name="Примечание 16 2 6 2" xfId="12603"/>
    <cellStyle name="Примечание 16 2 6 2 2" xfId="17935"/>
    <cellStyle name="Примечание 16 2 6 2 2 2" xfId="31745"/>
    <cellStyle name="Примечание 16 2 6 2 2 3" xfId="41618"/>
    <cellStyle name="Примечание 16 2 6 2 3" xfId="26477"/>
    <cellStyle name="Примечание 16 2 6 2 4" xfId="36352"/>
    <cellStyle name="Примечание 16 2 6 3" xfId="13825"/>
    <cellStyle name="Примечание 16 2 6 3 2" xfId="16468"/>
    <cellStyle name="Примечание 16 2 6 3 2 2" xfId="30284"/>
    <cellStyle name="Примечание 16 2 6 3 2 3" xfId="40159"/>
    <cellStyle name="Примечание 16 2 6 3 3" xfId="19108"/>
    <cellStyle name="Примечание 16 2 6 3 3 2" xfId="32918"/>
    <cellStyle name="Примечание 16 2 6 3 3 3" xfId="42788"/>
    <cellStyle name="Примечание 16 2 6 3 4" xfId="27647"/>
    <cellStyle name="Примечание 16 2 6 3 5" xfId="37522"/>
    <cellStyle name="Примечание 16 2 6 4" xfId="15323"/>
    <cellStyle name="Примечание 16 2 6 4 2" xfId="29143"/>
    <cellStyle name="Примечание 16 2 6 4 3" xfId="39018"/>
    <cellStyle name="Примечание 16 2 6 5" xfId="25051"/>
    <cellStyle name="Примечание 16 2 6 6" xfId="34926"/>
    <cellStyle name="Примечание 16 2 7" xfId="2745"/>
    <cellStyle name="Примечание 16 2 7 2" xfId="12721"/>
    <cellStyle name="Примечание 16 2 7 2 2" xfId="18053"/>
    <cellStyle name="Примечание 16 2 7 2 2 2" xfId="31863"/>
    <cellStyle name="Примечание 16 2 7 2 2 3" xfId="41736"/>
    <cellStyle name="Примечание 16 2 7 2 3" xfId="26595"/>
    <cellStyle name="Примечание 16 2 7 2 4" xfId="36470"/>
    <cellStyle name="Примечание 16 2 7 3" xfId="13944"/>
    <cellStyle name="Примечание 16 2 7 3 2" xfId="16587"/>
    <cellStyle name="Примечание 16 2 7 3 2 2" xfId="30402"/>
    <cellStyle name="Примечание 16 2 7 3 2 3" xfId="40277"/>
    <cellStyle name="Примечание 16 2 7 3 3" xfId="19227"/>
    <cellStyle name="Примечание 16 2 7 3 3 2" xfId="33037"/>
    <cellStyle name="Примечание 16 2 7 3 3 3" xfId="42906"/>
    <cellStyle name="Примечание 16 2 7 3 4" xfId="27765"/>
    <cellStyle name="Примечание 16 2 7 3 5" xfId="37640"/>
    <cellStyle name="Примечание 16 2 7 4" xfId="15442"/>
    <cellStyle name="Примечание 16 2 7 4 2" xfId="29261"/>
    <cellStyle name="Примечание 16 2 7 4 3" xfId="39136"/>
    <cellStyle name="Примечание 16 2 7 5" xfId="25169"/>
    <cellStyle name="Примечание 16 2 7 6" xfId="35044"/>
    <cellStyle name="Примечание 16 2 8" xfId="2667"/>
    <cellStyle name="Примечание 16 2 8 2" xfId="12653"/>
    <cellStyle name="Примечание 16 2 8 2 2" xfId="17985"/>
    <cellStyle name="Примечание 16 2 8 2 2 2" xfId="31795"/>
    <cellStyle name="Примечание 16 2 8 2 2 3" xfId="41668"/>
    <cellStyle name="Примечание 16 2 8 2 3" xfId="26527"/>
    <cellStyle name="Примечание 16 2 8 2 4" xfId="36402"/>
    <cellStyle name="Примечание 16 2 8 3" xfId="13875"/>
    <cellStyle name="Примечание 16 2 8 3 2" xfId="16518"/>
    <cellStyle name="Примечание 16 2 8 3 2 2" xfId="30334"/>
    <cellStyle name="Примечание 16 2 8 3 2 3" xfId="40209"/>
    <cellStyle name="Примечание 16 2 8 3 3" xfId="19158"/>
    <cellStyle name="Примечание 16 2 8 3 3 2" xfId="32968"/>
    <cellStyle name="Примечание 16 2 8 3 3 3" xfId="42838"/>
    <cellStyle name="Примечание 16 2 8 3 4" xfId="27697"/>
    <cellStyle name="Примечание 16 2 8 3 5" xfId="37572"/>
    <cellStyle name="Примечание 16 2 8 4" xfId="15373"/>
    <cellStyle name="Примечание 16 2 8 4 2" xfId="29193"/>
    <cellStyle name="Примечание 16 2 8 4 3" xfId="39068"/>
    <cellStyle name="Примечание 16 2 8 5" xfId="25101"/>
    <cellStyle name="Примечание 16 2 8 6" xfId="34976"/>
    <cellStyle name="Примечание 16 2 9" xfId="2795"/>
    <cellStyle name="Примечание 16 2 9 2" xfId="12770"/>
    <cellStyle name="Примечание 16 2 9 2 2" xfId="18102"/>
    <cellStyle name="Примечание 16 2 9 2 2 2" xfId="31912"/>
    <cellStyle name="Примечание 16 2 9 2 2 3" xfId="41785"/>
    <cellStyle name="Примечание 16 2 9 2 3" xfId="26644"/>
    <cellStyle name="Примечание 16 2 9 2 4" xfId="36519"/>
    <cellStyle name="Примечание 16 2 9 3" xfId="13993"/>
    <cellStyle name="Примечание 16 2 9 3 2" xfId="16636"/>
    <cellStyle name="Примечание 16 2 9 3 2 2" xfId="30451"/>
    <cellStyle name="Примечание 16 2 9 3 2 3" xfId="40326"/>
    <cellStyle name="Примечание 16 2 9 3 3" xfId="19276"/>
    <cellStyle name="Примечание 16 2 9 3 3 2" xfId="33086"/>
    <cellStyle name="Примечание 16 2 9 3 3 3" xfId="42955"/>
    <cellStyle name="Примечание 16 2 9 3 4" xfId="27814"/>
    <cellStyle name="Примечание 16 2 9 3 5" xfId="37689"/>
    <cellStyle name="Примечание 16 2 9 4" xfId="15491"/>
    <cellStyle name="Примечание 16 2 9 4 2" xfId="29310"/>
    <cellStyle name="Примечание 16 2 9 4 3" xfId="39185"/>
    <cellStyle name="Примечание 16 2 9 5" xfId="25218"/>
    <cellStyle name="Примечание 16 2 9 6" xfId="35093"/>
    <cellStyle name="Примечание 16 20" xfId="13485"/>
    <cellStyle name="Примечание 16 20 2" xfId="18814"/>
    <cellStyle name="Примечание 16 20 2 2" xfId="32624"/>
    <cellStyle name="Примечание 16 20 2 3" xfId="42495"/>
    <cellStyle name="Примечание 16 20 3" xfId="27354"/>
    <cellStyle name="Примечание 16 20 4" xfId="37229"/>
    <cellStyle name="Примечание 16 21" xfId="17386"/>
    <cellStyle name="Примечание 16 21 2" xfId="21124"/>
    <cellStyle name="Примечание 16 21 3" xfId="31197"/>
    <cellStyle name="Примечание 16 21 4" xfId="41071"/>
    <cellStyle name="Примечание 16 22" xfId="23892"/>
    <cellStyle name="Примечание 16 23" xfId="24820"/>
    <cellStyle name="Примечание 16 24" xfId="34437"/>
    <cellStyle name="Примечание 16 25" xfId="34687"/>
    <cellStyle name="Примечание 16 3" xfId="2208"/>
    <cellStyle name="Примечание 16 3 10" xfId="2852"/>
    <cellStyle name="Примечание 16 3 10 2" xfId="12824"/>
    <cellStyle name="Примечание 16 3 10 2 2" xfId="18156"/>
    <cellStyle name="Примечание 16 3 10 2 2 2" xfId="31966"/>
    <cellStyle name="Примечание 16 3 10 2 2 3" xfId="41839"/>
    <cellStyle name="Примечание 16 3 10 2 3" xfId="26698"/>
    <cellStyle name="Примечание 16 3 10 2 4" xfId="36573"/>
    <cellStyle name="Примечание 16 3 10 3" xfId="14047"/>
    <cellStyle name="Примечание 16 3 10 3 2" xfId="16690"/>
    <cellStyle name="Примечание 16 3 10 3 2 2" xfId="30505"/>
    <cellStyle name="Примечание 16 3 10 3 2 3" xfId="40380"/>
    <cellStyle name="Примечание 16 3 10 3 3" xfId="19330"/>
    <cellStyle name="Примечание 16 3 10 3 3 2" xfId="33140"/>
    <cellStyle name="Примечание 16 3 10 3 3 3" xfId="43009"/>
    <cellStyle name="Примечание 16 3 10 3 4" xfId="27868"/>
    <cellStyle name="Примечание 16 3 10 3 5" xfId="37743"/>
    <cellStyle name="Примечание 16 3 10 4" xfId="15545"/>
    <cellStyle name="Примечание 16 3 10 4 2" xfId="29364"/>
    <cellStyle name="Примечание 16 3 10 4 3" xfId="39239"/>
    <cellStyle name="Примечание 16 3 10 5" xfId="25272"/>
    <cellStyle name="Примечание 16 3 10 6" xfId="35147"/>
    <cellStyle name="Примечание 16 3 11" xfId="2900"/>
    <cellStyle name="Примечание 16 3 11 2" xfId="12870"/>
    <cellStyle name="Примечание 16 3 11 2 2" xfId="18202"/>
    <cellStyle name="Примечание 16 3 11 2 2 2" xfId="32012"/>
    <cellStyle name="Примечание 16 3 11 2 2 3" xfId="41885"/>
    <cellStyle name="Примечание 16 3 11 2 3" xfId="26744"/>
    <cellStyle name="Примечание 16 3 11 2 4" xfId="36619"/>
    <cellStyle name="Примечание 16 3 11 3" xfId="14093"/>
    <cellStyle name="Примечание 16 3 11 3 2" xfId="16736"/>
    <cellStyle name="Примечание 16 3 11 3 2 2" xfId="30551"/>
    <cellStyle name="Примечание 16 3 11 3 2 3" xfId="40426"/>
    <cellStyle name="Примечание 16 3 11 3 3" xfId="19376"/>
    <cellStyle name="Примечание 16 3 11 3 3 2" xfId="33186"/>
    <cellStyle name="Примечание 16 3 11 3 3 3" xfId="43055"/>
    <cellStyle name="Примечание 16 3 11 3 4" xfId="27914"/>
    <cellStyle name="Примечание 16 3 11 3 5" xfId="37789"/>
    <cellStyle name="Примечание 16 3 11 4" xfId="15591"/>
    <cellStyle name="Примечание 16 3 11 4 2" xfId="29410"/>
    <cellStyle name="Примечание 16 3 11 4 3" xfId="39285"/>
    <cellStyle name="Примечание 16 3 11 5" xfId="25318"/>
    <cellStyle name="Примечание 16 3 11 6" xfId="35193"/>
    <cellStyle name="Примечание 16 3 12" xfId="2954"/>
    <cellStyle name="Примечание 16 3 12 2" xfId="12923"/>
    <cellStyle name="Примечание 16 3 12 2 2" xfId="18255"/>
    <cellStyle name="Примечание 16 3 12 2 2 2" xfId="32065"/>
    <cellStyle name="Примечание 16 3 12 2 2 3" xfId="41938"/>
    <cellStyle name="Примечание 16 3 12 2 3" xfId="26797"/>
    <cellStyle name="Примечание 16 3 12 2 4" xfId="36672"/>
    <cellStyle name="Примечание 16 3 12 3" xfId="14146"/>
    <cellStyle name="Примечание 16 3 12 3 2" xfId="16789"/>
    <cellStyle name="Примечание 16 3 12 3 2 2" xfId="30604"/>
    <cellStyle name="Примечание 16 3 12 3 2 3" xfId="40479"/>
    <cellStyle name="Примечание 16 3 12 3 3" xfId="19429"/>
    <cellStyle name="Примечание 16 3 12 3 3 2" xfId="33239"/>
    <cellStyle name="Примечание 16 3 12 3 3 3" xfId="43108"/>
    <cellStyle name="Примечание 16 3 12 3 4" xfId="27967"/>
    <cellStyle name="Примечание 16 3 12 3 5" xfId="37842"/>
    <cellStyle name="Примечание 16 3 12 4" xfId="15644"/>
    <cellStyle name="Примечание 16 3 12 4 2" xfId="29463"/>
    <cellStyle name="Примечание 16 3 12 4 3" xfId="39338"/>
    <cellStyle name="Примечание 16 3 12 5" xfId="25371"/>
    <cellStyle name="Примечание 16 3 12 6" xfId="35246"/>
    <cellStyle name="Примечание 16 3 13" xfId="3003"/>
    <cellStyle name="Примечание 16 3 13 2" xfId="12970"/>
    <cellStyle name="Примечание 16 3 13 2 2" xfId="18302"/>
    <cellStyle name="Примечание 16 3 13 2 2 2" xfId="32112"/>
    <cellStyle name="Примечание 16 3 13 2 2 3" xfId="41985"/>
    <cellStyle name="Примечание 16 3 13 2 3" xfId="26844"/>
    <cellStyle name="Примечание 16 3 13 2 4" xfId="36719"/>
    <cellStyle name="Примечание 16 3 13 3" xfId="14193"/>
    <cellStyle name="Примечание 16 3 13 3 2" xfId="16836"/>
    <cellStyle name="Примечание 16 3 13 3 2 2" xfId="30651"/>
    <cellStyle name="Примечание 16 3 13 3 2 3" xfId="40526"/>
    <cellStyle name="Примечание 16 3 13 3 3" xfId="19476"/>
    <cellStyle name="Примечание 16 3 13 3 3 2" xfId="33286"/>
    <cellStyle name="Примечание 16 3 13 3 3 3" xfId="43155"/>
    <cellStyle name="Примечание 16 3 13 3 4" xfId="28014"/>
    <cellStyle name="Примечание 16 3 13 3 5" xfId="37889"/>
    <cellStyle name="Примечание 16 3 13 4" xfId="15684"/>
    <cellStyle name="Примечание 16 3 13 4 2" xfId="29503"/>
    <cellStyle name="Примечание 16 3 13 4 3" xfId="39378"/>
    <cellStyle name="Примечание 16 3 13 5" xfId="25418"/>
    <cellStyle name="Примечание 16 3 13 6" xfId="35293"/>
    <cellStyle name="Примечание 16 3 14" xfId="11810"/>
    <cellStyle name="Примечание 16 3 14 2" xfId="14708"/>
    <cellStyle name="Примечание 16 3 14 2 2" xfId="19991"/>
    <cellStyle name="Примечание 16 3 14 2 2 2" xfId="33801"/>
    <cellStyle name="Примечание 16 3 14 2 2 3" xfId="43669"/>
    <cellStyle name="Примечание 16 3 14 2 3" xfId="28528"/>
    <cellStyle name="Примечание 16 3 14 2 4" xfId="38403"/>
    <cellStyle name="Примечание 16 3 14 3" xfId="14243"/>
    <cellStyle name="Примечание 16 3 14 3 2" xfId="16886"/>
    <cellStyle name="Примечание 16 3 14 3 2 2" xfId="30701"/>
    <cellStyle name="Примечание 16 3 14 3 2 3" xfId="40576"/>
    <cellStyle name="Примечание 16 3 14 3 3" xfId="19526"/>
    <cellStyle name="Примечание 16 3 14 3 3 2" xfId="33336"/>
    <cellStyle name="Примечание 16 3 14 3 3 3" xfId="43205"/>
    <cellStyle name="Примечание 16 3 14 3 4" xfId="28064"/>
    <cellStyle name="Примечание 16 3 14 3 5" xfId="37939"/>
    <cellStyle name="Примечание 16 3 14 4" xfId="15941"/>
    <cellStyle name="Примечание 16 3 14 4 2" xfId="24566"/>
    <cellStyle name="Примечание 16 3 14 4 3" xfId="29760"/>
    <cellStyle name="Примечание 16 3 14 4 4" xfId="39635"/>
    <cellStyle name="Примечание 16 3 14 5" xfId="25684"/>
    <cellStyle name="Примечание 16 3 14 6" xfId="35559"/>
    <cellStyle name="Примечание 16 3 15" xfId="12383"/>
    <cellStyle name="Примечание 16 3 15 2" xfId="17715"/>
    <cellStyle name="Примечание 16 3 15 2 2" xfId="31525"/>
    <cellStyle name="Примечание 16 3 15 2 3" xfId="41398"/>
    <cellStyle name="Примечание 16 3 15 3" xfId="26257"/>
    <cellStyle name="Примечание 16 3 15 4" xfId="36132"/>
    <cellStyle name="Примечание 16 3 16" xfId="13537"/>
    <cellStyle name="Примечание 16 3 16 2" xfId="16235"/>
    <cellStyle name="Примечание 16 3 16 2 2" xfId="30052"/>
    <cellStyle name="Примечание 16 3 16 2 3" xfId="39927"/>
    <cellStyle name="Примечание 16 3 16 3" xfId="18866"/>
    <cellStyle name="Примечание 16 3 16 3 2" xfId="32676"/>
    <cellStyle name="Примечание 16 3 16 3 3" xfId="42547"/>
    <cellStyle name="Примечание 16 3 16 4" xfId="27406"/>
    <cellStyle name="Примечание 16 3 16 5" xfId="37281"/>
    <cellStyle name="Примечание 16 3 17" xfId="13487"/>
    <cellStyle name="Примечание 16 3 17 2" xfId="18816"/>
    <cellStyle name="Примечание 16 3 17 2 2" xfId="32626"/>
    <cellStyle name="Примечание 16 3 17 2 3" xfId="42497"/>
    <cellStyle name="Примечание 16 3 17 3" xfId="27356"/>
    <cellStyle name="Примечание 16 3 17 4" xfId="37231"/>
    <cellStyle name="Примечание 16 3 18" xfId="17388"/>
    <cellStyle name="Примечание 16 3 18 2" xfId="31199"/>
    <cellStyle name="Примечание 16 3 18 3" xfId="41073"/>
    <cellStyle name="Примечание 16 3 19" xfId="24822"/>
    <cellStyle name="Примечание 16 3 2" xfId="2583"/>
    <cellStyle name="Примечание 16 3 2 2" xfId="10812"/>
    <cellStyle name="Примечание 16 3 2 3" xfId="12569"/>
    <cellStyle name="Примечание 16 3 2 3 2" xfId="17901"/>
    <cellStyle name="Примечание 16 3 2 3 2 2" xfId="31711"/>
    <cellStyle name="Примечание 16 3 2 3 2 3" xfId="41584"/>
    <cellStyle name="Примечание 16 3 2 3 3" xfId="26443"/>
    <cellStyle name="Примечание 16 3 2 3 4" xfId="36318"/>
    <cellStyle name="Примечание 16 3 2 4" xfId="13791"/>
    <cellStyle name="Примечание 16 3 2 4 2" xfId="16434"/>
    <cellStyle name="Примечание 16 3 2 4 2 2" xfId="30250"/>
    <cellStyle name="Примечание 16 3 2 4 2 3" xfId="40125"/>
    <cellStyle name="Примечание 16 3 2 4 3" xfId="19074"/>
    <cellStyle name="Примечание 16 3 2 4 3 2" xfId="32884"/>
    <cellStyle name="Примечание 16 3 2 4 3 3" xfId="42754"/>
    <cellStyle name="Примечание 16 3 2 4 4" xfId="27613"/>
    <cellStyle name="Примечание 16 3 2 4 5" xfId="37488"/>
    <cellStyle name="Примечание 16 3 2 5" xfId="15289"/>
    <cellStyle name="Примечание 16 3 2 5 2" xfId="29109"/>
    <cellStyle name="Примечание 16 3 2 5 3" xfId="38984"/>
    <cellStyle name="Примечание 16 3 2 6" xfId="25017"/>
    <cellStyle name="Примечание 16 3 2 7" xfId="34892"/>
    <cellStyle name="Примечание 16 3 20" xfId="34439"/>
    <cellStyle name="Примечание 16 3 21" xfId="34689"/>
    <cellStyle name="Примечание 16 3 3" xfId="2457"/>
    <cellStyle name="Примечание 16 3 3 2" xfId="12462"/>
    <cellStyle name="Примечание 16 3 3 2 2" xfId="17794"/>
    <cellStyle name="Примечание 16 3 3 2 2 2" xfId="31604"/>
    <cellStyle name="Примечание 16 3 3 2 2 3" xfId="41477"/>
    <cellStyle name="Примечание 16 3 3 2 3" xfId="26336"/>
    <cellStyle name="Примечание 16 3 3 2 4" xfId="36211"/>
    <cellStyle name="Примечание 16 3 3 3" xfId="13684"/>
    <cellStyle name="Примечание 16 3 3 3 2" xfId="16327"/>
    <cellStyle name="Примечание 16 3 3 3 2 2" xfId="30143"/>
    <cellStyle name="Примечание 16 3 3 3 2 3" xfId="40018"/>
    <cellStyle name="Примечание 16 3 3 3 3" xfId="18967"/>
    <cellStyle name="Примечание 16 3 3 3 3 2" xfId="32777"/>
    <cellStyle name="Примечание 16 3 3 3 3 3" xfId="42647"/>
    <cellStyle name="Примечание 16 3 3 3 4" xfId="27506"/>
    <cellStyle name="Примечание 16 3 3 3 5" xfId="37381"/>
    <cellStyle name="Примечание 16 3 3 4" xfId="15182"/>
    <cellStyle name="Примечание 16 3 3 4 2" xfId="29002"/>
    <cellStyle name="Примечание 16 3 3 4 3" xfId="38877"/>
    <cellStyle name="Примечание 16 3 3 5" xfId="24910"/>
    <cellStyle name="Примечание 16 3 3 6" xfId="34785"/>
    <cellStyle name="Примечание 16 3 4" xfId="2518"/>
    <cellStyle name="Примечание 16 3 4 2" xfId="12504"/>
    <cellStyle name="Примечание 16 3 4 2 2" xfId="17836"/>
    <cellStyle name="Примечание 16 3 4 2 2 2" xfId="31646"/>
    <cellStyle name="Примечание 16 3 4 2 2 3" xfId="41519"/>
    <cellStyle name="Примечание 16 3 4 2 3" xfId="26378"/>
    <cellStyle name="Примечание 16 3 4 2 4" xfId="36253"/>
    <cellStyle name="Примечание 16 3 4 3" xfId="13726"/>
    <cellStyle name="Примечание 16 3 4 3 2" xfId="16369"/>
    <cellStyle name="Примечание 16 3 4 3 2 2" xfId="30185"/>
    <cellStyle name="Примечание 16 3 4 3 2 3" xfId="40060"/>
    <cellStyle name="Примечание 16 3 4 3 3" xfId="19009"/>
    <cellStyle name="Примечание 16 3 4 3 3 2" xfId="32819"/>
    <cellStyle name="Примечание 16 3 4 3 3 3" xfId="42689"/>
    <cellStyle name="Примечание 16 3 4 3 4" xfId="27548"/>
    <cellStyle name="Примечание 16 3 4 3 5" xfId="37423"/>
    <cellStyle name="Примечание 16 3 4 4" xfId="15224"/>
    <cellStyle name="Примечание 16 3 4 4 2" xfId="29044"/>
    <cellStyle name="Примечание 16 3 4 4 3" xfId="38919"/>
    <cellStyle name="Примечание 16 3 4 5" xfId="24952"/>
    <cellStyle name="Примечание 16 3 4 6" xfId="34827"/>
    <cellStyle name="Примечание 16 3 5" xfId="2408"/>
    <cellStyle name="Примечание 16 3 5 2" xfId="12413"/>
    <cellStyle name="Примечание 16 3 5 2 2" xfId="17745"/>
    <cellStyle name="Примечание 16 3 5 2 2 2" xfId="31555"/>
    <cellStyle name="Примечание 16 3 5 2 2 3" xfId="41428"/>
    <cellStyle name="Примечание 16 3 5 2 3" xfId="26287"/>
    <cellStyle name="Примечание 16 3 5 2 4" xfId="36162"/>
    <cellStyle name="Примечание 16 3 5 3" xfId="13635"/>
    <cellStyle name="Примечание 16 3 5 3 2" xfId="16278"/>
    <cellStyle name="Примечание 16 3 5 3 2 2" xfId="30094"/>
    <cellStyle name="Примечание 16 3 5 3 2 3" xfId="39969"/>
    <cellStyle name="Примечание 16 3 5 3 3" xfId="18918"/>
    <cellStyle name="Примечание 16 3 5 3 3 2" xfId="32728"/>
    <cellStyle name="Примечание 16 3 5 3 3 3" xfId="42598"/>
    <cellStyle name="Примечание 16 3 5 3 4" xfId="27457"/>
    <cellStyle name="Примечание 16 3 5 3 5" xfId="37332"/>
    <cellStyle name="Примечание 16 3 5 4" xfId="15133"/>
    <cellStyle name="Примечание 16 3 5 4 2" xfId="28953"/>
    <cellStyle name="Примечание 16 3 5 4 3" xfId="38828"/>
    <cellStyle name="Примечание 16 3 5 5" xfId="24861"/>
    <cellStyle name="Примечание 16 3 5 6" xfId="34736"/>
    <cellStyle name="Примечание 16 3 6" xfId="2618"/>
    <cellStyle name="Примечание 16 3 6 2" xfId="12604"/>
    <cellStyle name="Примечание 16 3 6 2 2" xfId="17936"/>
    <cellStyle name="Примечание 16 3 6 2 2 2" xfId="31746"/>
    <cellStyle name="Примечание 16 3 6 2 2 3" xfId="41619"/>
    <cellStyle name="Примечание 16 3 6 2 3" xfId="26478"/>
    <cellStyle name="Примечание 16 3 6 2 4" xfId="36353"/>
    <cellStyle name="Примечание 16 3 6 3" xfId="13826"/>
    <cellStyle name="Примечание 16 3 6 3 2" xfId="16469"/>
    <cellStyle name="Примечание 16 3 6 3 2 2" xfId="30285"/>
    <cellStyle name="Примечание 16 3 6 3 2 3" xfId="40160"/>
    <cellStyle name="Примечание 16 3 6 3 3" xfId="19109"/>
    <cellStyle name="Примечание 16 3 6 3 3 2" xfId="32919"/>
    <cellStyle name="Примечание 16 3 6 3 3 3" xfId="42789"/>
    <cellStyle name="Примечание 16 3 6 3 4" xfId="27648"/>
    <cellStyle name="Примечание 16 3 6 3 5" xfId="37523"/>
    <cellStyle name="Примечание 16 3 6 4" xfId="15324"/>
    <cellStyle name="Примечание 16 3 6 4 2" xfId="29144"/>
    <cellStyle name="Примечание 16 3 6 4 3" xfId="39019"/>
    <cellStyle name="Примечание 16 3 6 5" xfId="25052"/>
    <cellStyle name="Примечание 16 3 6 6" xfId="34927"/>
    <cellStyle name="Примечание 16 3 7" xfId="2746"/>
    <cellStyle name="Примечание 16 3 7 2" xfId="12722"/>
    <cellStyle name="Примечание 16 3 7 2 2" xfId="18054"/>
    <cellStyle name="Примечание 16 3 7 2 2 2" xfId="31864"/>
    <cellStyle name="Примечание 16 3 7 2 2 3" xfId="41737"/>
    <cellStyle name="Примечание 16 3 7 2 3" xfId="26596"/>
    <cellStyle name="Примечание 16 3 7 2 4" xfId="36471"/>
    <cellStyle name="Примечание 16 3 7 3" xfId="13945"/>
    <cellStyle name="Примечание 16 3 7 3 2" xfId="16588"/>
    <cellStyle name="Примечание 16 3 7 3 2 2" xfId="30403"/>
    <cellStyle name="Примечание 16 3 7 3 2 3" xfId="40278"/>
    <cellStyle name="Примечание 16 3 7 3 3" xfId="19228"/>
    <cellStyle name="Примечание 16 3 7 3 3 2" xfId="33038"/>
    <cellStyle name="Примечание 16 3 7 3 3 3" xfId="42907"/>
    <cellStyle name="Примечание 16 3 7 3 4" xfId="27766"/>
    <cellStyle name="Примечание 16 3 7 3 5" xfId="37641"/>
    <cellStyle name="Примечание 16 3 7 4" xfId="15443"/>
    <cellStyle name="Примечание 16 3 7 4 2" xfId="29262"/>
    <cellStyle name="Примечание 16 3 7 4 3" xfId="39137"/>
    <cellStyle name="Примечание 16 3 7 5" xfId="25170"/>
    <cellStyle name="Примечание 16 3 7 6" xfId="35045"/>
    <cellStyle name="Примечание 16 3 8" xfId="2668"/>
    <cellStyle name="Примечание 16 3 8 2" xfId="12654"/>
    <cellStyle name="Примечание 16 3 8 2 2" xfId="17986"/>
    <cellStyle name="Примечание 16 3 8 2 2 2" xfId="31796"/>
    <cellStyle name="Примечание 16 3 8 2 2 3" xfId="41669"/>
    <cellStyle name="Примечание 16 3 8 2 3" xfId="26528"/>
    <cellStyle name="Примечание 16 3 8 2 4" xfId="36403"/>
    <cellStyle name="Примечание 16 3 8 3" xfId="13876"/>
    <cellStyle name="Примечание 16 3 8 3 2" xfId="16519"/>
    <cellStyle name="Примечание 16 3 8 3 2 2" xfId="30335"/>
    <cellStyle name="Примечание 16 3 8 3 2 3" xfId="40210"/>
    <cellStyle name="Примечание 16 3 8 3 3" xfId="19159"/>
    <cellStyle name="Примечание 16 3 8 3 3 2" xfId="32969"/>
    <cellStyle name="Примечание 16 3 8 3 3 3" xfId="42839"/>
    <cellStyle name="Примечание 16 3 8 3 4" xfId="27698"/>
    <cellStyle name="Примечание 16 3 8 3 5" xfId="37573"/>
    <cellStyle name="Примечание 16 3 8 4" xfId="15374"/>
    <cellStyle name="Примечание 16 3 8 4 2" xfId="29194"/>
    <cellStyle name="Примечание 16 3 8 4 3" xfId="39069"/>
    <cellStyle name="Примечание 16 3 8 5" xfId="25102"/>
    <cellStyle name="Примечание 16 3 8 6" xfId="34977"/>
    <cellStyle name="Примечание 16 3 9" xfId="2796"/>
    <cellStyle name="Примечание 16 3 9 2" xfId="12771"/>
    <cellStyle name="Примечание 16 3 9 2 2" xfId="18103"/>
    <cellStyle name="Примечание 16 3 9 2 2 2" xfId="31913"/>
    <cellStyle name="Примечание 16 3 9 2 2 3" xfId="41786"/>
    <cellStyle name="Примечание 16 3 9 2 3" xfId="26645"/>
    <cellStyle name="Примечание 16 3 9 2 4" xfId="36520"/>
    <cellStyle name="Примечание 16 3 9 3" xfId="13994"/>
    <cellStyle name="Примечание 16 3 9 3 2" xfId="16637"/>
    <cellStyle name="Примечание 16 3 9 3 2 2" xfId="30452"/>
    <cellStyle name="Примечание 16 3 9 3 2 3" xfId="40327"/>
    <cellStyle name="Примечание 16 3 9 3 3" xfId="19277"/>
    <cellStyle name="Примечание 16 3 9 3 3 2" xfId="33087"/>
    <cellStyle name="Примечание 16 3 9 3 3 3" xfId="42956"/>
    <cellStyle name="Примечание 16 3 9 3 4" xfId="27815"/>
    <cellStyle name="Примечание 16 3 9 3 5" xfId="37690"/>
    <cellStyle name="Примечание 16 3 9 4" xfId="15492"/>
    <cellStyle name="Примечание 16 3 9 4 2" xfId="29311"/>
    <cellStyle name="Примечание 16 3 9 4 3" xfId="39186"/>
    <cellStyle name="Примечание 16 3 9 5" xfId="25219"/>
    <cellStyle name="Примечание 16 3 9 6" xfId="35094"/>
    <cellStyle name="Примечание 16 4" xfId="2581"/>
    <cellStyle name="Примечание 16 4 2" xfId="10805"/>
    <cellStyle name="Примечание 16 4 3" xfId="12567"/>
    <cellStyle name="Примечание 16 4 3 2" xfId="17899"/>
    <cellStyle name="Примечание 16 4 3 2 2" xfId="31709"/>
    <cellStyle name="Примечание 16 4 3 2 3" xfId="41582"/>
    <cellStyle name="Примечание 16 4 3 3" xfId="26441"/>
    <cellStyle name="Примечание 16 4 3 4" xfId="36316"/>
    <cellStyle name="Примечание 16 4 4" xfId="13789"/>
    <cellStyle name="Примечание 16 4 4 2" xfId="16432"/>
    <cellStyle name="Примечание 16 4 4 2 2" xfId="30248"/>
    <cellStyle name="Примечание 16 4 4 2 3" xfId="40123"/>
    <cellStyle name="Примечание 16 4 4 3" xfId="19072"/>
    <cellStyle name="Примечание 16 4 4 3 2" xfId="32882"/>
    <cellStyle name="Примечание 16 4 4 3 3" xfId="42752"/>
    <cellStyle name="Примечание 16 4 4 4" xfId="27611"/>
    <cellStyle name="Примечание 16 4 4 5" xfId="37486"/>
    <cellStyle name="Примечание 16 4 5" xfId="15287"/>
    <cellStyle name="Примечание 16 4 5 2" xfId="29107"/>
    <cellStyle name="Примечание 16 4 5 3" xfId="38982"/>
    <cellStyle name="Примечание 16 4 6" xfId="25015"/>
    <cellStyle name="Примечание 16 4 7" xfId="34890"/>
    <cellStyle name="Примечание 16 5" xfId="2459"/>
    <cellStyle name="Примечание 16 5 2" xfId="10813"/>
    <cellStyle name="Примечание 16 5 3" xfId="12464"/>
    <cellStyle name="Примечание 16 5 3 2" xfId="17796"/>
    <cellStyle name="Примечание 16 5 3 2 2" xfId="31606"/>
    <cellStyle name="Примечание 16 5 3 2 3" xfId="41479"/>
    <cellStyle name="Примечание 16 5 3 3" xfId="26338"/>
    <cellStyle name="Примечание 16 5 3 4" xfId="36213"/>
    <cellStyle name="Примечание 16 5 4" xfId="13686"/>
    <cellStyle name="Примечание 16 5 4 2" xfId="16329"/>
    <cellStyle name="Примечание 16 5 4 2 2" xfId="30145"/>
    <cellStyle name="Примечание 16 5 4 2 3" xfId="40020"/>
    <cellStyle name="Примечание 16 5 4 3" xfId="18969"/>
    <cellStyle name="Примечание 16 5 4 3 2" xfId="32779"/>
    <cellStyle name="Примечание 16 5 4 3 3" xfId="42649"/>
    <cellStyle name="Примечание 16 5 4 4" xfId="27508"/>
    <cellStyle name="Примечание 16 5 4 5" xfId="37383"/>
    <cellStyle name="Примечание 16 5 5" xfId="15184"/>
    <cellStyle name="Примечание 16 5 5 2" xfId="29004"/>
    <cellStyle name="Примечание 16 5 5 3" xfId="38879"/>
    <cellStyle name="Примечание 16 5 6" xfId="24912"/>
    <cellStyle name="Примечание 16 5 7" xfId="34787"/>
    <cellStyle name="Примечание 16 6" xfId="2516"/>
    <cellStyle name="Примечание 16 6 2" xfId="10814"/>
    <cellStyle name="Примечание 16 6 3" xfId="12502"/>
    <cellStyle name="Примечание 16 6 3 2" xfId="17834"/>
    <cellStyle name="Примечание 16 6 3 2 2" xfId="31644"/>
    <cellStyle name="Примечание 16 6 3 2 3" xfId="41517"/>
    <cellStyle name="Примечание 16 6 3 3" xfId="26376"/>
    <cellStyle name="Примечание 16 6 3 4" xfId="36251"/>
    <cellStyle name="Примечание 16 6 4" xfId="13724"/>
    <cellStyle name="Примечание 16 6 4 2" xfId="16367"/>
    <cellStyle name="Примечание 16 6 4 2 2" xfId="30183"/>
    <cellStyle name="Примечание 16 6 4 2 3" xfId="40058"/>
    <cellStyle name="Примечание 16 6 4 3" xfId="19007"/>
    <cellStyle name="Примечание 16 6 4 3 2" xfId="32817"/>
    <cellStyle name="Примечание 16 6 4 3 3" xfId="42687"/>
    <cellStyle name="Примечание 16 6 4 4" xfId="27546"/>
    <cellStyle name="Примечание 16 6 4 5" xfId="37421"/>
    <cellStyle name="Примечание 16 6 5" xfId="15222"/>
    <cellStyle name="Примечание 16 6 5 2" xfId="29042"/>
    <cellStyle name="Примечание 16 6 5 3" xfId="38917"/>
    <cellStyle name="Примечание 16 6 6" xfId="24950"/>
    <cellStyle name="Примечание 16 6 7" xfId="34825"/>
    <cellStyle name="Примечание 16 7" xfId="2410"/>
    <cellStyle name="Примечание 16 7 2" xfId="10815"/>
    <cellStyle name="Примечание 16 7 3" xfId="12415"/>
    <cellStyle name="Примечание 16 7 3 2" xfId="17747"/>
    <cellStyle name="Примечание 16 7 3 2 2" xfId="31557"/>
    <cellStyle name="Примечание 16 7 3 2 3" xfId="41430"/>
    <cellStyle name="Примечание 16 7 3 3" xfId="26289"/>
    <cellStyle name="Примечание 16 7 3 4" xfId="36164"/>
    <cellStyle name="Примечание 16 7 4" xfId="13637"/>
    <cellStyle name="Примечание 16 7 4 2" xfId="16280"/>
    <cellStyle name="Примечание 16 7 4 2 2" xfId="30096"/>
    <cellStyle name="Примечание 16 7 4 2 3" xfId="39971"/>
    <cellStyle name="Примечание 16 7 4 3" xfId="18920"/>
    <cellStyle name="Примечание 16 7 4 3 2" xfId="32730"/>
    <cellStyle name="Примечание 16 7 4 3 3" xfId="42600"/>
    <cellStyle name="Примечание 16 7 4 4" xfId="27459"/>
    <cellStyle name="Примечание 16 7 4 5" xfId="37334"/>
    <cellStyle name="Примечание 16 7 5" xfId="15135"/>
    <cellStyle name="Примечание 16 7 5 2" xfId="28955"/>
    <cellStyle name="Примечание 16 7 5 3" xfId="38830"/>
    <cellStyle name="Примечание 16 7 6" xfId="24863"/>
    <cellStyle name="Примечание 16 7 7" xfId="34738"/>
    <cellStyle name="Примечание 16 8" xfId="2616"/>
    <cellStyle name="Примечание 16 8 2" xfId="10816"/>
    <cellStyle name="Примечание 16 8 3" xfId="12602"/>
    <cellStyle name="Примечание 16 8 3 2" xfId="17934"/>
    <cellStyle name="Примечание 16 8 3 2 2" xfId="31744"/>
    <cellStyle name="Примечание 16 8 3 2 3" xfId="41617"/>
    <cellStyle name="Примечание 16 8 3 3" xfId="26476"/>
    <cellStyle name="Примечание 16 8 3 4" xfId="36351"/>
    <cellStyle name="Примечание 16 8 4" xfId="13824"/>
    <cellStyle name="Примечание 16 8 4 2" xfId="16467"/>
    <cellStyle name="Примечание 16 8 4 2 2" xfId="30283"/>
    <cellStyle name="Примечание 16 8 4 2 3" xfId="40158"/>
    <cellStyle name="Примечание 16 8 4 3" xfId="19107"/>
    <cellStyle name="Примечание 16 8 4 3 2" xfId="32917"/>
    <cellStyle name="Примечание 16 8 4 3 3" xfId="42787"/>
    <cellStyle name="Примечание 16 8 4 4" xfId="27646"/>
    <cellStyle name="Примечание 16 8 4 5" xfId="37521"/>
    <cellStyle name="Примечание 16 8 5" xfId="15322"/>
    <cellStyle name="Примечание 16 8 5 2" xfId="29142"/>
    <cellStyle name="Примечание 16 8 5 3" xfId="39017"/>
    <cellStyle name="Примечание 16 8 6" xfId="25050"/>
    <cellStyle name="Примечание 16 8 7" xfId="34925"/>
    <cellStyle name="Примечание 16 9" xfId="2744"/>
    <cellStyle name="Примечание 16 9 2" xfId="10817"/>
    <cellStyle name="Примечание 16 9 3" xfId="12720"/>
    <cellStyle name="Примечание 16 9 3 2" xfId="18052"/>
    <cellStyle name="Примечание 16 9 3 2 2" xfId="31862"/>
    <cellStyle name="Примечание 16 9 3 2 3" xfId="41735"/>
    <cellStyle name="Примечание 16 9 3 3" xfId="26594"/>
    <cellStyle name="Примечание 16 9 3 4" xfId="36469"/>
    <cellStyle name="Примечание 16 9 4" xfId="13943"/>
    <cellStyle name="Примечание 16 9 4 2" xfId="16586"/>
    <cellStyle name="Примечание 16 9 4 2 2" xfId="30401"/>
    <cellStyle name="Примечание 16 9 4 2 3" xfId="40276"/>
    <cellStyle name="Примечание 16 9 4 3" xfId="19226"/>
    <cellStyle name="Примечание 16 9 4 3 2" xfId="33036"/>
    <cellStyle name="Примечание 16 9 4 3 3" xfId="42905"/>
    <cellStyle name="Примечание 16 9 4 4" xfId="27764"/>
    <cellStyle name="Примечание 16 9 4 5" xfId="37639"/>
    <cellStyle name="Примечание 16 9 5" xfId="15441"/>
    <cellStyle name="Примечание 16 9 5 2" xfId="29260"/>
    <cellStyle name="Примечание 16 9 5 3" xfId="39135"/>
    <cellStyle name="Примечание 16 9 6" xfId="25168"/>
    <cellStyle name="Примечание 16 9 7" xfId="35043"/>
    <cellStyle name="Примечание 17" xfId="2209"/>
    <cellStyle name="Примечание 17 10" xfId="2669"/>
    <cellStyle name="Примечание 17 10 2" xfId="10819"/>
    <cellStyle name="Примечание 17 10 3" xfId="12655"/>
    <cellStyle name="Примечание 17 10 3 2" xfId="17987"/>
    <cellStyle name="Примечание 17 10 3 2 2" xfId="31797"/>
    <cellStyle name="Примечание 17 10 3 2 3" xfId="41670"/>
    <cellStyle name="Примечание 17 10 3 3" xfId="26529"/>
    <cellStyle name="Примечание 17 10 3 4" xfId="36404"/>
    <cellStyle name="Примечание 17 10 4" xfId="13877"/>
    <cellStyle name="Примечание 17 10 4 2" xfId="16520"/>
    <cellStyle name="Примечание 17 10 4 2 2" xfId="30336"/>
    <cellStyle name="Примечание 17 10 4 2 3" xfId="40211"/>
    <cellStyle name="Примечание 17 10 4 3" xfId="19160"/>
    <cellStyle name="Примечание 17 10 4 3 2" xfId="32970"/>
    <cellStyle name="Примечание 17 10 4 3 3" xfId="42840"/>
    <cellStyle name="Примечание 17 10 4 4" xfId="27699"/>
    <cellStyle name="Примечание 17 10 4 5" xfId="37574"/>
    <cellStyle name="Примечание 17 10 5" xfId="15375"/>
    <cellStyle name="Примечание 17 10 5 2" xfId="29195"/>
    <cellStyle name="Примечание 17 10 5 3" xfId="39070"/>
    <cellStyle name="Примечание 17 10 6" xfId="25103"/>
    <cellStyle name="Примечание 17 10 7" xfId="34978"/>
    <cellStyle name="Примечание 17 11" xfId="2797"/>
    <cellStyle name="Примечание 17 11 2" xfId="10820"/>
    <cellStyle name="Примечание 17 11 3" xfId="12772"/>
    <cellStyle name="Примечание 17 11 3 2" xfId="18104"/>
    <cellStyle name="Примечание 17 11 3 2 2" xfId="31914"/>
    <cellStyle name="Примечание 17 11 3 2 3" xfId="41787"/>
    <cellStyle name="Примечание 17 11 3 3" xfId="26646"/>
    <cellStyle name="Примечание 17 11 3 4" xfId="36521"/>
    <cellStyle name="Примечание 17 11 4" xfId="13995"/>
    <cellStyle name="Примечание 17 11 4 2" xfId="16638"/>
    <cellStyle name="Примечание 17 11 4 2 2" xfId="30453"/>
    <cellStyle name="Примечание 17 11 4 2 3" xfId="40328"/>
    <cellStyle name="Примечание 17 11 4 3" xfId="19278"/>
    <cellStyle name="Примечание 17 11 4 3 2" xfId="33088"/>
    <cellStyle name="Примечание 17 11 4 3 3" xfId="42957"/>
    <cellStyle name="Примечание 17 11 4 4" xfId="27816"/>
    <cellStyle name="Примечание 17 11 4 5" xfId="37691"/>
    <cellStyle name="Примечание 17 11 5" xfId="15493"/>
    <cellStyle name="Примечание 17 11 5 2" xfId="29312"/>
    <cellStyle name="Примечание 17 11 5 3" xfId="39187"/>
    <cellStyle name="Примечание 17 11 6" xfId="25220"/>
    <cellStyle name="Примечание 17 11 7" xfId="35095"/>
    <cellStyle name="Примечание 17 12" xfId="2853"/>
    <cellStyle name="Примечание 17 12 2" xfId="10821"/>
    <cellStyle name="Примечание 17 12 3" xfId="12825"/>
    <cellStyle name="Примечание 17 12 3 2" xfId="18157"/>
    <cellStyle name="Примечание 17 12 3 2 2" xfId="31967"/>
    <cellStyle name="Примечание 17 12 3 2 3" xfId="41840"/>
    <cellStyle name="Примечание 17 12 3 3" xfId="26699"/>
    <cellStyle name="Примечание 17 12 3 4" xfId="36574"/>
    <cellStyle name="Примечание 17 12 4" xfId="14048"/>
    <cellStyle name="Примечание 17 12 4 2" xfId="16691"/>
    <cellStyle name="Примечание 17 12 4 2 2" xfId="30506"/>
    <cellStyle name="Примечание 17 12 4 2 3" xfId="40381"/>
    <cellStyle name="Примечание 17 12 4 3" xfId="19331"/>
    <cellStyle name="Примечание 17 12 4 3 2" xfId="33141"/>
    <cellStyle name="Примечание 17 12 4 3 3" xfId="43010"/>
    <cellStyle name="Примечание 17 12 4 4" xfId="27869"/>
    <cellStyle name="Примечание 17 12 4 5" xfId="37744"/>
    <cellStyle name="Примечание 17 12 5" xfId="15546"/>
    <cellStyle name="Примечание 17 12 5 2" xfId="29365"/>
    <cellStyle name="Примечание 17 12 5 3" xfId="39240"/>
    <cellStyle name="Примечание 17 12 6" xfId="25273"/>
    <cellStyle name="Примечание 17 12 7" xfId="35148"/>
    <cellStyle name="Примечание 17 13" xfId="2901"/>
    <cellStyle name="Примечание 17 13 2" xfId="10822"/>
    <cellStyle name="Примечание 17 13 3" xfId="12871"/>
    <cellStyle name="Примечание 17 13 3 2" xfId="18203"/>
    <cellStyle name="Примечание 17 13 3 2 2" xfId="32013"/>
    <cellStyle name="Примечание 17 13 3 2 3" xfId="41886"/>
    <cellStyle name="Примечание 17 13 3 3" xfId="26745"/>
    <cellStyle name="Примечание 17 13 3 4" xfId="36620"/>
    <cellStyle name="Примечание 17 13 4" xfId="14094"/>
    <cellStyle name="Примечание 17 13 4 2" xfId="16737"/>
    <cellStyle name="Примечание 17 13 4 2 2" xfId="30552"/>
    <cellStyle name="Примечание 17 13 4 2 3" xfId="40427"/>
    <cellStyle name="Примечание 17 13 4 3" xfId="19377"/>
    <cellStyle name="Примечание 17 13 4 3 2" xfId="33187"/>
    <cellStyle name="Примечание 17 13 4 3 3" xfId="43056"/>
    <cellStyle name="Примечание 17 13 4 4" xfId="27915"/>
    <cellStyle name="Примечание 17 13 4 5" xfId="37790"/>
    <cellStyle name="Примечание 17 13 5" xfId="15592"/>
    <cellStyle name="Примечание 17 13 5 2" xfId="29411"/>
    <cellStyle name="Примечание 17 13 5 3" xfId="39286"/>
    <cellStyle name="Примечание 17 13 6" xfId="25319"/>
    <cellStyle name="Примечание 17 13 7" xfId="35194"/>
    <cellStyle name="Примечание 17 14" xfId="2955"/>
    <cellStyle name="Примечание 17 14 2" xfId="10823"/>
    <cellStyle name="Примечание 17 14 3" xfId="12924"/>
    <cellStyle name="Примечание 17 14 3 2" xfId="18256"/>
    <cellStyle name="Примечание 17 14 3 2 2" xfId="32066"/>
    <cellStyle name="Примечание 17 14 3 2 3" xfId="41939"/>
    <cellStyle name="Примечание 17 14 3 3" xfId="26798"/>
    <cellStyle name="Примечание 17 14 3 4" xfId="36673"/>
    <cellStyle name="Примечание 17 14 4" xfId="14147"/>
    <cellStyle name="Примечание 17 14 4 2" xfId="16790"/>
    <cellStyle name="Примечание 17 14 4 2 2" xfId="30605"/>
    <cellStyle name="Примечание 17 14 4 2 3" xfId="40480"/>
    <cellStyle name="Примечание 17 14 4 3" xfId="19430"/>
    <cellStyle name="Примечание 17 14 4 3 2" xfId="33240"/>
    <cellStyle name="Примечание 17 14 4 3 3" xfId="43109"/>
    <cellStyle name="Примечание 17 14 4 4" xfId="27968"/>
    <cellStyle name="Примечание 17 14 4 5" xfId="37843"/>
    <cellStyle name="Примечание 17 14 5" xfId="15645"/>
    <cellStyle name="Примечание 17 14 5 2" xfId="29464"/>
    <cellStyle name="Примечание 17 14 5 3" xfId="39339"/>
    <cellStyle name="Примечание 17 14 6" xfId="25372"/>
    <cellStyle name="Примечание 17 14 7" xfId="35247"/>
    <cellStyle name="Примечание 17 15" xfId="3004"/>
    <cellStyle name="Примечание 17 15 2" xfId="12057"/>
    <cellStyle name="Примечание 17 15 2 2" xfId="14955"/>
    <cellStyle name="Примечание 17 15 2 2 2" xfId="20238"/>
    <cellStyle name="Примечание 17 15 2 2 2 2" xfId="23221"/>
    <cellStyle name="Примечание 17 15 2 2 2 3" xfId="34048"/>
    <cellStyle name="Примечание 17 15 2 2 2 4" xfId="43916"/>
    <cellStyle name="Примечание 17 15 2 2 3" xfId="23509"/>
    <cellStyle name="Примечание 17 15 2 2 4" xfId="28775"/>
    <cellStyle name="Примечание 17 15 2 2 5" xfId="38650"/>
    <cellStyle name="Примечание 17 15 2 3" xfId="14399"/>
    <cellStyle name="Примечание 17 15 2 3 2" xfId="16912"/>
    <cellStyle name="Примечание 17 15 2 3 2 2" xfId="30727"/>
    <cellStyle name="Примечание 17 15 2 3 2 3" xfId="40602"/>
    <cellStyle name="Примечание 17 15 2 3 3" xfId="19682"/>
    <cellStyle name="Примечание 17 15 2 3 3 2" xfId="33492"/>
    <cellStyle name="Примечание 17 15 2 3 3 3" xfId="43361"/>
    <cellStyle name="Примечание 17 15 2 3 4" xfId="28220"/>
    <cellStyle name="Примечание 17 15 2 3 5" xfId="38095"/>
    <cellStyle name="Примечание 17 15 2 4" xfId="15980"/>
    <cellStyle name="Примечание 17 15 2 4 2" xfId="21836"/>
    <cellStyle name="Примечание 17 15 2 4 3" xfId="29799"/>
    <cellStyle name="Примечание 17 15 2 4 4" xfId="39674"/>
    <cellStyle name="Примечание 17 15 2 5" xfId="24133"/>
    <cellStyle name="Примечание 17 15 2 6" xfId="25931"/>
    <cellStyle name="Примечание 17 15 2 7" xfId="35806"/>
    <cellStyle name="Примечание 17 15 3" xfId="12971"/>
    <cellStyle name="Примечание 17 15 3 2" xfId="18303"/>
    <cellStyle name="Примечание 17 15 3 2 2" xfId="32113"/>
    <cellStyle name="Примечание 17 15 3 2 3" xfId="41986"/>
    <cellStyle name="Примечание 17 15 3 3" xfId="23493"/>
    <cellStyle name="Примечание 17 15 3 4" xfId="26845"/>
    <cellStyle name="Примечание 17 15 3 5" xfId="36720"/>
    <cellStyle name="Примечание 17 15 4" xfId="14194"/>
    <cellStyle name="Примечание 17 15 4 2" xfId="16837"/>
    <cellStyle name="Примечание 17 15 4 2 2" xfId="30652"/>
    <cellStyle name="Примечание 17 15 4 2 3" xfId="40527"/>
    <cellStyle name="Примечание 17 15 4 3" xfId="19477"/>
    <cellStyle name="Примечание 17 15 4 3 2" xfId="33287"/>
    <cellStyle name="Примечание 17 15 4 3 3" xfId="43156"/>
    <cellStyle name="Примечание 17 15 4 4" xfId="28015"/>
    <cellStyle name="Примечание 17 15 4 5" xfId="37890"/>
    <cellStyle name="Примечание 17 15 5" xfId="21748"/>
    <cellStyle name="Примечание 17 15 6" xfId="22485"/>
    <cellStyle name="Примечание 17 15 7" xfId="23973"/>
    <cellStyle name="Примечание 17 15 8" xfId="25419"/>
    <cellStyle name="Примечание 17 15 9" xfId="35294"/>
    <cellStyle name="Примечание 17 16" xfId="12137"/>
    <cellStyle name="Примечание 17 16 2" xfId="15035"/>
    <cellStyle name="Примечание 17 16 2 2" xfId="20318"/>
    <cellStyle name="Примечание 17 16 2 2 2" xfId="23237"/>
    <cellStyle name="Примечание 17 16 2 2 3" xfId="34128"/>
    <cellStyle name="Примечание 17 16 2 2 4" xfId="43996"/>
    <cellStyle name="Примечание 17 16 2 3" xfId="23589"/>
    <cellStyle name="Примечание 17 16 2 4" xfId="28855"/>
    <cellStyle name="Примечание 17 16 2 5" xfId="38730"/>
    <cellStyle name="Примечание 17 16 3" xfId="14407"/>
    <cellStyle name="Примечание 17 16 3 2" xfId="16920"/>
    <cellStyle name="Примечание 17 16 3 2 2" xfId="30735"/>
    <cellStyle name="Примечание 17 16 3 2 3" xfId="40610"/>
    <cellStyle name="Примечание 17 16 3 3" xfId="19690"/>
    <cellStyle name="Примечание 17 16 3 3 2" xfId="33500"/>
    <cellStyle name="Примечание 17 16 3 3 3" xfId="43369"/>
    <cellStyle name="Примечание 17 16 3 4" xfId="28228"/>
    <cellStyle name="Примечание 17 16 3 5" xfId="38103"/>
    <cellStyle name="Примечание 17 16 4" xfId="21516"/>
    <cellStyle name="Примечание 17 16 5" xfId="21884"/>
    <cellStyle name="Примечание 17 16 6" xfId="22709"/>
    <cellStyle name="Примечание 17 16 7" xfId="24213"/>
    <cellStyle name="Примечание 17 16 8" xfId="26011"/>
    <cellStyle name="Примечание 17 16 9" xfId="35886"/>
    <cellStyle name="Примечание 17 17" xfId="12217"/>
    <cellStyle name="Примечание 17 17 2" xfId="15115"/>
    <cellStyle name="Примечание 17 17 2 2" xfId="20398"/>
    <cellStyle name="Примечание 17 17 2 2 2" xfId="23253"/>
    <cellStyle name="Примечание 17 17 2 2 3" xfId="34208"/>
    <cellStyle name="Примечание 17 17 2 2 4" xfId="44076"/>
    <cellStyle name="Примечание 17 17 2 3" xfId="23669"/>
    <cellStyle name="Примечание 17 17 2 4" xfId="28935"/>
    <cellStyle name="Примечание 17 17 2 5" xfId="38810"/>
    <cellStyle name="Примечание 17 17 3" xfId="14478"/>
    <cellStyle name="Примечание 17 17 3 2" xfId="16952"/>
    <cellStyle name="Примечание 17 17 3 2 2" xfId="30766"/>
    <cellStyle name="Примечание 17 17 3 2 3" xfId="40641"/>
    <cellStyle name="Примечание 17 17 3 3" xfId="19761"/>
    <cellStyle name="Примечание 17 17 3 3 2" xfId="33571"/>
    <cellStyle name="Примечание 17 17 3 3 3" xfId="43439"/>
    <cellStyle name="Примечание 17 17 3 4" xfId="28298"/>
    <cellStyle name="Примечание 17 17 3 5" xfId="38173"/>
    <cellStyle name="Примечание 17 17 4" xfId="21596"/>
    <cellStyle name="Примечание 17 17 5" xfId="21932"/>
    <cellStyle name="Примечание 17 17 6" xfId="22789"/>
    <cellStyle name="Примечание 17 17 7" xfId="24293"/>
    <cellStyle name="Примечание 17 17 8" xfId="26091"/>
    <cellStyle name="Примечание 17 17 9" xfId="35966"/>
    <cellStyle name="Примечание 17 18" xfId="11811"/>
    <cellStyle name="Примечание 17 18 2" xfId="14709"/>
    <cellStyle name="Примечание 17 18 2 2" xfId="19992"/>
    <cellStyle name="Примечание 17 18 2 2 2" xfId="33802"/>
    <cellStyle name="Примечание 17 18 2 2 3" xfId="43670"/>
    <cellStyle name="Примечание 17 18 2 3" xfId="28529"/>
    <cellStyle name="Примечание 17 18 2 4" xfId="38404"/>
    <cellStyle name="Примечание 17 18 3" xfId="14244"/>
    <cellStyle name="Примечание 17 18 3 2" xfId="16887"/>
    <cellStyle name="Примечание 17 18 3 2 2" xfId="30702"/>
    <cellStyle name="Примечание 17 18 3 2 3" xfId="40577"/>
    <cellStyle name="Примечание 17 18 3 3" xfId="19527"/>
    <cellStyle name="Примечание 17 18 3 3 2" xfId="33337"/>
    <cellStyle name="Примечание 17 18 3 3 3" xfId="43206"/>
    <cellStyle name="Примечание 17 18 3 4" xfId="28065"/>
    <cellStyle name="Примечание 17 18 3 5" xfId="37940"/>
    <cellStyle name="Примечание 17 18 4" xfId="15942"/>
    <cellStyle name="Примечание 17 18 4 2" xfId="23270"/>
    <cellStyle name="Примечание 17 18 4 3" xfId="29761"/>
    <cellStyle name="Примечание 17 18 4 4" xfId="39636"/>
    <cellStyle name="Примечание 17 18 5" xfId="25685"/>
    <cellStyle name="Примечание 17 18 6" xfId="35560"/>
    <cellStyle name="Примечание 17 19" xfId="13538"/>
    <cellStyle name="Примечание 17 19 2" xfId="16236"/>
    <cellStyle name="Примечание 17 19 2 2" xfId="30053"/>
    <cellStyle name="Примечание 17 19 2 3" xfId="39928"/>
    <cellStyle name="Примечание 17 19 3" xfId="18867"/>
    <cellStyle name="Примечание 17 19 3 2" xfId="32677"/>
    <cellStyle name="Примечание 17 19 3 3" xfId="42548"/>
    <cellStyle name="Примечание 17 19 4" xfId="27407"/>
    <cellStyle name="Примечание 17 19 5" xfId="37282"/>
    <cellStyle name="Примечание 17 2" xfId="2210"/>
    <cellStyle name="Примечание 17 2 10" xfId="2854"/>
    <cellStyle name="Примечание 17 2 10 2" xfId="12826"/>
    <cellStyle name="Примечание 17 2 10 2 2" xfId="18158"/>
    <cellStyle name="Примечание 17 2 10 2 2 2" xfId="31968"/>
    <cellStyle name="Примечание 17 2 10 2 2 3" xfId="41841"/>
    <cellStyle name="Примечание 17 2 10 2 3" xfId="26700"/>
    <cellStyle name="Примечание 17 2 10 2 4" xfId="36575"/>
    <cellStyle name="Примечание 17 2 10 3" xfId="14049"/>
    <cellStyle name="Примечание 17 2 10 3 2" xfId="16692"/>
    <cellStyle name="Примечание 17 2 10 3 2 2" xfId="30507"/>
    <cellStyle name="Примечание 17 2 10 3 2 3" xfId="40382"/>
    <cellStyle name="Примечание 17 2 10 3 3" xfId="19332"/>
    <cellStyle name="Примечание 17 2 10 3 3 2" xfId="33142"/>
    <cellStyle name="Примечание 17 2 10 3 3 3" xfId="43011"/>
    <cellStyle name="Примечание 17 2 10 3 4" xfId="27870"/>
    <cellStyle name="Примечание 17 2 10 3 5" xfId="37745"/>
    <cellStyle name="Примечание 17 2 10 4" xfId="15547"/>
    <cellStyle name="Примечание 17 2 10 4 2" xfId="29366"/>
    <cellStyle name="Примечание 17 2 10 4 3" xfId="39241"/>
    <cellStyle name="Примечание 17 2 10 5" xfId="25274"/>
    <cellStyle name="Примечание 17 2 10 6" xfId="35149"/>
    <cellStyle name="Примечание 17 2 11" xfId="2902"/>
    <cellStyle name="Примечание 17 2 11 2" xfId="12872"/>
    <cellStyle name="Примечание 17 2 11 2 2" xfId="18204"/>
    <cellStyle name="Примечание 17 2 11 2 2 2" xfId="32014"/>
    <cellStyle name="Примечание 17 2 11 2 2 3" xfId="41887"/>
    <cellStyle name="Примечание 17 2 11 2 3" xfId="26746"/>
    <cellStyle name="Примечание 17 2 11 2 4" xfId="36621"/>
    <cellStyle name="Примечание 17 2 11 3" xfId="14095"/>
    <cellStyle name="Примечание 17 2 11 3 2" xfId="16738"/>
    <cellStyle name="Примечание 17 2 11 3 2 2" xfId="30553"/>
    <cellStyle name="Примечание 17 2 11 3 2 3" xfId="40428"/>
    <cellStyle name="Примечание 17 2 11 3 3" xfId="19378"/>
    <cellStyle name="Примечание 17 2 11 3 3 2" xfId="33188"/>
    <cellStyle name="Примечание 17 2 11 3 3 3" xfId="43057"/>
    <cellStyle name="Примечание 17 2 11 3 4" xfId="27916"/>
    <cellStyle name="Примечание 17 2 11 3 5" xfId="37791"/>
    <cellStyle name="Примечание 17 2 11 4" xfId="15593"/>
    <cellStyle name="Примечание 17 2 11 4 2" xfId="29412"/>
    <cellStyle name="Примечание 17 2 11 4 3" xfId="39287"/>
    <cellStyle name="Примечание 17 2 11 5" xfId="25320"/>
    <cellStyle name="Примечание 17 2 11 6" xfId="35195"/>
    <cellStyle name="Примечание 17 2 12" xfId="2956"/>
    <cellStyle name="Примечание 17 2 12 2" xfId="12925"/>
    <cellStyle name="Примечание 17 2 12 2 2" xfId="18257"/>
    <cellStyle name="Примечание 17 2 12 2 2 2" xfId="32067"/>
    <cellStyle name="Примечание 17 2 12 2 2 3" xfId="41940"/>
    <cellStyle name="Примечание 17 2 12 2 3" xfId="26799"/>
    <cellStyle name="Примечание 17 2 12 2 4" xfId="36674"/>
    <cellStyle name="Примечание 17 2 12 3" xfId="14148"/>
    <cellStyle name="Примечание 17 2 12 3 2" xfId="16791"/>
    <cellStyle name="Примечание 17 2 12 3 2 2" xfId="30606"/>
    <cellStyle name="Примечание 17 2 12 3 2 3" xfId="40481"/>
    <cellStyle name="Примечание 17 2 12 3 3" xfId="19431"/>
    <cellStyle name="Примечание 17 2 12 3 3 2" xfId="33241"/>
    <cellStyle name="Примечание 17 2 12 3 3 3" xfId="43110"/>
    <cellStyle name="Примечание 17 2 12 3 4" xfId="27969"/>
    <cellStyle name="Примечание 17 2 12 3 5" xfId="37844"/>
    <cellStyle name="Примечание 17 2 12 4" xfId="15646"/>
    <cellStyle name="Примечание 17 2 12 4 2" xfId="29465"/>
    <cellStyle name="Примечание 17 2 12 4 3" xfId="39340"/>
    <cellStyle name="Примечание 17 2 12 5" xfId="25373"/>
    <cellStyle name="Примечание 17 2 12 6" xfId="35248"/>
    <cellStyle name="Примечание 17 2 13" xfId="3005"/>
    <cellStyle name="Примечание 17 2 13 2" xfId="12972"/>
    <cellStyle name="Примечание 17 2 13 2 2" xfId="18304"/>
    <cellStyle name="Примечание 17 2 13 2 2 2" xfId="32114"/>
    <cellStyle name="Примечание 17 2 13 2 2 3" xfId="41987"/>
    <cellStyle name="Примечание 17 2 13 2 3" xfId="26846"/>
    <cellStyle name="Примечание 17 2 13 2 4" xfId="36721"/>
    <cellStyle name="Примечание 17 2 13 3" xfId="14195"/>
    <cellStyle name="Примечание 17 2 13 3 2" xfId="16838"/>
    <cellStyle name="Примечание 17 2 13 3 2 2" xfId="30653"/>
    <cellStyle name="Примечание 17 2 13 3 2 3" xfId="40528"/>
    <cellStyle name="Примечание 17 2 13 3 3" xfId="19478"/>
    <cellStyle name="Примечание 17 2 13 3 3 2" xfId="33288"/>
    <cellStyle name="Примечание 17 2 13 3 3 3" xfId="43157"/>
    <cellStyle name="Примечание 17 2 13 3 4" xfId="28016"/>
    <cellStyle name="Примечание 17 2 13 3 5" xfId="37891"/>
    <cellStyle name="Примечание 17 2 13 4" xfId="15685"/>
    <cellStyle name="Примечание 17 2 13 4 2" xfId="29504"/>
    <cellStyle name="Примечание 17 2 13 4 3" xfId="39379"/>
    <cellStyle name="Примечание 17 2 13 5" xfId="25420"/>
    <cellStyle name="Примечание 17 2 13 6" xfId="35295"/>
    <cellStyle name="Примечание 17 2 14" xfId="11812"/>
    <cellStyle name="Примечание 17 2 14 2" xfId="14710"/>
    <cellStyle name="Примечание 17 2 14 2 2" xfId="19993"/>
    <cellStyle name="Примечание 17 2 14 2 2 2" xfId="33803"/>
    <cellStyle name="Примечание 17 2 14 2 2 3" xfId="43671"/>
    <cellStyle name="Примечание 17 2 14 2 3" xfId="28530"/>
    <cellStyle name="Примечание 17 2 14 2 4" xfId="38405"/>
    <cellStyle name="Примечание 17 2 14 3" xfId="14245"/>
    <cellStyle name="Примечание 17 2 14 3 2" xfId="16888"/>
    <cellStyle name="Примечание 17 2 14 3 2 2" xfId="30703"/>
    <cellStyle name="Примечание 17 2 14 3 2 3" xfId="40578"/>
    <cellStyle name="Примечание 17 2 14 3 3" xfId="19528"/>
    <cellStyle name="Примечание 17 2 14 3 3 2" xfId="33338"/>
    <cellStyle name="Примечание 17 2 14 3 3 3" xfId="43207"/>
    <cellStyle name="Примечание 17 2 14 3 4" xfId="28066"/>
    <cellStyle name="Примечание 17 2 14 3 5" xfId="37941"/>
    <cellStyle name="Примечание 17 2 14 4" xfId="15943"/>
    <cellStyle name="Примечание 17 2 14 4 2" xfId="24567"/>
    <cellStyle name="Примечание 17 2 14 4 3" xfId="29762"/>
    <cellStyle name="Примечание 17 2 14 4 4" xfId="39637"/>
    <cellStyle name="Примечание 17 2 14 5" xfId="25686"/>
    <cellStyle name="Примечание 17 2 14 6" xfId="35561"/>
    <cellStyle name="Примечание 17 2 15" xfId="12384"/>
    <cellStyle name="Примечание 17 2 15 2" xfId="17716"/>
    <cellStyle name="Примечание 17 2 15 2 2" xfId="31526"/>
    <cellStyle name="Примечание 17 2 15 2 3" xfId="41399"/>
    <cellStyle name="Примечание 17 2 15 3" xfId="26258"/>
    <cellStyle name="Примечание 17 2 15 4" xfId="36133"/>
    <cellStyle name="Примечание 17 2 16" xfId="13539"/>
    <cellStyle name="Примечание 17 2 16 2" xfId="16237"/>
    <cellStyle name="Примечание 17 2 16 2 2" xfId="30054"/>
    <cellStyle name="Примечание 17 2 16 2 3" xfId="39929"/>
    <cellStyle name="Примечание 17 2 16 3" xfId="18868"/>
    <cellStyle name="Примечание 17 2 16 3 2" xfId="32678"/>
    <cellStyle name="Примечание 17 2 16 3 3" xfId="42549"/>
    <cellStyle name="Примечание 17 2 16 4" xfId="27408"/>
    <cellStyle name="Примечание 17 2 16 5" xfId="37283"/>
    <cellStyle name="Примечание 17 2 17" xfId="13489"/>
    <cellStyle name="Примечание 17 2 17 2" xfId="18818"/>
    <cellStyle name="Примечание 17 2 17 2 2" xfId="32628"/>
    <cellStyle name="Примечание 17 2 17 2 3" xfId="42499"/>
    <cellStyle name="Примечание 17 2 17 3" xfId="27358"/>
    <cellStyle name="Примечание 17 2 17 4" xfId="37233"/>
    <cellStyle name="Примечание 17 2 18" xfId="17390"/>
    <cellStyle name="Примечание 17 2 18 2" xfId="31201"/>
    <cellStyle name="Примечание 17 2 18 3" xfId="41075"/>
    <cellStyle name="Примечание 17 2 19" xfId="24824"/>
    <cellStyle name="Примечание 17 2 2" xfId="2585"/>
    <cellStyle name="Примечание 17 2 2 2" xfId="10824"/>
    <cellStyle name="Примечание 17 2 2 3" xfId="12571"/>
    <cellStyle name="Примечание 17 2 2 3 2" xfId="17903"/>
    <cellStyle name="Примечание 17 2 2 3 2 2" xfId="31713"/>
    <cellStyle name="Примечание 17 2 2 3 2 3" xfId="41586"/>
    <cellStyle name="Примечание 17 2 2 3 3" xfId="26445"/>
    <cellStyle name="Примечание 17 2 2 3 4" xfId="36320"/>
    <cellStyle name="Примечание 17 2 2 4" xfId="13793"/>
    <cellStyle name="Примечание 17 2 2 4 2" xfId="16436"/>
    <cellStyle name="Примечание 17 2 2 4 2 2" xfId="30252"/>
    <cellStyle name="Примечание 17 2 2 4 2 3" xfId="40127"/>
    <cellStyle name="Примечание 17 2 2 4 3" xfId="19076"/>
    <cellStyle name="Примечание 17 2 2 4 3 2" xfId="32886"/>
    <cellStyle name="Примечание 17 2 2 4 3 3" xfId="42756"/>
    <cellStyle name="Примечание 17 2 2 4 4" xfId="27615"/>
    <cellStyle name="Примечание 17 2 2 4 5" xfId="37490"/>
    <cellStyle name="Примечание 17 2 2 5" xfId="15291"/>
    <cellStyle name="Примечание 17 2 2 5 2" xfId="29111"/>
    <cellStyle name="Примечание 17 2 2 5 3" xfId="38986"/>
    <cellStyle name="Примечание 17 2 2 6" xfId="25019"/>
    <cellStyle name="Примечание 17 2 2 7" xfId="34894"/>
    <cellStyle name="Примечание 17 2 20" xfId="34441"/>
    <cellStyle name="Примечание 17 2 21" xfId="34691"/>
    <cellStyle name="Примечание 17 2 3" xfId="2455"/>
    <cellStyle name="Примечание 17 2 3 2" xfId="12460"/>
    <cellStyle name="Примечание 17 2 3 2 2" xfId="17792"/>
    <cellStyle name="Примечание 17 2 3 2 2 2" xfId="31602"/>
    <cellStyle name="Примечание 17 2 3 2 2 3" xfId="41475"/>
    <cellStyle name="Примечание 17 2 3 2 3" xfId="26334"/>
    <cellStyle name="Примечание 17 2 3 2 4" xfId="36209"/>
    <cellStyle name="Примечание 17 2 3 3" xfId="13682"/>
    <cellStyle name="Примечание 17 2 3 3 2" xfId="16325"/>
    <cellStyle name="Примечание 17 2 3 3 2 2" xfId="30141"/>
    <cellStyle name="Примечание 17 2 3 3 2 3" xfId="40016"/>
    <cellStyle name="Примечание 17 2 3 3 3" xfId="18965"/>
    <cellStyle name="Примечание 17 2 3 3 3 2" xfId="32775"/>
    <cellStyle name="Примечание 17 2 3 3 3 3" xfId="42645"/>
    <cellStyle name="Примечание 17 2 3 3 4" xfId="27504"/>
    <cellStyle name="Примечание 17 2 3 3 5" xfId="37379"/>
    <cellStyle name="Примечание 17 2 3 4" xfId="15180"/>
    <cellStyle name="Примечание 17 2 3 4 2" xfId="29000"/>
    <cellStyle name="Примечание 17 2 3 4 3" xfId="38875"/>
    <cellStyle name="Примечание 17 2 3 5" xfId="24908"/>
    <cellStyle name="Примечание 17 2 3 6" xfId="34783"/>
    <cellStyle name="Примечание 17 2 4" xfId="2520"/>
    <cellStyle name="Примечание 17 2 4 2" xfId="12506"/>
    <cellStyle name="Примечание 17 2 4 2 2" xfId="17838"/>
    <cellStyle name="Примечание 17 2 4 2 2 2" xfId="31648"/>
    <cellStyle name="Примечание 17 2 4 2 2 3" xfId="41521"/>
    <cellStyle name="Примечание 17 2 4 2 3" xfId="26380"/>
    <cellStyle name="Примечание 17 2 4 2 4" xfId="36255"/>
    <cellStyle name="Примечание 17 2 4 3" xfId="13728"/>
    <cellStyle name="Примечание 17 2 4 3 2" xfId="16371"/>
    <cellStyle name="Примечание 17 2 4 3 2 2" xfId="30187"/>
    <cellStyle name="Примечание 17 2 4 3 2 3" xfId="40062"/>
    <cellStyle name="Примечание 17 2 4 3 3" xfId="19011"/>
    <cellStyle name="Примечание 17 2 4 3 3 2" xfId="32821"/>
    <cellStyle name="Примечание 17 2 4 3 3 3" xfId="42691"/>
    <cellStyle name="Примечание 17 2 4 3 4" xfId="27550"/>
    <cellStyle name="Примечание 17 2 4 3 5" xfId="37425"/>
    <cellStyle name="Примечание 17 2 4 4" xfId="15226"/>
    <cellStyle name="Примечание 17 2 4 4 2" xfId="29046"/>
    <cellStyle name="Примечание 17 2 4 4 3" xfId="38921"/>
    <cellStyle name="Примечание 17 2 4 5" xfId="24954"/>
    <cellStyle name="Примечание 17 2 4 6" xfId="34829"/>
    <cellStyle name="Примечание 17 2 5" xfId="2406"/>
    <cellStyle name="Примечание 17 2 5 2" xfId="12411"/>
    <cellStyle name="Примечание 17 2 5 2 2" xfId="17743"/>
    <cellStyle name="Примечание 17 2 5 2 2 2" xfId="31553"/>
    <cellStyle name="Примечание 17 2 5 2 2 3" xfId="41426"/>
    <cellStyle name="Примечание 17 2 5 2 3" xfId="26285"/>
    <cellStyle name="Примечание 17 2 5 2 4" xfId="36160"/>
    <cellStyle name="Примечание 17 2 5 3" xfId="13633"/>
    <cellStyle name="Примечание 17 2 5 3 2" xfId="16276"/>
    <cellStyle name="Примечание 17 2 5 3 2 2" xfId="30092"/>
    <cellStyle name="Примечание 17 2 5 3 2 3" xfId="39967"/>
    <cellStyle name="Примечание 17 2 5 3 3" xfId="18916"/>
    <cellStyle name="Примечание 17 2 5 3 3 2" xfId="32726"/>
    <cellStyle name="Примечание 17 2 5 3 3 3" xfId="42596"/>
    <cellStyle name="Примечание 17 2 5 3 4" xfId="27455"/>
    <cellStyle name="Примечание 17 2 5 3 5" xfId="37330"/>
    <cellStyle name="Примечание 17 2 5 4" xfId="15131"/>
    <cellStyle name="Примечание 17 2 5 4 2" xfId="28951"/>
    <cellStyle name="Примечание 17 2 5 4 3" xfId="38826"/>
    <cellStyle name="Примечание 17 2 5 5" xfId="24859"/>
    <cellStyle name="Примечание 17 2 5 6" xfId="34734"/>
    <cellStyle name="Примечание 17 2 6" xfId="2620"/>
    <cellStyle name="Примечание 17 2 6 2" xfId="12606"/>
    <cellStyle name="Примечание 17 2 6 2 2" xfId="17938"/>
    <cellStyle name="Примечание 17 2 6 2 2 2" xfId="31748"/>
    <cellStyle name="Примечание 17 2 6 2 2 3" xfId="41621"/>
    <cellStyle name="Примечание 17 2 6 2 3" xfId="26480"/>
    <cellStyle name="Примечание 17 2 6 2 4" xfId="36355"/>
    <cellStyle name="Примечание 17 2 6 3" xfId="13828"/>
    <cellStyle name="Примечание 17 2 6 3 2" xfId="16471"/>
    <cellStyle name="Примечание 17 2 6 3 2 2" xfId="30287"/>
    <cellStyle name="Примечание 17 2 6 3 2 3" xfId="40162"/>
    <cellStyle name="Примечание 17 2 6 3 3" xfId="19111"/>
    <cellStyle name="Примечание 17 2 6 3 3 2" xfId="32921"/>
    <cellStyle name="Примечание 17 2 6 3 3 3" xfId="42791"/>
    <cellStyle name="Примечание 17 2 6 3 4" xfId="27650"/>
    <cellStyle name="Примечание 17 2 6 3 5" xfId="37525"/>
    <cellStyle name="Примечание 17 2 6 4" xfId="15326"/>
    <cellStyle name="Примечание 17 2 6 4 2" xfId="29146"/>
    <cellStyle name="Примечание 17 2 6 4 3" xfId="39021"/>
    <cellStyle name="Примечание 17 2 6 5" xfId="25054"/>
    <cellStyle name="Примечание 17 2 6 6" xfId="34929"/>
    <cellStyle name="Примечание 17 2 7" xfId="2748"/>
    <cellStyle name="Примечание 17 2 7 2" xfId="12724"/>
    <cellStyle name="Примечание 17 2 7 2 2" xfId="18056"/>
    <cellStyle name="Примечание 17 2 7 2 2 2" xfId="31866"/>
    <cellStyle name="Примечание 17 2 7 2 2 3" xfId="41739"/>
    <cellStyle name="Примечание 17 2 7 2 3" xfId="26598"/>
    <cellStyle name="Примечание 17 2 7 2 4" xfId="36473"/>
    <cellStyle name="Примечание 17 2 7 3" xfId="13947"/>
    <cellStyle name="Примечание 17 2 7 3 2" xfId="16590"/>
    <cellStyle name="Примечание 17 2 7 3 2 2" xfId="30405"/>
    <cellStyle name="Примечание 17 2 7 3 2 3" xfId="40280"/>
    <cellStyle name="Примечание 17 2 7 3 3" xfId="19230"/>
    <cellStyle name="Примечание 17 2 7 3 3 2" xfId="33040"/>
    <cellStyle name="Примечание 17 2 7 3 3 3" xfId="42909"/>
    <cellStyle name="Примечание 17 2 7 3 4" xfId="27768"/>
    <cellStyle name="Примечание 17 2 7 3 5" xfId="37643"/>
    <cellStyle name="Примечание 17 2 7 4" xfId="15445"/>
    <cellStyle name="Примечание 17 2 7 4 2" xfId="29264"/>
    <cellStyle name="Примечание 17 2 7 4 3" xfId="39139"/>
    <cellStyle name="Примечание 17 2 7 5" xfId="25172"/>
    <cellStyle name="Примечание 17 2 7 6" xfId="35047"/>
    <cellStyle name="Примечание 17 2 8" xfId="2670"/>
    <cellStyle name="Примечание 17 2 8 2" xfId="12656"/>
    <cellStyle name="Примечание 17 2 8 2 2" xfId="17988"/>
    <cellStyle name="Примечание 17 2 8 2 2 2" xfId="31798"/>
    <cellStyle name="Примечание 17 2 8 2 2 3" xfId="41671"/>
    <cellStyle name="Примечание 17 2 8 2 3" xfId="26530"/>
    <cellStyle name="Примечание 17 2 8 2 4" xfId="36405"/>
    <cellStyle name="Примечание 17 2 8 3" xfId="13878"/>
    <cellStyle name="Примечание 17 2 8 3 2" xfId="16521"/>
    <cellStyle name="Примечание 17 2 8 3 2 2" xfId="30337"/>
    <cellStyle name="Примечание 17 2 8 3 2 3" xfId="40212"/>
    <cellStyle name="Примечание 17 2 8 3 3" xfId="19161"/>
    <cellStyle name="Примечание 17 2 8 3 3 2" xfId="32971"/>
    <cellStyle name="Примечание 17 2 8 3 3 3" xfId="42841"/>
    <cellStyle name="Примечание 17 2 8 3 4" xfId="27700"/>
    <cellStyle name="Примечание 17 2 8 3 5" xfId="37575"/>
    <cellStyle name="Примечание 17 2 8 4" xfId="15376"/>
    <cellStyle name="Примечание 17 2 8 4 2" xfId="29196"/>
    <cellStyle name="Примечание 17 2 8 4 3" xfId="39071"/>
    <cellStyle name="Примечание 17 2 8 5" xfId="25104"/>
    <cellStyle name="Примечание 17 2 8 6" xfId="34979"/>
    <cellStyle name="Примечание 17 2 9" xfId="2798"/>
    <cellStyle name="Примечание 17 2 9 2" xfId="12773"/>
    <cellStyle name="Примечание 17 2 9 2 2" xfId="18105"/>
    <cellStyle name="Примечание 17 2 9 2 2 2" xfId="31915"/>
    <cellStyle name="Примечание 17 2 9 2 2 3" xfId="41788"/>
    <cellStyle name="Примечание 17 2 9 2 3" xfId="26647"/>
    <cellStyle name="Примечание 17 2 9 2 4" xfId="36522"/>
    <cellStyle name="Примечание 17 2 9 3" xfId="13996"/>
    <cellStyle name="Примечание 17 2 9 3 2" xfId="16639"/>
    <cellStyle name="Примечание 17 2 9 3 2 2" xfId="30454"/>
    <cellStyle name="Примечание 17 2 9 3 2 3" xfId="40329"/>
    <cellStyle name="Примечание 17 2 9 3 3" xfId="19279"/>
    <cellStyle name="Примечание 17 2 9 3 3 2" xfId="33089"/>
    <cellStyle name="Примечание 17 2 9 3 3 3" xfId="42958"/>
    <cellStyle name="Примечание 17 2 9 3 4" xfId="27817"/>
    <cellStyle name="Примечание 17 2 9 3 5" xfId="37692"/>
    <cellStyle name="Примечание 17 2 9 4" xfId="15494"/>
    <cellStyle name="Примечание 17 2 9 4 2" xfId="29313"/>
    <cellStyle name="Примечание 17 2 9 4 3" xfId="39188"/>
    <cellStyle name="Примечание 17 2 9 5" xfId="25221"/>
    <cellStyle name="Примечание 17 2 9 6" xfId="35096"/>
    <cellStyle name="Примечание 17 20" xfId="13488"/>
    <cellStyle name="Примечание 17 20 2" xfId="18817"/>
    <cellStyle name="Примечание 17 20 2 2" xfId="32627"/>
    <cellStyle name="Примечание 17 20 2 3" xfId="42498"/>
    <cellStyle name="Примечание 17 20 3" xfId="27357"/>
    <cellStyle name="Примечание 17 20 4" xfId="37232"/>
    <cellStyle name="Примечание 17 21" xfId="17389"/>
    <cellStyle name="Примечание 17 21 2" xfId="21123"/>
    <cellStyle name="Примечание 17 21 3" xfId="31200"/>
    <cellStyle name="Примечание 17 21 4" xfId="41074"/>
    <cellStyle name="Примечание 17 22" xfId="23893"/>
    <cellStyle name="Примечание 17 23" xfId="24823"/>
    <cellStyle name="Примечание 17 24" xfId="34440"/>
    <cellStyle name="Примечание 17 25" xfId="34690"/>
    <cellStyle name="Примечание 17 3" xfId="2211"/>
    <cellStyle name="Примечание 17 3 10" xfId="2855"/>
    <cellStyle name="Примечание 17 3 10 2" xfId="12827"/>
    <cellStyle name="Примечание 17 3 10 2 2" xfId="18159"/>
    <cellStyle name="Примечание 17 3 10 2 2 2" xfId="31969"/>
    <cellStyle name="Примечание 17 3 10 2 2 3" xfId="41842"/>
    <cellStyle name="Примечание 17 3 10 2 3" xfId="26701"/>
    <cellStyle name="Примечание 17 3 10 2 4" xfId="36576"/>
    <cellStyle name="Примечание 17 3 10 3" xfId="14050"/>
    <cellStyle name="Примечание 17 3 10 3 2" xfId="16693"/>
    <cellStyle name="Примечание 17 3 10 3 2 2" xfId="30508"/>
    <cellStyle name="Примечание 17 3 10 3 2 3" xfId="40383"/>
    <cellStyle name="Примечание 17 3 10 3 3" xfId="19333"/>
    <cellStyle name="Примечание 17 3 10 3 3 2" xfId="33143"/>
    <cellStyle name="Примечание 17 3 10 3 3 3" xfId="43012"/>
    <cellStyle name="Примечание 17 3 10 3 4" xfId="27871"/>
    <cellStyle name="Примечание 17 3 10 3 5" xfId="37746"/>
    <cellStyle name="Примечание 17 3 10 4" xfId="15548"/>
    <cellStyle name="Примечание 17 3 10 4 2" xfId="29367"/>
    <cellStyle name="Примечание 17 3 10 4 3" xfId="39242"/>
    <cellStyle name="Примечание 17 3 10 5" xfId="25275"/>
    <cellStyle name="Примечание 17 3 10 6" xfId="35150"/>
    <cellStyle name="Примечание 17 3 11" xfId="2903"/>
    <cellStyle name="Примечание 17 3 11 2" xfId="12873"/>
    <cellStyle name="Примечание 17 3 11 2 2" xfId="18205"/>
    <cellStyle name="Примечание 17 3 11 2 2 2" xfId="32015"/>
    <cellStyle name="Примечание 17 3 11 2 2 3" xfId="41888"/>
    <cellStyle name="Примечание 17 3 11 2 3" xfId="26747"/>
    <cellStyle name="Примечание 17 3 11 2 4" xfId="36622"/>
    <cellStyle name="Примечание 17 3 11 3" xfId="14096"/>
    <cellStyle name="Примечание 17 3 11 3 2" xfId="16739"/>
    <cellStyle name="Примечание 17 3 11 3 2 2" xfId="30554"/>
    <cellStyle name="Примечание 17 3 11 3 2 3" xfId="40429"/>
    <cellStyle name="Примечание 17 3 11 3 3" xfId="19379"/>
    <cellStyle name="Примечание 17 3 11 3 3 2" xfId="33189"/>
    <cellStyle name="Примечание 17 3 11 3 3 3" xfId="43058"/>
    <cellStyle name="Примечание 17 3 11 3 4" xfId="27917"/>
    <cellStyle name="Примечание 17 3 11 3 5" xfId="37792"/>
    <cellStyle name="Примечание 17 3 11 4" xfId="15594"/>
    <cellStyle name="Примечание 17 3 11 4 2" xfId="29413"/>
    <cellStyle name="Примечание 17 3 11 4 3" xfId="39288"/>
    <cellStyle name="Примечание 17 3 11 5" xfId="25321"/>
    <cellStyle name="Примечание 17 3 11 6" xfId="35196"/>
    <cellStyle name="Примечание 17 3 12" xfId="2957"/>
    <cellStyle name="Примечание 17 3 12 2" xfId="12926"/>
    <cellStyle name="Примечание 17 3 12 2 2" xfId="18258"/>
    <cellStyle name="Примечание 17 3 12 2 2 2" xfId="32068"/>
    <cellStyle name="Примечание 17 3 12 2 2 3" xfId="41941"/>
    <cellStyle name="Примечание 17 3 12 2 3" xfId="26800"/>
    <cellStyle name="Примечание 17 3 12 2 4" xfId="36675"/>
    <cellStyle name="Примечание 17 3 12 3" xfId="14149"/>
    <cellStyle name="Примечание 17 3 12 3 2" xfId="16792"/>
    <cellStyle name="Примечание 17 3 12 3 2 2" xfId="30607"/>
    <cellStyle name="Примечание 17 3 12 3 2 3" xfId="40482"/>
    <cellStyle name="Примечание 17 3 12 3 3" xfId="19432"/>
    <cellStyle name="Примечание 17 3 12 3 3 2" xfId="33242"/>
    <cellStyle name="Примечание 17 3 12 3 3 3" xfId="43111"/>
    <cellStyle name="Примечание 17 3 12 3 4" xfId="27970"/>
    <cellStyle name="Примечание 17 3 12 3 5" xfId="37845"/>
    <cellStyle name="Примечание 17 3 12 4" xfId="15647"/>
    <cellStyle name="Примечание 17 3 12 4 2" xfId="29466"/>
    <cellStyle name="Примечание 17 3 12 4 3" xfId="39341"/>
    <cellStyle name="Примечание 17 3 12 5" xfId="25374"/>
    <cellStyle name="Примечание 17 3 12 6" xfId="35249"/>
    <cellStyle name="Примечание 17 3 13" xfId="3006"/>
    <cellStyle name="Примечание 17 3 13 2" xfId="12973"/>
    <cellStyle name="Примечание 17 3 13 2 2" xfId="18305"/>
    <cellStyle name="Примечание 17 3 13 2 2 2" xfId="32115"/>
    <cellStyle name="Примечание 17 3 13 2 2 3" xfId="41988"/>
    <cellStyle name="Примечание 17 3 13 2 3" xfId="26847"/>
    <cellStyle name="Примечание 17 3 13 2 4" xfId="36722"/>
    <cellStyle name="Примечание 17 3 13 3" xfId="14196"/>
    <cellStyle name="Примечание 17 3 13 3 2" xfId="16839"/>
    <cellStyle name="Примечание 17 3 13 3 2 2" xfId="30654"/>
    <cellStyle name="Примечание 17 3 13 3 2 3" xfId="40529"/>
    <cellStyle name="Примечание 17 3 13 3 3" xfId="19479"/>
    <cellStyle name="Примечание 17 3 13 3 3 2" xfId="33289"/>
    <cellStyle name="Примечание 17 3 13 3 3 3" xfId="43158"/>
    <cellStyle name="Примечание 17 3 13 3 4" xfId="28017"/>
    <cellStyle name="Примечание 17 3 13 3 5" xfId="37892"/>
    <cellStyle name="Примечание 17 3 13 4" xfId="15686"/>
    <cellStyle name="Примечание 17 3 13 4 2" xfId="29505"/>
    <cellStyle name="Примечание 17 3 13 4 3" xfId="39380"/>
    <cellStyle name="Примечание 17 3 13 5" xfId="25421"/>
    <cellStyle name="Примечание 17 3 13 6" xfId="35296"/>
    <cellStyle name="Примечание 17 3 14" xfId="11813"/>
    <cellStyle name="Примечание 17 3 14 2" xfId="14711"/>
    <cellStyle name="Примечание 17 3 14 2 2" xfId="19994"/>
    <cellStyle name="Примечание 17 3 14 2 2 2" xfId="33804"/>
    <cellStyle name="Примечание 17 3 14 2 2 3" xfId="43672"/>
    <cellStyle name="Примечание 17 3 14 2 3" xfId="28531"/>
    <cellStyle name="Примечание 17 3 14 2 4" xfId="38406"/>
    <cellStyle name="Примечание 17 3 14 3" xfId="13051"/>
    <cellStyle name="Примечание 17 3 14 3 2" xfId="16002"/>
    <cellStyle name="Примечание 17 3 14 3 2 2" xfId="29821"/>
    <cellStyle name="Примечание 17 3 14 3 2 3" xfId="39696"/>
    <cellStyle name="Примечание 17 3 14 3 3" xfId="18383"/>
    <cellStyle name="Примечание 17 3 14 3 3 2" xfId="32193"/>
    <cellStyle name="Примечание 17 3 14 3 3 3" xfId="42066"/>
    <cellStyle name="Примечание 17 3 14 3 4" xfId="26925"/>
    <cellStyle name="Примечание 17 3 14 3 5" xfId="36800"/>
    <cellStyle name="Примечание 17 3 14 4" xfId="15944"/>
    <cellStyle name="Примечание 17 3 14 4 2" xfId="24568"/>
    <cellStyle name="Примечание 17 3 14 4 3" xfId="29763"/>
    <cellStyle name="Примечание 17 3 14 4 4" xfId="39638"/>
    <cellStyle name="Примечание 17 3 14 5" xfId="25687"/>
    <cellStyle name="Примечание 17 3 14 6" xfId="35562"/>
    <cellStyle name="Примечание 17 3 15" xfId="12385"/>
    <cellStyle name="Примечание 17 3 15 2" xfId="17717"/>
    <cellStyle name="Примечание 17 3 15 2 2" xfId="31527"/>
    <cellStyle name="Примечание 17 3 15 2 3" xfId="41400"/>
    <cellStyle name="Примечание 17 3 15 3" xfId="26259"/>
    <cellStyle name="Примечание 17 3 15 4" xfId="36134"/>
    <cellStyle name="Примечание 17 3 16" xfId="13540"/>
    <cellStyle name="Примечание 17 3 16 2" xfId="16238"/>
    <cellStyle name="Примечание 17 3 16 2 2" xfId="30055"/>
    <cellStyle name="Примечание 17 3 16 2 3" xfId="39930"/>
    <cellStyle name="Примечание 17 3 16 3" xfId="18869"/>
    <cellStyle name="Примечание 17 3 16 3 2" xfId="32679"/>
    <cellStyle name="Примечание 17 3 16 3 3" xfId="42550"/>
    <cellStyle name="Примечание 17 3 16 4" xfId="27409"/>
    <cellStyle name="Примечание 17 3 16 5" xfId="37284"/>
    <cellStyle name="Примечание 17 3 17" xfId="13490"/>
    <cellStyle name="Примечание 17 3 17 2" xfId="18819"/>
    <cellStyle name="Примечание 17 3 17 2 2" xfId="32629"/>
    <cellStyle name="Примечание 17 3 17 2 3" xfId="42500"/>
    <cellStyle name="Примечание 17 3 17 3" xfId="27359"/>
    <cellStyle name="Примечание 17 3 17 4" xfId="37234"/>
    <cellStyle name="Примечание 17 3 18" xfId="17391"/>
    <cellStyle name="Примечание 17 3 18 2" xfId="31202"/>
    <cellStyle name="Примечание 17 3 18 3" xfId="41076"/>
    <cellStyle name="Примечание 17 3 19" xfId="24825"/>
    <cellStyle name="Примечание 17 3 2" xfId="2586"/>
    <cellStyle name="Примечание 17 3 2 2" xfId="10825"/>
    <cellStyle name="Примечание 17 3 2 3" xfId="12572"/>
    <cellStyle name="Примечание 17 3 2 3 2" xfId="17904"/>
    <cellStyle name="Примечание 17 3 2 3 2 2" xfId="31714"/>
    <cellStyle name="Примечание 17 3 2 3 2 3" xfId="41587"/>
    <cellStyle name="Примечание 17 3 2 3 3" xfId="26446"/>
    <cellStyle name="Примечание 17 3 2 3 4" xfId="36321"/>
    <cellStyle name="Примечание 17 3 2 4" xfId="13794"/>
    <cellStyle name="Примечание 17 3 2 4 2" xfId="16437"/>
    <cellStyle name="Примечание 17 3 2 4 2 2" xfId="30253"/>
    <cellStyle name="Примечание 17 3 2 4 2 3" xfId="40128"/>
    <cellStyle name="Примечание 17 3 2 4 3" xfId="19077"/>
    <cellStyle name="Примечание 17 3 2 4 3 2" xfId="32887"/>
    <cellStyle name="Примечание 17 3 2 4 3 3" xfId="42757"/>
    <cellStyle name="Примечание 17 3 2 4 4" xfId="27616"/>
    <cellStyle name="Примечание 17 3 2 4 5" xfId="37491"/>
    <cellStyle name="Примечание 17 3 2 5" xfId="15292"/>
    <cellStyle name="Примечание 17 3 2 5 2" xfId="29112"/>
    <cellStyle name="Примечание 17 3 2 5 3" xfId="38987"/>
    <cellStyle name="Примечание 17 3 2 6" xfId="25020"/>
    <cellStyle name="Примечание 17 3 2 7" xfId="34895"/>
    <cellStyle name="Примечание 17 3 20" xfId="34442"/>
    <cellStyle name="Примечание 17 3 21" xfId="34692"/>
    <cellStyle name="Примечание 17 3 3" xfId="2454"/>
    <cellStyle name="Примечание 17 3 3 2" xfId="12459"/>
    <cellStyle name="Примечание 17 3 3 2 2" xfId="17791"/>
    <cellStyle name="Примечание 17 3 3 2 2 2" xfId="31601"/>
    <cellStyle name="Примечание 17 3 3 2 2 3" xfId="41474"/>
    <cellStyle name="Примечание 17 3 3 2 3" xfId="26333"/>
    <cellStyle name="Примечание 17 3 3 2 4" xfId="36208"/>
    <cellStyle name="Примечание 17 3 3 3" xfId="13681"/>
    <cellStyle name="Примечание 17 3 3 3 2" xfId="16324"/>
    <cellStyle name="Примечание 17 3 3 3 2 2" xfId="30140"/>
    <cellStyle name="Примечание 17 3 3 3 2 3" xfId="40015"/>
    <cellStyle name="Примечание 17 3 3 3 3" xfId="18964"/>
    <cellStyle name="Примечание 17 3 3 3 3 2" xfId="32774"/>
    <cellStyle name="Примечание 17 3 3 3 3 3" xfId="42644"/>
    <cellStyle name="Примечание 17 3 3 3 4" xfId="27503"/>
    <cellStyle name="Примечание 17 3 3 3 5" xfId="37378"/>
    <cellStyle name="Примечание 17 3 3 4" xfId="15179"/>
    <cellStyle name="Примечание 17 3 3 4 2" xfId="28999"/>
    <cellStyle name="Примечание 17 3 3 4 3" xfId="38874"/>
    <cellStyle name="Примечание 17 3 3 5" xfId="24907"/>
    <cellStyle name="Примечание 17 3 3 6" xfId="34782"/>
    <cellStyle name="Примечание 17 3 4" xfId="2521"/>
    <cellStyle name="Примечание 17 3 4 2" xfId="12507"/>
    <cellStyle name="Примечание 17 3 4 2 2" xfId="17839"/>
    <cellStyle name="Примечание 17 3 4 2 2 2" xfId="31649"/>
    <cellStyle name="Примечание 17 3 4 2 2 3" xfId="41522"/>
    <cellStyle name="Примечание 17 3 4 2 3" xfId="26381"/>
    <cellStyle name="Примечание 17 3 4 2 4" xfId="36256"/>
    <cellStyle name="Примечание 17 3 4 3" xfId="13729"/>
    <cellStyle name="Примечание 17 3 4 3 2" xfId="16372"/>
    <cellStyle name="Примечание 17 3 4 3 2 2" xfId="30188"/>
    <cellStyle name="Примечание 17 3 4 3 2 3" xfId="40063"/>
    <cellStyle name="Примечание 17 3 4 3 3" xfId="19012"/>
    <cellStyle name="Примечание 17 3 4 3 3 2" xfId="32822"/>
    <cellStyle name="Примечание 17 3 4 3 3 3" xfId="42692"/>
    <cellStyle name="Примечание 17 3 4 3 4" xfId="27551"/>
    <cellStyle name="Примечание 17 3 4 3 5" xfId="37426"/>
    <cellStyle name="Примечание 17 3 4 4" xfId="15227"/>
    <cellStyle name="Примечание 17 3 4 4 2" xfId="29047"/>
    <cellStyle name="Примечание 17 3 4 4 3" xfId="38922"/>
    <cellStyle name="Примечание 17 3 4 5" xfId="24955"/>
    <cellStyle name="Примечание 17 3 4 6" xfId="34830"/>
    <cellStyle name="Примечание 17 3 5" xfId="2405"/>
    <cellStyle name="Примечание 17 3 5 2" xfId="12410"/>
    <cellStyle name="Примечание 17 3 5 2 2" xfId="17742"/>
    <cellStyle name="Примечание 17 3 5 2 2 2" xfId="31552"/>
    <cellStyle name="Примечание 17 3 5 2 2 3" xfId="41425"/>
    <cellStyle name="Примечание 17 3 5 2 3" xfId="26284"/>
    <cellStyle name="Примечание 17 3 5 2 4" xfId="36159"/>
    <cellStyle name="Примечание 17 3 5 3" xfId="13632"/>
    <cellStyle name="Примечание 17 3 5 3 2" xfId="16275"/>
    <cellStyle name="Примечание 17 3 5 3 2 2" xfId="30091"/>
    <cellStyle name="Примечание 17 3 5 3 2 3" xfId="39966"/>
    <cellStyle name="Примечание 17 3 5 3 3" xfId="18915"/>
    <cellStyle name="Примечание 17 3 5 3 3 2" xfId="32725"/>
    <cellStyle name="Примечание 17 3 5 3 3 3" xfId="42595"/>
    <cellStyle name="Примечание 17 3 5 3 4" xfId="27454"/>
    <cellStyle name="Примечание 17 3 5 3 5" xfId="37329"/>
    <cellStyle name="Примечание 17 3 5 4" xfId="15130"/>
    <cellStyle name="Примечание 17 3 5 4 2" xfId="28950"/>
    <cellStyle name="Примечание 17 3 5 4 3" xfId="38825"/>
    <cellStyle name="Примечание 17 3 5 5" xfId="24858"/>
    <cellStyle name="Примечание 17 3 5 6" xfId="34733"/>
    <cellStyle name="Примечание 17 3 6" xfId="2621"/>
    <cellStyle name="Примечание 17 3 6 2" xfId="12607"/>
    <cellStyle name="Примечание 17 3 6 2 2" xfId="17939"/>
    <cellStyle name="Примечание 17 3 6 2 2 2" xfId="31749"/>
    <cellStyle name="Примечание 17 3 6 2 2 3" xfId="41622"/>
    <cellStyle name="Примечание 17 3 6 2 3" xfId="26481"/>
    <cellStyle name="Примечание 17 3 6 2 4" xfId="36356"/>
    <cellStyle name="Примечание 17 3 6 3" xfId="13829"/>
    <cellStyle name="Примечание 17 3 6 3 2" xfId="16472"/>
    <cellStyle name="Примечание 17 3 6 3 2 2" xfId="30288"/>
    <cellStyle name="Примечание 17 3 6 3 2 3" xfId="40163"/>
    <cellStyle name="Примечание 17 3 6 3 3" xfId="19112"/>
    <cellStyle name="Примечание 17 3 6 3 3 2" xfId="32922"/>
    <cellStyle name="Примечание 17 3 6 3 3 3" xfId="42792"/>
    <cellStyle name="Примечание 17 3 6 3 4" xfId="27651"/>
    <cellStyle name="Примечание 17 3 6 3 5" xfId="37526"/>
    <cellStyle name="Примечание 17 3 6 4" xfId="15327"/>
    <cellStyle name="Примечание 17 3 6 4 2" xfId="29147"/>
    <cellStyle name="Примечание 17 3 6 4 3" xfId="39022"/>
    <cellStyle name="Примечание 17 3 6 5" xfId="25055"/>
    <cellStyle name="Примечание 17 3 6 6" xfId="34930"/>
    <cellStyle name="Примечание 17 3 7" xfId="2749"/>
    <cellStyle name="Примечание 17 3 7 2" xfId="12725"/>
    <cellStyle name="Примечание 17 3 7 2 2" xfId="18057"/>
    <cellStyle name="Примечание 17 3 7 2 2 2" xfId="31867"/>
    <cellStyle name="Примечание 17 3 7 2 2 3" xfId="41740"/>
    <cellStyle name="Примечание 17 3 7 2 3" xfId="26599"/>
    <cellStyle name="Примечание 17 3 7 2 4" xfId="36474"/>
    <cellStyle name="Примечание 17 3 7 3" xfId="13948"/>
    <cellStyle name="Примечание 17 3 7 3 2" xfId="16591"/>
    <cellStyle name="Примечание 17 3 7 3 2 2" xfId="30406"/>
    <cellStyle name="Примечание 17 3 7 3 2 3" xfId="40281"/>
    <cellStyle name="Примечание 17 3 7 3 3" xfId="19231"/>
    <cellStyle name="Примечание 17 3 7 3 3 2" xfId="33041"/>
    <cellStyle name="Примечание 17 3 7 3 3 3" xfId="42910"/>
    <cellStyle name="Примечание 17 3 7 3 4" xfId="27769"/>
    <cellStyle name="Примечание 17 3 7 3 5" xfId="37644"/>
    <cellStyle name="Примечание 17 3 7 4" xfId="15446"/>
    <cellStyle name="Примечание 17 3 7 4 2" xfId="29265"/>
    <cellStyle name="Примечание 17 3 7 4 3" xfId="39140"/>
    <cellStyle name="Примечание 17 3 7 5" xfId="25173"/>
    <cellStyle name="Примечание 17 3 7 6" xfId="35048"/>
    <cellStyle name="Примечание 17 3 8" xfId="2671"/>
    <cellStyle name="Примечание 17 3 8 2" xfId="12657"/>
    <cellStyle name="Примечание 17 3 8 2 2" xfId="17989"/>
    <cellStyle name="Примечание 17 3 8 2 2 2" xfId="31799"/>
    <cellStyle name="Примечание 17 3 8 2 2 3" xfId="41672"/>
    <cellStyle name="Примечание 17 3 8 2 3" xfId="26531"/>
    <cellStyle name="Примечание 17 3 8 2 4" xfId="36406"/>
    <cellStyle name="Примечание 17 3 8 3" xfId="13879"/>
    <cellStyle name="Примечание 17 3 8 3 2" xfId="16522"/>
    <cellStyle name="Примечание 17 3 8 3 2 2" xfId="30338"/>
    <cellStyle name="Примечание 17 3 8 3 2 3" xfId="40213"/>
    <cellStyle name="Примечание 17 3 8 3 3" xfId="19162"/>
    <cellStyle name="Примечание 17 3 8 3 3 2" xfId="32972"/>
    <cellStyle name="Примечание 17 3 8 3 3 3" xfId="42842"/>
    <cellStyle name="Примечание 17 3 8 3 4" xfId="27701"/>
    <cellStyle name="Примечание 17 3 8 3 5" xfId="37576"/>
    <cellStyle name="Примечание 17 3 8 4" xfId="15377"/>
    <cellStyle name="Примечание 17 3 8 4 2" xfId="29197"/>
    <cellStyle name="Примечание 17 3 8 4 3" xfId="39072"/>
    <cellStyle name="Примечание 17 3 8 5" xfId="25105"/>
    <cellStyle name="Примечание 17 3 8 6" xfId="34980"/>
    <cellStyle name="Примечание 17 3 9" xfId="2799"/>
    <cellStyle name="Примечание 17 3 9 2" xfId="12774"/>
    <cellStyle name="Примечание 17 3 9 2 2" xfId="18106"/>
    <cellStyle name="Примечание 17 3 9 2 2 2" xfId="31916"/>
    <cellStyle name="Примечание 17 3 9 2 2 3" xfId="41789"/>
    <cellStyle name="Примечание 17 3 9 2 3" xfId="26648"/>
    <cellStyle name="Примечание 17 3 9 2 4" xfId="36523"/>
    <cellStyle name="Примечание 17 3 9 3" xfId="13997"/>
    <cellStyle name="Примечание 17 3 9 3 2" xfId="16640"/>
    <cellStyle name="Примечание 17 3 9 3 2 2" xfId="30455"/>
    <cellStyle name="Примечание 17 3 9 3 2 3" xfId="40330"/>
    <cellStyle name="Примечание 17 3 9 3 3" xfId="19280"/>
    <cellStyle name="Примечание 17 3 9 3 3 2" xfId="33090"/>
    <cellStyle name="Примечание 17 3 9 3 3 3" xfId="42959"/>
    <cellStyle name="Примечание 17 3 9 3 4" xfId="27818"/>
    <cellStyle name="Примечание 17 3 9 3 5" xfId="37693"/>
    <cellStyle name="Примечание 17 3 9 4" xfId="15495"/>
    <cellStyle name="Примечание 17 3 9 4 2" xfId="29314"/>
    <cellStyle name="Примечание 17 3 9 4 3" xfId="39189"/>
    <cellStyle name="Примечание 17 3 9 5" xfId="25222"/>
    <cellStyle name="Примечание 17 3 9 6" xfId="35097"/>
    <cellStyle name="Примечание 17 4" xfId="2584"/>
    <cellStyle name="Примечание 17 4 2" xfId="10818"/>
    <cellStyle name="Примечание 17 4 3" xfId="12570"/>
    <cellStyle name="Примечание 17 4 3 2" xfId="17902"/>
    <cellStyle name="Примечание 17 4 3 2 2" xfId="31712"/>
    <cellStyle name="Примечание 17 4 3 2 3" xfId="41585"/>
    <cellStyle name="Примечание 17 4 3 3" xfId="26444"/>
    <cellStyle name="Примечание 17 4 3 4" xfId="36319"/>
    <cellStyle name="Примечание 17 4 4" xfId="13792"/>
    <cellStyle name="Примечание 17 4 4 2" xfId="16435"/>
    <cellStyle name="Примечание 17 4 4 2 2" xfId="30251"/>
    <cellStyle name="Примечание 17 4 4 2 3" xfId="40126"/>
    <cellStyle name="Примечание 17 4 4 3" xfId="19075"/>
    <cellStyle name="Примечание 17 4 4 3 2" xfId="32885"/>
    <cellStyle name="Примечание 17 4 4 3 3" xfId="42755"/>
    <cellStyle name="Примечание 17 4 4 4" xfId="27614"/>
    <cellStyle name="Примечание 17 4 4 5" xfId="37489"/>
    <cellStyle name="Примечание 17 4 5" xfId="15290"/>
    <cellStyle name="Примечание 17 4 5 2" xfId="29110"/>
    <cellStyle name="Примечание 17 4 5 3" xfId="38985"/>
    <cellStyle name="Примечание 17 4 6" xfId="25018"/>
    <cellStyle name="Примечание 17 4 7" xfId="34893"/>
    <cellStyle name="Примечание 17 5" xfId="2456"/>
    <cellStyle name="Примечание 17 5 2" xfId="10826"/>
    <cellStyle name="Примечание 17 5 3" xfId="12461"/>
    <cellStyle name="Примечание 17 5 3 2" xfId="17793"/>
    <cellStyle name="Примечание 17 5 3 2 2" xfId="31603"/>
    <cellStyle name="Примечание 17 5 3 2 3" xfId="41476"/>
    <cellStyle name="Примечание 17 5 3 3" xfId="26335"/>
    <cellStyle name="Примечание 17 5 3 4" xfId="36210"/>
    <cellStyle name="Примечание 17 5 4" xfId="13683"/>
    <cellStyle name="Примечание 17 5 4 2" xfId="16326"/>
    <cellStyle name="Примечание 17 5 4 2 2" xfId="30142"/>
    <cellStyle name="Примечание 17 5 4 2 3" xfId="40017"/>
    <cellStyle name="Примечание 17 5 4 3" xfId="18966"/>
    <cellStyle name="Примечание 17 5 4 3 2" xfId="32776"/>
    <cellStyle name="Примечание 17 5 4 3 3" xfId="42646"/>
    <cellStyle name="Примечание 17 5 4 4" xfId="27505"/>
    <cellStyle name="Примечание 17 5 4 5" xfId="37380"/>
    <cellStyle name="Примечание 17 5 5" xfId="15181"/>
    <cellStyle name="Примечание 17 5 5 2" xfId="29001"/>
    <cellStyle name="Примечание 17 5 5 3" xfId="38876"/>
    <cellStyle name="Примечание 17 5 6" xfId="24909"/>
    <cellStyle name="Примечание 17 5 7" xfId="34784"/>
    <cellStyle name="Примечание 17 6" xfId="2519"/>
    <cellStyle name="Примечание 17 6 2" xfId="10827"/>
    <cellStyle name="Примечание 17 6 3" xfId="12505"/>
    <cellStyle name="Примечание 17 6 3 2" xfId="17837"/>
    <cellStyle name="Примечание 17 6 3 2 2" xfId="31647"/>
    <cellStyle name="Примечание 17 6 3 2 3" xfId="41520"/>
    <cellStyle name="Примечание 17 6 3 3" xfId="26379"/>
    <cellStyle name="Примечание 17 6 3 4" xfId="36254"/>
    <cellStyle name="Примечание 17 6 4" xfId="13727"/>
    <cellStyle name="Примечание 17 6 4 2" xfId="16370"/>
    <cellStyle name="Примечание 17 6 4 2 2" xfId="30186"/>
    <cellStyle name="Примечание 17 6 4 2 3" xfId="40061"/>
    <cellStyle name="Примечание 17 6 4 3" xfId="19010"/>
    <cellStyle name="Примечание 17 6 4 3 2" xfId="32820"/>
    <cellStyle name="Примечание 17 6 4 3 3" xfId="42690"/>
    <cellStyle name="Примечание 17 6 4 4" xfId="27549"/>
    <cellStyle name="Примечание 17 6 4 5" xfId="37424"/>
    <cellStyle name="Примечание 17 6 5" xfId="15225"/>
    <cellStyle name="Примечание 17 6 5 2" xfId="29045"/>
    <cellStyle name="Примечание 17 6 5 3" xfId="38920"/>
    <cellStyle name="Примечание 17 6 6" xfId="24953"/>
    <cellStyle name="Примечание 17 6 7" xfId="34828"/>
    <cellStyle name="Примечание 17 7" xfId="2407"/>
    <cellStyle name="Примечание 17 7 2" xfId="10828"/>
    <cellStyle name="Примечание 17 7 3" xfId="12412"/>
    <cellStyle name="Примечание 17 7 3 2" xfId="17744"/>
    <cellStyle name="Примечание 17 7 3 2 2" xfId="31554"/>
    <cellStyle name="Примечание 17 7 3 2 3" xfId="41427"/>
    <cellStyle name="Примечание 17 7 3 3" xfId="26286"/>
    <cellStyle name="Примечание 17 7 3 4" xfId="36161"/>
    <cellStyle name="Примечание 17 7 4" xfId="13634"/>
    <cellStyle name="Примечание 17 7 4 2" xfId="16277"/>
    <cellStyle name="Примечание 17 7 4 2 2" xfId="30093"/>
    <cellStyle name="Примечание 17 7 4 2 3" xfId="39968"/>
    <cellStyle name="Примечание 17 7 4 3" xfId="18917"/>
    <cellStyle name="Примечание 17 7 4 3 2" xfId="32727"/>
    <cellStyle name="Примечание 17 7 4 3 3" xfId="42597"/>
    <cellStyle name="Примечание 17 7 4 4" xfId="27456"/>
    <cellStyle name="Примечание 17 7 4 5" xfId="37331"/>
    <cellStyle name="Примечание 17 7 5" xfId="15132"/>
    <cellStyle name="Примечание 17 7 5 2" xfId="28952"/>
    <cellStyle name="Примечание 17 7 5 3" xfId="38827"/>
    <cellStyle name="Примечание 17 7 6" xfId="24860"/>
    <cellStyle name="Примечание 17 7 7" xfId="34735"/>
    <cellStyle name="Примечание 17 8" xfId="2619"/>
    <cellStyle name="Примечание 17 8 2" xfId="10829"/>
    <cellStyle name="Примечание 17 8 3" xfId="12605"/>
    <cellStyle name="Примечание 17 8 3 2" xfId="17937"/>
    <cellStyle name="Примечание 17 8 3 2 2" xfId="31747"/>
    <cellStyle name="Примечание 17 8 3 2 3" xfId="41620"/>
    <cellStyle name="Примечание 17 8 3 3" xfId="26479"/>
    <cellStyle name="Примечание 17 8 3 4" xfId="36354"/>
    <cellStyle name="Примечание 17 8 4" xfId="13827"/>
    <cellStyle name="Примечание 17 8 4 2" xfId="16470"/>
    <cellStyle name="Примечание 17 8 4 2 2" xfId="30286"/>
    <cellStyle name="Примечание 17 8 4 2 3" xfId="40161"/>
    <cellStyle name="Примечание 17 8 4 3" xfId="19110"/>
    <cellStyle name="Примечание 17 8 4 3 2" xfId="32920"/>
    <cellStyle name="Примечание 17 8 4 3 3" xfId="42790"/>
    <cellStyle name="Примечание 17 8 4 4" xfId="27649"/>
    <cellStyle name="Примечание 17 8 4 5" xfId="37524"/>
    <cellStyle name="Примечание 17 8 5" xfId="15325"/>
    <cellStyle name="Примечание 17 8 5 2" xfId="29145"/>
    <cellStyle name="Примечание 17 8 5 3" xfId="39020"/>
    <cellStyle name="Примечание 17 8 6" xfId="25053"/>
    <cellStyle name="Примечание 17 8 7" xfId="34928"/>
    <cellStyle name="Примечание 17 9" xfId="2747"/>
    <cellStyle name="Примечание 17 9 2" xfId="10830"/>
    <cellStyle name="Примечание 17 9 3" xfId="12723"/>
    <cellStyle name="Примечание 17 9 3 2" xfId="18055"/>
    <cellStyle name="Примечание 17 9 3 2 2" xfId="31865"/>
    <cellStyle name="Примечание 17 9 3 2 3" xfId="41738"/>
    <cellStyle name="Примечание 17 9 3 3" xfId="26597"/>
    <cellStyle name="Примечание 17 9 3 4" xfId="36472"/>
    <cellStyle name="Примечание 17 9 4" xfId="13946"/>
    <cellStyle name="Примечание 17 9 4 2" xfId="16589"/>
    <cellStyle name="Примечание 17 9 4 2 2" xfId="30404"/>
    <cellStyle name="Примечание 17 9 4 2 3" xfId="40279"/>
    <cellStyle name="Примечание 17 9 4 3" xfId="19229"/>
    <cellStyle name="Примечание 17 9 4 3 2" xfId="33039"/>
    <cellStyle name="Примечание 17 9 4 3 3" xfId="42908"/>
    <cellStyle name="Примечание 17 9 4 4" xfId="27767"/>
    <cellStyle name="Примечание 17 9 4 5" xfId="37642"/>
    <cellStyle name="Примечание 17 9 5" xfId="15444"/>
    <cellStyle name="Примечание 17 9 5 2" xfId="29263"/>
    <cellStyle name="Примечание 17 9 5 3" xfId="39138"/>
    <cellStyle name="Примечание 17 9 6" xfId="25171"/>
    <cellStyle name="Примечание 17 9 7" xfId="35046"/>
    <cellStyle name="Примечание 18" xfId="2212"/>
    <cellStyle name="Примечание 18 10" xfId="2800"/>
    <cellStyle name="Примечание 18 10 2" xfId="12775"/>
    <cellStyle name="Примечание 18 10 2 2" xfId="18107"/>
    <cellStyle name="Примечание 18 10 2 2 2" xfId="31917"/>
    <cellStyle name="Примечание 18 10 2 2 3" xfId="41790"/>
    <cellStyle name="Примечание 18 10 2 3" xfId="26649"/>
    <cellStyle name="Примечание 18 10 2 4" xfId="36524"/>
    <cellStyle name="Примечание 18 10 3" xfId="13998"/>
    <cellStyle name="Примечание 18 10 3 2" xfId="16641"/>
    <cellStyle name="Примечание 18 10 3 2 2" xfId="30456"/>
    <cellStyle name="Примечание 18 10 3 2 3" xfId="40331"/>
    <cellStyle name="Примечание 18 10 3 3" xfId="19281"/>
    <cellStyle name="Примечание 18 10 3 3 2" xfId="33091"/>
    <cellStyle name="Примечание 18 10 3 3 3" xfId="42960"/>
    <cellStyle name="Примечание 18 10 3 4" xfId="27819"/>
    <cellStyle name="Примечание 18 10 3 5" xfId="37694"/>
    <cellStyle name="Примечание 18 10 4" xfId="15496"/>
    <cellStyle name="Примечание 18 10 4 2" xfId="29315"/>
    <cellStyle name="Примечание 18 10 4 3" xfId="39190"/>
    <cellStyle name="Примечание 18 10 5" xfId="25223"/>
    <cellStyle name="Примечание 18 10 6" xfId="35098"/>
    <cellStyle name="Примечание 18 11" xfId="2856"/>
    <cellStyle name="Примечание 18 11 2" xfId="12828"/>
    <cellStyle name="Примечание 18 11 2 2" xfId="18160"/>
    <cellStyle name="Примечание 18 11 2 2 2" xfId="31970"/>
    <cellStyle name="Примечание 18 11 2 2 3" xfId="41843"/>
    <cellStyle name="Примечание 18 11 2 3" xfId="26702"/>
    <cellStyle name="Примечание 18 11 2 4" xfId="36577"/>
    <cellStyle name="Примечание 18 11 3" xfId="14051"/>
    <cellStyle name="Примечание 18 11 3 2" xfId="16694"/>
    <cellStyle name="Примечание 18 11 3 2 2" xfId="30509"/>
    <cellStyle name="Примечание 18 11 3 2 3" xfId="40384"/>
    <cellStyle name="Примечание 18 11 3 3" xfId="19334"/>
    <cellStyle name="Примечание 18 11 3 3 2" xfId="33144"/>
    <cellStyle name="Примечание 18 11 3 3 3" xfId="43013"/>
    <cellStyle name="Примечание 18 11 3 4" xfId="27872"/>
    <cellStyle name="Примечание 18 11 3 5" xfId="37747"/>
    <cellStyle name="Примечание 18 11 4" xfId="15549"/>
    <cellStyle name="Примечание 18 11 4 2" xfId="29368"/>
    <cellStyle name="Примечание 18 11 4 3" xfId="39243"/>
    <cellStyle name="Примечание 18 11 5" xfId="25276"/>
    <cellStyle name="Примечание 18 11 6" xfId="35151"/>
    <cellStyle name="Примечание 18 12" xfId="2904"/>
    <cellStyle name="Примечание 18 12 2" xfId="12874"/>
    <cellStyle name="Примечание 18 12 2 2" xfId="18206"/>
    <cellStyle name="Примечание 18 12 2 2 2" xfId="32016"/>
    <cellStyle name="Примечание 18 12 2 2 3" xfId="41889"/>
    <cellStyle name="Примечание 18 12 2 3" xfId="26748"/>
    <cellStyle name="Примечание 18 12 2 4" xfId="36623"/>
    <cellStyle name="Примечание 18 12 3" xfId="14097"/>
    <cellStyle name="Примечание 18 12 3 2" xfId="16740"/>
    <cellStyle name="Примечание 18 12 3 2 2" xfId="30555"/>
    <cellStyle name="Примечание 18 12 3 2 3" xfId="40430"/>
    <cellStyle name="Примечание 18 12 3 3" xfId="19380"/>
    <cellStyle name="Примечание 18 12 3 3 2" xfId="33190"/>
    <cellStyle name="Примечание 18 12 3 3 3" xfId="43059"/>
    <cellStyle name="Примечание 18 12 3 4" xfId="27918"/>
    <cellStyle name="Примечание 18 12 3 5" xfId="37793"/>
    <cellStyle name="Примечание 18 12 4" xfId="15595"/>
    <cellStyle name="Примечание 18 12 4 2" xfId="29414"/>
    <cellStyle name="Примечание 18 12 4 3" xfId="39289"/>
    <cellStyle name="Примечание 18 12 5" xfId="25322"/>
    <cellStyle name="Примечание 18 12 6" xfId="35197"/>
    <cellStyle name="Примечание 18 13" xfId="2958"/>
    <cellStyle name="Примечание 18 13 2" xfId="12927"/>
    <cellStyle name="Примечание 18 13 2 2" xfId="18259"/>
    <cellStyle name="Примечание 18 13 2 2 2" xfId="32069"/>
    <cellStyle name="Примечание 18 13 2 2 3" xfId="41942"/>
    <cellStyle name="Примечание 18 13 2 3" xfId="26801"/>
    <cellStyle name="Примечание 18 13 2 4" xfId="36676"/>
    <cellStyle name="Примечание 18 13 3" xfId="14150"/>
    <cellStyle name="Примечание 18 13 3 2" xfId="16793"/>
    <cellStyle name="Примечание 18 13 3 2 2" xfId="30608"/>
    <cellStyle name="Примечание 18 13 3 2 3" xfId="40483"/>
    <cellStyle name="Примечание 18 13 3 3" xfId="19433"/>
    <cellStyle name="Примечание 18 13 3 3 2" xfId="33243"/>
    <cellStyle name="Примечание 18 13 3 3 3" xfId="43112"/>
    <cellStyle name="Примечание 18 13 3 4" xfId="27971"/>
    <cellStyle name="Примечание 18 13 3 5" xfId="37846"/>
    <cellStyle name="Примечание 18 13 4" xfId="15648"/>
    <cellStyle name="Примечание 18 13 4 2" xfId="29467"/>
    <cellStyle name="Примечание 18 13 4 3" xfId="39342"/>
    <cellStyle name="Примечание 18 13 5" xfId="25375"/>
    <cellStyle name="Примечание 18 13 6" xfId="35250"/>
    <cellStyle name="Примечание 18 14" xfId="3007"/>
    <cellStyle name="Примечание 18 14 2" xfId="12974"/>
    <cellStyle name="Примечание 18 14 2 2" xfId="18306"/>
    <cellStyle name="Примечание 18 14 2 2 2" xfId="32116"/>
    <cellStyle name="Примечание 18 14 2 2 3" xfId="41989"/>
    <cellStyle name="Примечание 18 14 2 3" xfId="26848"/>
    <cellStyle name="Примечание 18 14 2 4" xfId="36723"/>
    <cellStyle name="Примечание 18 14 3" xfId="14197"/>
    <cellStyle name="Примечание 18 14 3 2" xfId="16840"/>
    <cellStyle name="Примечание 18 14 3 2 2" xfId="30655"/>
    <cellStyle name="Примечание 18 14 3 2 3" xfId="40530"/>
    <cellStyle name="Примечание 18 14 3 3" xfId="19480"/>
    <cellStyle name="Примечание 18 14 3 3 2" xfId="33290"/>
    <cellStyle name="Примечание 18 14 3 3 3" xfId="43159"/>
    <cellStyle name="Примечание 18 14 3 4" xfId="28018"/>
    <cellStyle name="Примечание 18 14 3 5" xfId="37893"/>
    <cellStyle name="Примечание 18 14 4" xfId="15687"/>
    <cellStyle name="Примечание 18 14 4 2" xfId="29506"/>
    <cellStyle name="Примечание 18 14 4 3" xfId="39381"/>
    <cellStyle name="Примечание 18 14 5" xfId="25422"/>
    <cellStyle name="Примечание 18 14 6" xfId="35297"/>
    <cellStyle name="Примечание 18 15" xfId="11814"/>
    <cellStyle name="Примечание 18 15 2" xfId="14712"/>
    <cellStyle name="Примечание 18 15 2 2" xfId="19995"/>
    <cellStyle name="Примечание 18 15 2 2 2" xfId="33805"/>
    <cellStyle name="Примечание 18 15 2 2 3" xfId="43673"/>
    <cellStyle name="Примечание 18 15 2 3" xfId="28532"/>
    <cellStyle name="Примечание 18 15 2 4" xfId="38407"/>
    <cellStyle name="Примечание 18 15 3" xfId="14247"/>
    <cellStyle name="Примечание 18 15 3 2" xfId="16890"/>
    <cellStyle name="Примечание 18 15 3 2 2" xfId="30705"/>
    <cellStyle name="Примечание 18 15 3 2 3" xfId="40580"/>
    <cellStyle name="Примечание 18 15 3 3" xfId="19530"/>
    <cellStyle name="Примечание 18 15 3 3 2" xfId="33340"/>
    <cellStyle name="Примечание 18 15 3 3 3" xfId="43209"/>
    <cellStyle name="Примечание 18 15 3 4" xfId="28068"/>
    <cellStyle name="Примечание 18 15 3 5" xfId="37943"/>
    <cellStyle name="Примечание 18 15 4" xfId="15945"/>
    <cellStyle name="Примечание 18 15 4 2" xfId="24569"/>
    <cellStyle name="Примечание 18 15 4 3" xfId="29764"/>
    <cellStyle name="Примечание 18 15 4 4" xfId="39639"/>
    <cellStyle name="Примечание 18 15 5" xfId="25688"/>
    <cellStyle name="Примечание 18 15 6" xfId="35563"/>
    <cellStyle name="Примечание 18 16" xfId="12386"/>
    <cellStyle name="Примечание 18 16 2" xfId="17718"/>
    <cellStyle name="Примечание 18 16 2 2" xfId="31528"/>
    <cellStyle name="Примечание 18 16 2 3" xfId="41401"/>
    <cellStyle name="Примечание 18 16 3" xfId="26260"/>
    <cellStyle name="Примечание 18 16 4" xfId="36135"/>
    <cellStyle name="Примечание 18 17" xfId="13541"/>
    <cellStyle name="Примечание 18 17 2" xfId="16239"/>
    <cellStyle name="Примечание 18 17 2 2" xfId="30056"/>
    <cellStyle name="Примечание 18 17 2 3" xfId="39931"/>
    <cellStyle name="Примечание 18 17 3" xfId="18870"/>
    <cellStyle name="Примечание 18 17 3 2" xfId="32680"/>
    <cellStyle name="Примечание 18 17 3 3" xfId="42551"/>
    <cellStyle name="Примечание 18 17 4" xfId="27410"/>
    <cellStyle name="Примечание 18 17 5" xfId="37285"/>
    <cellStyle name="Примечание 18 18" xfId="13491"/>
    <cellStyle name="Примечание 18 18 2" xfId="18820"/>
    <cellStyle name="Примечание 18 18 2 2" xfId="32630"/>
    <cellStyle name="Примечание 18 18 2 3" xfId="42501"/>
    <cellStyle name="Примечание 18 18 3" xfId="27360"/>
    <cellStyle name="Примечание 18 18 4" xfId="37235"/>
    <cellStyle name="Примечание 18 19" xfId="17392"/>
    <cellStyle name="Примечание 18 19 2" xfId="31203"/>
    <cellStyle name="Примечание 18 19 3" xfId="41077"/>
    <cellStyle name="Примечание 18 2" xfId="2213"/>
    <cellStyle name="Примечание 18 2 2" xfId="10832"/>
    <cellStyle name="Примечание 18 2 3" xfId="3219"/>
    <cellStyle name="Примечание 18 2 3 2" xfId="13006"/>
    <cellStyle name="Примечание 18 2 3 2 2" xfId="18338"/>
    <cellStyle name="Примечание 18 2 3 2 2 2" xfId="32148"/>
    <cellStyle name="Примечание 18 2 3 2 2 3" xfId="42021"/>
    <cellStyle name="Примечание 18 2 3 2 3" xfId="26880"/>
    <cellStyle name="Примечание 18 2 3 2 4" xfId="36755"/>
    <cellStyle name="Примечание 18 2 3 3" xfId="14229"/>
    <cellStyle name="Примечание 18 2 3 3 2" xfId="16872"/>
    <cellStyle name="Примечание 18 2 3 3 2 2" xfId="30687"/>
    <cellStyle name="Примечание 18 2 3 3 2 3" xfId="40562"/>
    <cellStyle name="Примечание 18 2 3 3 3" xfId="19512"/>
    <cellStyle name="Примечание 18 2 3 3 3 2" xfId="33322"/>
    <cellStyle name="Примечание 18 2 3 3 3 3" xfId="43191"/>
    <cellStyle name="Примечание 18 2 3 3 4" xfId="28050"/>
    <cellStyle name="Примечание 18 2 3 3 5" xfId="37925"/>
    <cellStyle name="Примечание 18 2 3 4" xfId="15711"/>
    <cellStyle name="Примечание 18 2 3 4 2" xfId="29530"/>
    <cellStyle name="Примечание 18 2 3 4 3" xfId="39405"/>
    <cellStyle name="Примечание 18 2 3 5" xfId="25454"/>
    <cellStyle name="Примечание 18 2 3 6" xfId="35329"/>
    <cellStyle name="Примечание 18 2 4" xfId="11815"/>
    <cellStyle name="Примечание 18 2 4 2" xfId="14713"/>
    <cellStyle name="Примечание 18 2 4 2 2" xfId="19996"/>
    <cellStyle name="Примечание 18 2 4 2 2 2" xfId="33806"/>
    <cellStyle name="Примечание 18 2 4 2 2 3" xfId="43674"/>
    <cellStyle name="Примечание 18 2 4 2 3" xfId="28533"/>
    <cellStyle name="Примечание 18 2 4 2 4" xfId="38408"/>
    <cellStyle name="Примечание 18 2 4 3" xfId="14248"/>
    <cellStyle name="Примечание 18 2 4 3 2" xfId="16891"/>
    <cellStyle name="Примечание 18 2 4 3 2 2" xfId="30706"/>
    <cellStyle name="Примечание 18 2 4 3 2 3" xfId="40581"/>
    <cellStyle name="Примечание 18 2 4 3 3" xfId="19531"/>
    <cellStyle name="Примечание 18 2 4 3 3 2" xfId="33341"/>
    <cellStyle name="Примечание 18 2 4 3 3 3" xfId="43210"/>
    <cellStyle name="Примечание 18 2 4 3 4" xfId="28069"/>
    <cellStyle name="Примечание 18 2 4 3 5" xfId="37944"/>
    <cellStyle name="Примечание 18 2 4 4" xfId="15946"/>
    <cellStyle name="Примечание 18 2 4 4 2" xfId="24570"/>
    <cellStyle name="Примечание 18 2 4 4 3" xfId="29765"/>
    <cellStyle name="Примечание 18 2 4 4 4" xfId="39640"/>
    <cellStyle name="Примечание 18 2 4 5" xfId="25689"/>
    <cellStyle name="Примечание 18 2 4 6" xfId="35564"/>
    <cellStyle name="Примечание 18 2 5" xfId="12404"/>
    <cellStyle name="Примечание 18 2 5 2" xfId="17736"/>
    <cellStyle name="Примечание 18 2 5 2 2" xfId="31546"/>
    <cellStyle name="Примечание 18 2 5 2 3" xfId="41419"/>
    <cellStyle name="Примечание 18 2 5 3" xfId="26278"/>
    <cellStyle name="Примечание 18 2 5 4" xfId="36153"/>
    <cellStyle name="Примечание 18 2 6" xfId="13614"/>
    <cellStyle name="Примечание 18 2 6 2" xfId="16266"/>
    <cellStyle name="Примечание 18 2 6 2 2" xfId="30082"/>
    <cellStyle name="Примечание 18 2 6 2 3" xfId="39957"/>
    <cellStyle name="Примечание 18 2 6 3" xfId="18897"/>
    <cellStyle name="Примечание 18 2 6 3 2" xfId="32707"/>
    <cellStyle name="Примечание 18 2 6 3 3" xfId="42577"/>
    <cellStyle name="Примечание 18 2 6 4" xfId="27436"/>
    <cellStyle name="Примечание 18 2 6 5" xfId="37311"/>
    <cellStyle name="Примечание 18 2 7" xfId="24827"/>
    <cellStyle name="Примечание 18 2 8" xfId="34727"/>
    <cellStyle name="Примечание 18 20" xfId="24826"/>
    <cellStyle name="Примечание 18 21" xfId="34443"/>
    <cellStyle name="Примечание 18 22" xfId="34693"/>
    <cellStyle name="Примечание 18 3" xfId="2587"/>
    <cellStyle name="Примечание 18 3 2" xfId="10831"/>
    <cellStyle name="Примечание 18 3 3" xfId="12573"/>
    <cellStyle name="Примечание 18 3 3 2" xfId="17905"/>
    <cellStyle name="Примечание 18 3 3 2 2" xfId="31715"/>
    <cellStyle name="Примечание 18 3 3 2 3" xfId="41588"/>
    <cellStyle name="Примечание 18 3 3 3" xfId="26447"/>
    <cellStyle name="Примечание 18 3 3 4" xfId="36322"/>
    <cellStyle name="Примечание 18 3 4" xfId="13795"/>
    <cellStyle name="Примечание 18 3 4 2" xfId="16438"/>
    <cellStyle name="Примечание 18 3 4 2 2" xfId="30254"/>
    <cellStyle name="Примечание 18 3 4 2 3" xfId="40129"/>
    <cellStyle name="Примечание 18 3 4 3" xfId="19078"/>
    <cellStyle name="Примечание 18 3 4 3 2" xfId="32888"/>
    <cellStyle name="Примечание 18 3 4 3 3" xfId="42758"/>
    <cellStyle name="Примечание 18 3 4 4" xfId="27617"/>
    <cellStyle name="Примечание 18 3 4 5" xfId="37492"/>
    <cellStyle name="Примечание 18 3 5" xfId="15293"/>
    <cellStyle name="Примечание 18 3 5 2" xfId="29113"/>
    <cellStyle name="Примечание 18 3 5 3" xfId="38988"/>
    <cellStyle name="Примечание 18 3 6" xfId="25021"/>
    <cellStyle name="Примечание 18 3 7" xfId="34896"/>
    <cellStyle name="Примечание 18 4" xfId="2453"/>
    <cellStyle name="Примечание 18 4 2" xfId="12458"/>
    <cellStyle name="Примечание 18 4 2 2" xfId="17790"/>
    <cellStyle name="Примечание 18 4 2 2 2" xfId="31600"/>
    <cellStyle name="Примечание 18 4 2 2 3" xfId="41473"/>
    <cellStyle name="Примечание 18 4 2 3" xfId="26332"/>
    <cellStyle name="Примечание 18 4 2 4" xfId="36207"/>
    <cellStyle name="Примечание 18 4 3" xfId="13680"/>
    <cellStyle name="Примечание 18 4 3 2" xfId="16323"/>
    <cellStyle name="Примечание 18 4 3 2 2" xfId="30139"/>
    <cellStyle name="Примечание 18 4 3 2 3" xfId="40014"/>
    <cellStyle name="Примечание 18 4 3 3" xfId="18963"/>
    <cellStyle name="Примечание 18 4 3 3 2" xfId="32773"/>
    <cellStyle name="Примечание 18 4 3 3 3" xfId="42643"/>
    <cellStyle name="Примечание 18 4 3 4" xfId="27502"/>
    <cellStyle name="Примечание 18 4 3 5" xfId="37377"/>
    <cellStyle name="Примечание 18 4 4" xfId="15178"/>
    <cellStyle name="Примечание 18 4 4 2" xfId="28998"/>
    <cellStyle name="Примечание 18 4 4 3" xfId="38873"/>
    <cellStyle name="Примечание 18 4 5" xfId="24906"/>
    <cellStyle name="Примечание 18 4 6" xfId="34781"/>
    <cellStyle name="Примечание 18 5" xfId="2522"/>
    <cellStyle name="Примечание 18 5 2" xfId="12508"/>
    <cellStyle name="Примечание 18 5 2 2" xfId="17840"/>
    <cellStyle name="Примечание 18 5 2 2 2" xfId="31650"/>
    <cellStyle name="Примечание 18 5 2 2 3" xfId="41523"/>
    <cellStyle name="Примечание 18 5 2 3" xfId="26382"/>
    <cellStyle name="Примечание 18 5 2 4" xfId="36257"/>
    <cellStyle name="Примечание 18 5 3" xfId="13730"/>
    <cellStyle name="Примечание 18 5 3 2" xfId="16373"/>
    <cellStyle name="Примечание 18 5 3 2 2" xfId="30189"/>
    <cellStyle name="Примечание 18 5 3 2 3" xfId="40064"/>
    <cellStyle name="Примечание 18 5 3 3" xfId="19013"/>
    <cellStyle name="Примечание 18 5 3 3 2" xfId="32823"/>
    <cellStyle name="Примечание 18 5 3 3 3" xfId="42693"/>
    <cellStyle name="Примечание 18 5 3 4" xfId="27552"/>
    <cellStyle name="Примечание 18 5 3 5" xfId="37427"/>
    <cellStyle name="Примечание 18 5 4" xfId="15228"/>
    <cellStyle name="Примечание 18 5 4 2" xfId="29048"/>
    <cellStyle name="Примечание 18 5 4 3" xfId="38923"/>
    <cellStyle name="Примечание 18 5 5" xfId="24956"/>
    <cellStyle name="Примечание 18 5 6" xfId="34831"/>
    <cellStyle name="Примечание 18 6" xfId="2404"/>
    <cellStyle name="Примечание 18 6 2" xfId="12409"/>
    <cellStyle name="Примечание 18 6 2 2" xfId="17741"/>
    <cellStyle name="Примечание 18 6 2 2 2" xfId="31551"/>
    <cellStyle name="Примечание 18 6 2 2 3" xfId="41424"/>
    <cellStyle name="Примечание 18 6 2 3" xfId="26283"/>
    <cellStyle name="Примечание 18 6 2 4" xfId="36158"/>
    <cellStyle name="Примечание 18 6 3" xfId="13631"/>
    <cellStyle name="Примечание 18 6 3 2" xfId="16274"/>
    <cellStyle name="Примечание 18 6 3 2 2" xfId="30090"/>
    <cellStyle name="Примечание 18 6 3 2 3" xfId="39965"/>
    <cellStyle name="Примечание 18 6 3 3" xfId="18914"/>
    <cellStyle name="Примечание 18 6 3 3 2" xfId="32724"/>
    <cellStyle name="Примечание 18 6 3 3 3" xfId="42594"/>
    <cellStyle name="Примечание 18 6 3 4" xfId="27453"/>
    <cellStyle name="Примечание 18 6 3 5" xfId="37328"/>
    <cellStyle name="Примечание 18 6 4" xfId="15129"/>
    <cellStyle name="Примечание 18 6 4 2" xfId="28949"/>
    <cellStyle name="Примечание 18 6 4 3" xfId="38824"/>
    <cellStyle name="Примечание 18 6 5" xfId="24857"/>
    <cellStyle name="Примечание 18 6 6" xfId="34732"/>
    <cellStyle name="Примечание 18 7" xfId="2622"/>
    <cellStyle name="Примечание 18 7 2" xfId="12608"/>
    <cellStyle name="Примечание 18 7 2 2" xfId="17940"/>
    <cellStyle name="Примечание 18 7 2 2 2" xfId="31750"/>
    <cellStyle name="Примечание 18 7 2 2 3" xfId="41623"/>
    <cellStyle name="Примечание 18 7 2 3" xfId="26482"/>
    <cellStyle name="Примечание 18 7 2 4" xfId="36357"/>
    <cellStyle name="Примечание 18 7 3" xfId="13830"/>
    <cellStyle name="Примечание 18 7 3 2" xfId="16473"/>
    <cellStyle name="Примечание 18 7 3 2 2" xfId="30289"/>
    <cellStyle name="Примечание 18 7 3 2 3" xfId="40164"/>
    <cellStyle name="Примечание 18 7 3 3" xfId="19113"/>
    <cellStyle name="Примечание 18 7 3 3 2" xfId="32923"/>
    <cellStyle name="Примечание 18 7 3 3 3" xfId="42793"/>
    <cellStyle name="Примечание 18 7 3 4" xfId="27652"/>
    <cellStyle name="Примечание 18 7 3 5" xfId="37527"/>
    <cellStyle name="Примечание 18 7 4" xfId="15328"/>
    <cellStyle name="Примечание 18 7 4 2" xfId="29148"/>
    <cellStyle name="Примечание 18 7 4 3" xfId="39023"/>
    <cellStyle name="Примечание 18 7 5" xfId="25056"/>
    <cellStyle name="Примечание 18 7 6" xfId="34931"/>
    <cellStyle name="Примечание 18 8" xfId="2750"/>
    <cellStyle name="Примечание 18 8 2" xfId="12726"/>
    <cellStyle name="Примечание 18 8 2 2" xfId="18058"/>
    <cellStyle name="Примечание 18 8 2 2 2" xfId="31868"/>
    <cellStyle name="Примечание 18 8 2 2 3" xfId="41741"/>
    <cellStyle name="Примечание 18 8 2 3" xfId="26600"/>
    <cellStyle name="Примечание 18 8 2 4" xfId="36475"/>
    <cellStyle name="Примечание 18 8 3" xfId="13949"/>
    <cellStyle name="Примечание 18 8 3 2" xfId="16592"/>
    <cellStyle name="Примечание 18 8 3 2 2" xfId="30407"/>
    <cellStyle name="Примечание 18 8 3 2 3" xfId="40282"/>
    <cellStyle name="Примечание 18 8 3 3" xfId="19232"/>
    <cellStyle name="Примечание 18 8 3 3 2" xfId="33042"/>
    <cellStyle name="Примечание 18 8 3 3 3" xfId="42911"/>
    <cellStyle name="Примечание 18 8 3 4" xfId="27770"/>
    <cellStyle name="Примечание 18 8 3 5" xfId="37645"/>
    <cellStyle name="Примечание 18 8 4" xfId="15447"/>
    <cellStyle name="Примечание 18 8 4 2" xfId="29266"/>
    <cellStyle name="Примечание 18 8 4 3" xfId="39141"/>
    <cellStyle name="Примечание 18 8 5" xfId="25174"/>
    <cellStyle name="Примечание 18 8 6" xfId="35049"/>
    <cellStyle name="Примечание 18 9" xfId="2672"/>
    <cellStyle name="Примечание 18 9 2" xfId="12658"/>
    <cellStyle name="Примечание 18 9 2 2" xfId="17990"/>
    <cellStyle name="Примечание 18 9 2 2 2" xfId="31800"/>
    <cellStyle name="Примечание 18 9 2 2 3" xfId="41673"/>
    <cellStyle name="Примечание 18 9 2 3" xfId="26532"/>
    <cellStyle name="Примечание 18 9 2 4" xfId="36407"/>
    <cellStyle name="Примечание 18 9 3" xfId="13880"/>
    <cellStyle name="Примечание 18 9 3 2" xfId="16523"/>
    <cellStyle name="Примечание 18 9 3 2 2" xfId="30339"/>
    <cellStyle name="Примечание 18 9 3 2 3" xfId="40214"/>
    <cellStyle name="Примечание 18 9 3 3" xfId="19163"/>
    <cellStyle name="Примечание 18 9 3 3 2" xfId="32973"/>
    <cellStyle name="Примечание 18 9 3 3 3" xfId="42843"/>
    <cellStyle name="Примечание 18 9 3 4" xfId="27702"/>
    <cellStyle name="Примечание 18 9 3 5" xfId="37577"/>
    <cellStyle name="Примечание 18 9 4" xfId="15378"/>
    <cellStyle name="Примечание 18 9 4 2" xfId="29198"/>
    <cellStyle name="Примечание 18 9 4 3" xfId="39073"/>
    <cellStyle name="Примечание 18 9 5" xfId="25106"/>
    <cellStyle name="Примечание 18 9 6" xfId="34981"/>
    <cellStyle name="Примечание 19" xfId="2214"/>
    <cellStyle name="Примечание 19 10" xfId="2801"/>
    <cellStyle name="Примечание 19 10 2" xfId="12776"/>
    <cellStyle name="Примечание 19 10 2 2" xfId="18108"/>
    <cellStyle name="Примечание 19 10 2 2 2" xfId="31918"/>
    <cellStyle name="Примечание 19 10 2 2 3" xfId="41791"/>
    <cellStyle name="Примечание 19 10 2 3" xfId="26650"/>
    <cellStyle name="Примечание 19 10 2 4" xfId="36525"/>
    <cellStyle name="Примечание 19 10 3" xfId="13999"/>
    <cellStyle name="Примечание 19 10 3 2" xfId="16642"/>
    <cellStyle name="Примечание 19 10 3 2 2" xfId="30457"/>
    <cellStyle name="Примечание 19 10 3 2 3" xfId="40332"/>
    <cellStyle name="Примечание 19 10 3 3" xfId="19282"/>
    <cellStyle name="Примечание 19 10 3 3 2" xfId="33092"/>
    <cellStyle name="Примечание 19 10 3 3 3" xfId="42961"/>
    <cellStyle name="Примечание 19 10 3 4" xfId="27820"/>
    <cellStyle name="Примечание 19 10 3 5" xfId="37695"/>
    <cellStyle name="Примечание 19 10 4" xfId="15497"/>
    <cellStyle name="Примечание 19 10 4 2" xfId="29316"/>
    <cellStyle name="Примечание 19 10 4 3" xfId="39191"/>
    <cellStyle name="Примечание 19 10 5" xfId="25224"/>
    <cellStyle name="Примечание 19 10 6" xfId="35099"/>
    <cellStyle name="Примечание 19 11" xfId="2857"/>
    <cellStyle name="Примечание 19 11 2" xfId="12829"/>
    <cellStyle name="Примечание 19 11 2 2" xfId="18161"/>
    <cellStyle name="Примечание 19 11 2 2 2" xfId="31971"/>
    <cellStyle name="Примечание 19 11 2 2 3" xfId="41844"/>
    <cellStyle name="Примечание 19 11 2 3" xfId="26703"/>
    <cellStyle name="Примечание 19 11 2 4" xfId="36578"/>
    <cellStyle name="Примечание 19 11 3" xfId="14052"/>
    <cellStyle name="Примечание 19 11 3 2" xfId="16695"/>
    <cellStyle name="Примечание 19 11 3 2 2" xfId="30510"/>
    <cellStyle name="Примечание 19 11 3 2 3" xfId="40385"/>
    <cellStyle name="Примечание 19 11 3 3" xfId="19335"/>
    <cellStyle name="Примечание 19 11 3 3 2" xfId="33145"/>
    <cellStyle name="Примечание 19 11 3 3 3" xfId="43014"/>
    <cellStyle name="Примечание 19 11 3 4" xfId="27873"/>
    <cellStyle name="Примечание 19 11 3 5" xfId="37748"/>
    <cellStyle name="Примечание 19 11 4" xfId="15550"/>
    <cellStyle name="Примечание 19 11 4 2" xfId="29369"/>
    <cellStyle name="Примечание 19 11 4 3" xfId="39244"/>
    <cellStyle name="Примечание 19 11 5" xfId="25277"/>
    <cellStyle name="Примечание 19 11 6" xfId="35152"/>
    <cellStyle name="Примечание 19 12" xfId="2905"/>
    <cellStyle name="Примечание 19 12 2" xfId="12875"/>
    <cellStyle name="Примечание 19 12 2 2" xfId="18207"/>
    <cellStyle name="Примечание 19 12 2 2 2" xfId="32017"/>
    <cellStyle name="Примечание 19 12 2 2 3" xfId="41890"/>
    <cellStyle name="Примечание 19 12 2 3" xfId="26749"/>
    <cellStyle name="Примечание 19 12 2 4" xfId="36624"/>
    <cellStyle name="Примечание 19 12 3" xfId="14098"/>
    <cellStyle name="Примечание 19 12 3 2" xfId="16741"/>
    <cellStyle name="Примечание 19 12 3 2 2" xfId="30556"/>
    <cellStyle name="Примечание 19 12 3 2 3" xfId="40431"/>
    <cellStyle name="Примечание 19 12 3 3" xfId="19381"/>
    <cellStyle name="Примечание 19 12 3 3 2" xfId="33191"/>
    <cellStyle name="Примечание 19 12 3 3 3" xfId="43060"/>
    <cellStyle name="Примечание 19 12 3 4" xfId="27919"/>
    <cellStyle name="Примечание 19 12 3 5" xfId="37794"/>
    <cellStyle name="Примечание 19 12 4" xfId="15596"/>
    <cellStyle name="Примечание 19 12 4 2" xfId="29415"/>
    <cellStyle name="Примечание 19 12 4 3" xfId="39290"/>
    <cellStyle name="Примечание 19 12 5" xfId="25323"/>
    <cellStyle name="Примечание 19 12 6" xfId="35198"/>
    <cellStyle name="Примечание 19 13" xfId="2959"/>
    <cellStyle name="Примечание 19 13 2" xfId="12928"/>
    <cellStyle name="Примечание 19 13 2 2" xfId="18260"/>
    <cellStyle name="Примечание 19 13 2 2 2" xfId="32070"/>
    <cellStyle name="Примечание 19 13 2 2 3" xfId="41943"/>
    <cellStyle name="Примечание 19 13 2 3" xfId="26802"/>
    <cellStyle name="Примечание 19 13 2 4" xfId="36677"/>
    <cellStyle name="Примечание 19 13 3" xfId="14151"/>
    <cellStyle name="Примечание 19 13 3 2" xfId="16794"/>
    <cellStyle name="Примечание 19 13 3 2 2" xfId="30609"/>
    <cellStyle name="Примечание 19 13 3 2 3" xfId="40484"/>
    <cellStyle name="Примечание 19 13 3 3" xfId="19434"/>
    <cellStyle name="Примечание 19 13 3 3 2" xfId="33244"/>
    <cellStyle name="Примечание 19 13 3 3 3" xfId="43113"/>
    <cellStyle name="Примечание 19 13 3 4" xfId="27972"/>
    <cellStyle name="Примечание 19 13 3 5" xfId="37847"/>
    <cellStyle name="Примечание 19 13 4" xfId="15649"/>
    <cellStyle name="Примечание 19 13 4 2" xfId="29468"/>
    <cellStyle name="Примечание 19 13 4 3" xfId="39343"/>
    <cellStyle name="Примечание 19 13 5" xfId="25376"/>
    <cellStyle name="Примечание 19 13 6" xfId="35251"/>
    <cellStyle name="Примечание 19 14" xfId="3008"/>
    <cellStyle name="Примечание 19 14 2" xfId="12975"/>
    <cellStyle name="Примечание 19 14 2 2" xfId="18307"/>
    <cellStyle name="Примечание 19 14 2 2 2" xfId="32117"/>
    <cellStyle name="Примечание 19 14 2 2 3" xfId="41990"/>
    <cellStyle name="Примечание 19 14 2 3" xfId="26849"/>
    <cellStyle name="Примечание 19 14 2 4" xfId="36724"/>
    <cellStyle name="Примечание 19 14 3" xfId="14198"/>
    <cellStyle name="Примечание 19 14 3 2" xfId="16841"/>
    <cellStyle name="Примечание 19 14 3 2 2" xfId="30656"/>
    <cellStyle name="Примечание 19 14 3 2 3" xfId="40531"/>
    <cellStyle name="Примечание 19 14 3 3" xfId="19481"/>
    <cellStyle name="Примечание 19 14 3 3 2" xfId="33291"/>
    <cellStyle name="Примечание 19 14 3 3 3" xfId="43160"/>
    <cellStyle name="Примечание 19 14 3 4" xfId="28019"/>
    <cellStyle name="Примечание 19 14 3 5" xfId="37894"/>
    <cellStyle name="Примечание 19 14 4" xfId="15688"/>
    <cellStyle name="Примечание 19 14 4 2" xfId="29507"/>
    <cellStyle name="Примечание 19 14 4 3" xfId="39382"/>
    <cellStyle name="Примечание 19 14 5" xfId="25423"/>
    <cellStyle name="Примечание 19 14 6" xfId="35298"/>
    <cellStyle name="Примечание 19 15" xfId="11816"/>
    <cellStyle name="Примечание 19 15 2" xfId="14714"/>
    <cellStyle name="Примечание 19 15 2 2" xfId="19997"/>
    <cellStyle name="Примечание 19 15 2 2 2" xfId="33807"/>
    <cellStyle name="Примечание 19 15 2 2 3" xfId="43675"/>
    <cellStyle name="Примечание 19 15 2 3" xfId="28534"/>
    <cellStyle name="Примечание 19 15 2 4" xfId="38409"/>
    <cellStyle name="Примечание 19 15 3" xfId="14428"/>
    <cellStyle name="Примечание 19 15 3 2" xfId="16941"/>
    <cellStyle name="Примечание 19 15 3 2 2" xfId="30755"/>
    <cellStyle name="Примечание 19 15 3 2 3" xfId="40630"/>
    <cellStyle name="Примечание 19 15 3 3" xfId="19711"/>
    <cellStyle name="Примечание 19 15 3 3 2" xfId="33521"/>
    <cellStyle name="Примечание 19 15 3 3 3" xfId="43389"/>
    <cellStyle name="Примечание 19 15 3 4" xfId="28248"/>
    <cellStyle name="Примечание 19 15 3 5" xfId="38123"/>
    <cellStyle name="Примечание 19 15 4" xfId="15947"/>
    <cellStyle name="Примечание 19 15 4 2" xfId="24571"/>
    <cellStyle name="Примечание 19 15 4 3" xfId="29766"/>
    <cellStyle name="Примечание 19 15 4 4" xfId="39641"/>
    <cellStyle name="Примечание 19 15 5" xfId="25690"/>
    <cellStyle name="Примечание 19 15 6" xfId="35565"/>
    <cellStyle name="Примечание 19 16" xfId="12387"/>
    <cellStyle name="Примечание 19 16 2" xfId="17719"/>
    <cellStyle name="Примечание 19 16 2 2" xfId="31529"/>
    <cellStyle name="Примечание 19 16 2 3" xfId="41402"/>
    <cellStyle name="Примечание 19 16 3" xfId="26261"/>
    <cellStyle name="Примечание 19 16 4" xfId="36136"/>
    <cellStyle name="Примечание 19 17" xfId="13542"/>
    <cellStyle name="Примечание 19 17 2" xfId="16240"/>
    <cellStyle name="Примечание 19 17 2 2" xfId="30057"/>
    <cellStyle name="Примечание 19 17 2 3" xfId="39932"/>
    <cellStyle name="Примечание 19 17 3" xfId="18871"/>
    <cellStyle name="Примечание 19 17 3 2" xfId="32681"/>
    <cellStyle name="Примечание 19 17 3 3" xfId="42552"/>
    <cellStyle name="Примечание 19 17 4" xfId="27411"/>
    <cellStyle name="Примечание 19 17 5" xfId="37286"/>
    <cellStyle name="Примечание 19 18" xfId="13492"/>
    <cellStyle name="Примечание 19 18 2" xfId="18821"/>
    <cellStyle name="Примечание 19 18 2 2" xfId="32631"/>
    <cellStyle name="Примечание 19 18 2 3" xfId="42502"/>
    <cellStyle name="Примечание 19 18 3" xfId="27361"/>
    <cellStyle name="Примечание 19 18 4" xfId="37236"/>
    <cellStyle name="Примечание 19 19" xfId="17393"/>
    <cellStyle name="Примечание 19 19 2" xfId="31204"/>
    <cellStyle name="Примечание 19 19 3" xfId="41078"/>
    <cellStyle name="Примечание 19 2" xfId="2215"/>
    <cellStyle name="Примечание 19 2 2" xfId="10834"/>
    <cellStyle name="Примечание 19 2 3" xfId="3220"/>
    <cellStyle name="Примечание 19 2 3 2" xfId="13007"/>
    <cellStyle name="Примечание 19 2 3 2 2" xfId="18339"/>
    <cellStyle name="Примечание 19 2 3 2 2 2" xfId="32149"/>
    <cellStyle name="Примечание 19 2 3 2 2 3" xfId="42022"/>
    <cellStyle name="Примечание 19 2 3 2 3" xfId="26881"/>
    <cellStyle name="Примечание 19 2 3 2 4" xfId="36756"/>
    <cellStyle name="Примечание 19 2 3 3" xfId="14230"/>
    <cellStyle name="Примечание 19 2 3 3 2" xfId="16873"/>
    <cellStyle name="Примечание 19 2 3 3 2 2" xfId="30688"/>
    <cellStyle name="Примечание 19 2 3 3 2 3" xfId="40563"/>
    <cellStyle name="Примечание 19 2 3 3 3" xfId="19513"/>
    <cellStyle name="Примечание 19 2 3 3 3 2" xfId="33323"/>
    <cellStyle name="Примечание 19 2 3 3 3 3" xfId="43192"/>
    <cellStyle name="Примечание 19 2 3 3 4" xfId="28051"/>
    <cellStyle name="Примечание 19 2 3 3 5" xfId="37926"/>
    <cellStyle name="Примечание 19 2 3 4" xfId="15712"/>
    <cellStyle name="Примечание 19 2 3 4 2" xfId="29531"/>
    <cellStyle name="Примечание 19 2 3 4 3" xfId="39406"/>
    <cellStyle name="Примечание 19 2 3 5" xfId="25455"/>
    <cellStyle name="Примечание 19 2 3 6" xfId="35330"/>
    <cellStyle name="Примечание 19 2 4" xfId="11817"/>
    <cellStyle name="Примечание 19 2 4 2" xfId="14715"/>
    <cellStyle name="Примечание 19 2 4 2 2" xfId="19998"/>
    <cellStyle name="Примечание 19 2 4 2 2 2" xfId="33808"/>
    <cellStyle name="Примечание 19 2 4 2 2 3" xfId="43676"/>
    <cellStyle name="Примечание 19 2 4 2 3" xfId="28535"/>
    <cellStyle name="Примечание 19 2 4 2 4" xfId="38410"/>
    <cellStyle name="Примечание 19 2 4 3" xfId="13616"/>
    <cellStyle name="Примечание 19 2 4 3 2" xfId="16268"/>
    <cellStyle name="Примечание 19 2 4 3 2 2" xfId="30084"/>
    <cellStyle name="Примечание 19 2 4 3 2 3" xfId="39959"/>
    <cellStyle name="Примечание 19 2 4 3 3" xfId="18899"/>
    <cellStyle name="Примечание 19 2 4 3 3 2" xfId="32709"/>
    <cellStyle name="Примечание 19 2 4 3 3 3" xfId="42579"/>
    <cellStyle name="Примечание 19 2 4 3 4" xfId="27438"/>
    <cellStyle name="Примечание 19 2 4 3 5" xfId="37313"/>
    <cellStyle name="Примечание 19 2 4 4" xfId="15948"/>
    <cellStyle name="Примечание 19 2 4 4 2" xfId="24572"/>
    <cellStyle name="Примечание 19 2 4 4 3" xfId="29767"/>
    <cellStyle name="Примечание 19 2 4 4 4" xfId="39642"/>
    <cellStyle name="Примечание 19 2 4 5" xfId="25691"/>
    <cellStyle name="Примечание 19 2 4 6" xfId="35566"/>
    <cellStyle name="Примечание 19 2 5" xfId="12405"/>
    <cellStyle name="Примечание 19 2 5 2" xfId="17737"/>
    <cellStyle name="Примечание 19 2 5 2 2" xfId="31547"/>
    <cellStyle name="Примечание 19 2 5 2 3" xfId="41420"/>
    <cellStyle name="Примечание 19 2 5 3" xfId="26279"/>
    <cellStyle name="Примечание 19 2 5 4" xfId="36154"/>
    <cellStyle name="Примечание 19 2 6" xfId="13615"/>
    <cellStyle name="Примечание 19 2 6 2" xfId="16267"/>
    <cellStyle name="Примечание 19 2 6 2 2" xfId="30083"/>
    <cellStyle name="Примечание 19 2 6 2 3" xfId="39958"/>
    <cellStyle name="Примечание 19 2 6 3" xfId="18898"/>
    <cellStyle name="Примечание 19 2 6 3 2" xfId="32708"/>
    <cellStyle name="Примечание 19 2 6 3 3" xfId="42578"/>
    <cellStyle name="Примечание 19 2 6 4" xfId="27437"/>
    <cellStyle name="Примечание 19 2 6 5" xfId="37312"/>
    <cellStyle name="Примечание 19 2 7" xfId="24829"/>
    <cellStyle name="Примечание 19 2 8" xfId="34728"/>
    <cellStyle name="Примечание 19 20" xfId="24828"/>
    <cellStyle name="Примечание 19 21" xfId="34444"/>
    <cellStyle name="Примечание 19 22" xfId="34694"/>
    <cellStyle name="Примечание 19 3" xfId="2588"/>
    <cellStyle name="Примечание 19 3 2" xfId="10833"/>
    <cellStyle name="Примечание 19 3 3" xfId="12574"/>
    <cellStyle name="Примечание 19 3 3 2" xfId="17906"/>
    <cellStyle name="Примечание 19 3 3 2 2" xfId="31716"/>
    <cellStyle name="Примечание 19 3 3 2 3" xfId="41589"/>
    <cellStyle name="Примечание 19 3 3 3" xfId="26448"/>
    <cellStyle name="Примечание 19 3 3 4" xfId="36323"/>
    <cellStyle name="Примечание 19 3 4" xfId="13796"/>
    <cellStyle name="Примечание 19 3 4 2" xfId="16439"/>
    <cellStyle name="Примечание 19 3 4 2 2" xfId="30255"/>
    <cellStyle name="Примечание 19 3 4 2 3" xfId="40130"/>
    <cellStyle name="Примечание 19 3 4 3" xfId="19079"/>
    <cellStyle name="Примечание 19 3 4 3 2" xfId="32889"/>
    <cellStyle name="Примечание 19 3 4 3 3" xfId="42759"/>
    <cellStyle name="Примечание 19 3 4 4" xfId="27618"/>
    <cellStyle name="Примечание 19 3 4 5" xfId="37493"/>
    <cellStyle name="Примечание 19 3 5" xfId="15294"/>
    <cellStyle name="Примечание 19 3 5 2" xfId="29114"/>
    <cellStyle name="Примечание 19 3 5 3" xfId="38989"/>
    <cellStyle name="Примечание 19 3 6" xfId="25022"/>
    <cellStyle name="Примечание 19 3 7" xfId="34897"/>
    <cellStyle name="Примечание 19 4" xfId="2452"/>
    <cellStyle name="Примечание 19 4 2" xfId="12457"/>
    <cellStyle name="Примечание 19 4 2 2" xfId="17789"/>
    <cellStyle name="Примечание 19 4 2 2 2" xfId="31599"/>
    <cellStyle name="Примечание 19 4 2 2 3" xfId="41472"/>
    <cellStyle name="Примечание 19 4 2 3" xfId="26331"/>
    <cellStyle name="Примечание 19 4 2 4" xfId="36206"/>
    <cellStyle name="Примечание 19 4 3" xfId="13679"/>
    <cellStyle name="Примечание 19 4 3 2" xfId="16322"/>
    <cellStyle name="Примечание 19 4 3 2 2" xfId="30138"/>
    <cellStyle name="Примечание 19 4 3 2 3" xfId="40013"/>
    <cellStyle name="Примечание 19 4 3 3" xfId="18962"/>
    <cellStyle name="Примечание 19 4 3 3 2" xfId="32772"/>
    <cellStyle name="Примечание 19 4 3 3 3" xfId="42642"/>
    <cellStyle name="Примечание 19 4 3 4" xfId="27501"/>
    <cellStyle name="Примечание 19 4 3 5" xfId="37376"/>
    <cellStyle name="Примечание 19 4 4" xfId="15177"/>
    <cellStyle name="Примечание 19 4 4 2" xfId="28997"/>
    <cellStyle name="Примечание 19 4 4 3" xfId="38872"/>
    <cellStyle name="Примечание 19 4 5" xfId="24905"/>
    <cellStyle name="Примечание 19 4 6" xfId="34780"/>
    <cellStyle name="Примечание 19 5" xfId="2523"/>
    <cellStyle name="Примечание 19 5 2" xfId="12509"/>
    <cellStyle name="Примечание 19 5 2 2" xfId="17841"/>
    <cellStyle name="Примечание 19 5 2 2 2" xfId="31651"/>
    <cellStyle name="Примечание 19 5 2 2 3" xfId="41524"/>
    <cellStyle name="Примечание 19 5 2 3" xfId="26383"/>
    <cellStyle name="Примечание 19 5 2 4" xfId="36258"/>
    <cellStyle name="Примечание 19 5 3" xfId="13731"/>
    <cellStyle name="Примечание 19 5 3 2" xfId="16374"/>
    <cellStyle name="Примечание 19 5 3 2 2" xfId="30190"/>
    <cellStyle name="Примечание 19 5 3 2 3" xfId="40065"/>
    <cellStyle name="Примечание 19 5 3 3" xfId="19014"/>
    <cellStyle name="Примечание 19 5 3 3 2" xfId="32824"/>
    <cellStyle name="Примечание 19 5 3 3 3" xfId="42694"/>
    <cellStyle name="Примечание 19 5 3 4" xfId="27553"/>
    <cellStyle name="Примечание 19 5 3 5" xfId="37428"/>
    <cellStyle name="Примечание 19 5 4" xfId="15229"/>
    <cellStyle name="Примечание 19 5 4 2" xfId="29049"/>
    <cellStyle name="Примечание 19 5 4 3" xfId="38924"/>
    <cellStyle name="Примечание 19 5 5" xfId="24957"/>
    <cellStyle name="Примечание 19 5 6" xfId="34832"/>
    <cellStyle name="Примечание 19 6" xfId="2403"/>
    <cellStyle name="Примечание 19 6 2" xfId="12408"/>
    <cellStyle name="Примечание 19 6 2 2" xfId="17740"/>
    <cellStyle name="Примечание 19 6 2 2 2" xfId="31550"/>
    <cellStyle name="Примечание 19 6 2 2 3" xfId="41423"/>
    <cellStyle name="Примечание 19 6 2 3" xfId="26282"/>
    <cellStyle name="Примечание 19 6 2 4" xfId="36157"/>
    <cellStyle name="Примечание 19 6 3" xfId="13630"/>
    <cellStyle name="Примечание 19 6 3 2" xfId="16273"/>
    <cellStyle name="Примечание 19 6 3 2 2" xfId="30089"/>
    <cellStyle name="Примечание 19 6 3 2 3" xfId="39964"/>
    <cellStyle name="Примечание 19 6 3 3" xfId="18913"/>
    <cellStyle name="Примечание 19 6 3 3 2" xfId="32723"/>
    <cellStyle name="Примечание 19 6 3 3 3" xfId="42593"/>
    <cellStyle name="Примечание 19 6 3 4" xfId="27452"/>
    <cellStyle name="Примечание 19 6 3 5" xfId="37327"/>
    <cellStyle name="Примечание 19 6 4" xfId="15128"/>
    <cellStyle name="Примечание 19 6 4 2" xfId="28948"/>
    <cellStyle name="Примечание 19 6 4 3" xfId="38823"/>
    <cellStyle name="Примечание 19 6 5" xfId="24856"/>
    <cellStyle name="Примечание 19 6 6" xfId="34731"/>
    <cellStyle name="Примечание 19 7" xfId="2623"/>
    <cellStyle name="Примечание 19 7 2" xfId="12609"/>
    <cellStyle name="Примечание 19 7 2 2" xfId="17941"/>
    <cellStyle name="Примечание 19 7 2 2 2" xfId="31751"/>
    <cellStyle name="Примечание 19 7 2 2 3" xfId="41624"/>
    <cellStyle name="Примечание 19 7 2 3" xfId="26483"/>
    <cellStyle name="Примечание 19 7 2 4" xfId="36358"/>
    <cellStyle name="Примечание 19 7 3" xfId="13831"/>
    <cellStyle name="Примечание 19 7 3 2" xfId="16474"/>
    <cellStyle name="Примечание 19 7 3 2 2" xfId="30290"/>
    <cellStyle name="Примечание 19 7 3 2 3" xfId="40165"/>
    <cellStyle name="Примечание 19 7 3 3" xfId="19114"/>
    <cellStyle name="Примечание 19 7 3 3 2" xfId="32924"/>
    <cellStyle name="Примечание 19 7 3 3 3" xfId="42794"/>
    <cellStyle name="Примечание 19 7 3 4" xfId="27653"/>
    <cellStyle name="Примечание 19 7 3 5" xfId="37528"/>
    <cellStyle name="Примечание 19 7 4" xfId="15329"/>
    <cellStyle name="Примечание 19 7 4 2" xfId="29149"/>
    <cellStyle name="Примечание 19 7 4 3" xfId="39024"/>
    <cellStyle name="Примечание 19 7 5" xfId="25057"/>
    <cellStyle name="Примечание 19 7 6" xfId="34932"/>
    <cellStyle name="Примечание 19 8" xfId="2751"/>
    <cellStyle name="Примечание 19 8 2" xfId="12727"/>
    <cellStyle name="Примечание 19 8 2 2" xfId="18059"/>
    <cellStyle name="Примечание 19 8 2 2 2" xfId="31869"/>
    <cellStyle name="Примечание 19 8 2 2 3" xfId="41742"/>
    <cellStyle name="Примечание 19 8 2 3" xfId="26601"/>
    <cellStyle name="Примечание 19 8 2 4" xfId="36476"/>
    <cellStyle name="Примечание 19 8 3" xfId="13950"/>
    <cellStyle name="Примечание 19 8 3 2" xfId="16593"/>
    <cellStyle name="Примечание 19 8 3 2 2" xfId="30408"/>
    <cellStyle name="Примечание 19 8 3 2 3" xfId="40283"/>
    <cellStyle name="Примечание 19 8 3 3" xfId="19233"/>
    <cellStyle name="Примечание 19 8 3 3 2" xfId="33043"/>
    <cellStyle name="Примечание 19 8 3 3 3" xfId="42912"/>
    <cellStyle name="Примечание 19 8 3 4" xfId="27771"/>
    <cellStyle name="Примечание 19 8 3 5" xfId="37646"/>
    <cellStyle name="Примечание 19 8 4" xfId="15448"/>
    <cellStyle name="Примечание 19 8 4 2" xfId="29267"/>
    <cellStyle name="Примечание 19 8 4 3" xfId="39142"/>
    <cellStyle name="Примечание 19 8 5" xfId="25175"/>
    <cellStyle name="Примечание 19 8 6" xfId="35050"/>
    <cellStyle name="Примечание 19 9" xfId="2673"/>
    <cellStyle name="Примечание 19 9 2" xfId="12659"/>
    <cellStyle name="Примечание 19 9 2 2" xfId="17991"/>
    <cellStyle name="Примечание 19 9 2 2 2" xfId="31801"/>
    <cellStyle name="Примечание 19 9 2 2 3" xfId="41674"/>
    <cellStyle name="Примечание 19 9 2 3" xfId="26533"/>
    <cellStyle name="Примечание 19 9 2 4" xfId="36408"/>
    <cellStyle name="Примечание 19 9 3" xfId="13881"/>
    <cellStyle name="Примечание 19 9 3 2" xfId="16524"/>
    <cellStyle name="Примечание 19 9 3 2 2" xfId="30340"/>
    <cellStyle name="Примечание 19 9 3 2 3" xfId="40215"/>
    <cellStyle name="Примечание 19 9 3 3" xfId="19164"/>
    <cellStyle name="Примечание 19 9 3 3 2" xfId="32974"/>
    <cellStyle name="Примечание 19 9 3 3 3" xfId="42844"/>
    <cellStyle name="Примечание 19 9 3 4" xfId="27703"/>
    <cellStyle name="Примечание 19 9 3 5" xfId="37578"/>
    <cellStyle name="Примечание 19 9 4" xfId="15379"/>
    <cellStyle name="Примечание 19 9 4 2" xfId="29199"/>
    <cellStyle name="Примечание 19 9 4 3" xfId="39074"/>
    <cellStyle name="Примечание 19 9 5" xfId="25107"/>
    <cellStyle name="Примечание 19 9 6" xfId="34982"/>
    <cellStyle name="Примечание 2" xfId="2216"/>
    <cellStyle name="Примечание 2 10" xfId="2674"/>
    <cellStyle name="Примечание 2 10 2" xfId="10836"/>
    <cellStyle name="Примечание 2 10 3" xfId="12660"/>
    <cellStyle name="Примечание 2 10 3 2" xfId="17992"/>
    <cellStyle name="Примечание 2 10 3 2 2" xfId="31802"/>
    <cellStyle name="Примечание 2 10 3 2 3" xfId="41675"/>
    <cellStyle name="Примечание 2 10 3 3" xfId="26534"/>
    <cellStyle name="Примечание 2 10 3 4" xfId="36409"/>
    <cellStyle name="Примечание 2 10 4" xfId="13882"/>
    <cellStyle name="Примечание 2 10 4 2" xfId="16525"/>
    <cellStyle name="Примечание 2 10 4 2 2" xfId="30341"/>
    <cellStyle name="Примечание 2 10 4 2 3" xfId="40216"/>
    <cellStyle name="Примечание 2 10 4 3" xfId="19165"/>
    <cellStyle name="Примечание 2 10 4 3 2" xfId="32975"/>
    <cellStyle name="Примечание 2 10 4 3 3" xfId="42845"/>
    <cellStyle name="Примечание 2 10 4 4" xfId="27704"/>
    <cellStyle name="Примечание 2 10 4 5" xfId="37579"/>
    <cellStyle name="Примечание 2 10 5" xfId="15380"/>
    <cellStyle name="Примечание 2 10 5 2" xfId="29200"/>
    <cellStyle name="Примечание 2 10 5 3" xfId="39075"/>
    <cellStyle name="Примечание 2 10 6" xfId="25108"/>
    <cellStyle name="Примечание 2 10 7" xfId="34983"/>
    <cellStyle name="Примечание 2 11" xfId="2802"/>
    <cellStyle name="Примечание 2 11 2" xfId="10837"/>
    <cellStyle name="Примечание 2 11 3" xfId="12777"/>
    <cellStyle name="Примечание 2 11 3 2" xfId="18109"/>
    <cellStyle name="Примечание 2 11 3 2 2" xfId="31919"/>
    <cellStyle name="Примечание 2 11 3 2 3" xfId="41792"/>
    <cellStyle name="Примечание 2 11 3 3" xfId="26651"/>
    <cellStyle name="Примечание 2 11 3 4" xfId="36526"/>
    <cellStyle name="Примечание 2 11 4" xfId="14000"/>
    <cellStyle name="Примечание 2 11 4 2" xfId="16643"/>
    <cellStyle name="Примечание 2 11 4 2 2" xfId="30458"/>
    <cellStyle name="Примечание 2 11 4 2 3" xfId="40333"/>
    <cellStyle name="Примечание 2 11 4 3" xfId="19283"/>
    <cellStyle name="Примечание 2 11 4 3 2" xfId="33093"/>
    <cellStyle name="Примечание 2 11 4 3 3" xfId="42962"/>
    <cellStyle name="Примечание 2 11 4 4" xfId="27821"/>
    <cellStyle name="Примечание 2 11 4 5" xfId="37696"/>
    <cellStyle name="Примечание 2 11 5" xfId="15498"/>
    <cellStyle name="Примечание 2 11 5 2" xfId="29317"/>
    <cellStyle name="Примечание 2 11 5 3" xfId="39192"/>
    <cellStyle name="Примечание 2 11 6" xfId="25225"/>
    <cellStyle name="Примечание 2 11 7" xfId="35100"/>
    <cellStyle name="Примечание 2 12" xfId="2858"/>
    <cellStyle name="Примечание 2 12 2" xfId="10838"/>
    <cellStyle name="Примечание 2 12 3" xfId="12830"/>
    <cellStyle name="Примечание 2 12 3 2" xfId="18162"/>
    <cellStyle name="Примечание 2 12 3 2 2" xfId="31972"/>
    <cellStyle name="Примечание 2 12 3 2 3" xfId="41845"/>
    <cellStyle name="Примечание 2 12 3 3" xfId="26704"/>
    <cellStyle name="Примечание 2 12 3 4" xfId="36579"/>
    <cellStyle name="Примечание 2 12 4" xfId="14053"/>
    <cellStyle name="Примечание 2 12 4 2" xfId="16696"/>
    <cellStyle name="Примечание 2 12 4 2 2" xfId="30511"/>
    <cellStyle name="Примечание 2 12 4 2 3" xfId="40386"/>
    <cellStyle name="Примечание 2 12 4 3" xfId="19336"/>
    <cellStyle name="Примечание 2 12 4 3 2" xfId="33146"/>
    <cellStyle name="Примечание 2 12 4 3 3" xfId="43015"/>
    <cellStyle name="Примечание 2 12 4 4" xfId="27874"/>
    <cellStyle name="Примечание 2 12 4 5" xfId="37749"/>
    <cellStyle name="Примечание 2 12 5" xfId="15551"/>
    <cellStyle name="Примечание 2 12 5 2" xfId="29370"/>
    <cellStyle name="Примечание 2 12 5 3" xfId="39245"/>
    <cellStyle name="Примечание 2 12 6" xfId="25278"/>
    <cellStyle name="Примечание 2 12 7" xfId="35153"/>
    <cellStyle name="Примечание 2 13" xfId="2906"/>
    <cellStyle name="Примечание 2 13 2" xfId="10839"/>
    <cellStyle name="Примечание 2 13 3" xfId="12876"/>
    <cellStyle name="Примечание 2 13 3 2" xfId="18208"/>
    <cellStyle name="Примечание 2 13 3 2 2" xfId="32018"/>
    <cellStyle name="Примечание 2 13 3 2 3" xfId="41891"/>
    <cellStyle name="Примечание 2 13 3 3" xfId="26750"/>
    <cellStyle name="Примечание 2 13 3 4" xfId="36625"/>
    <cellStyle name="Примечание 2 13 4" xfId="14099"/>
    <cellStyle name="Примечание 2 13 4 2" xfId="16742"/>
    <cellStyle name="Примечание 2 13 4 2 2" xfId="30557"/>
    <cellStyle name="Примечание 2 13 4 2 3" xfId="40432"/>
    <cellStyle name="Примечание 2 13 4 3" xfId="19382"/>
    <cellStyle name="Примечание 2 13 4 3 2" xfId="33192"/>
    <cellStyle name="Примечание 2 13 4 3 3" xfId="43061"/>
    <cellStyle name="Примечание 2 13 4 4" xfId="27920"/>
    <cellStyle name="Примечание 2 13 4 5" xfId="37795"/>
    <cellStyle name="Примечание 2 13 5" xfId="15597"/>
    <cellStyle name="Примечание 2 13 5 2" xfId="29416"/>
    <cellStyle name="Примечание 2 13 5 3" xfId="39291"/>
    <cellStyle name="Примечание 2 13 6" xfId="25324"/>
    <cellStyle name="Примечание 2 13 7" xfId="35199"/>
    <cellStyle name="Примечание 2 14" xfId="2960"/>
    <cellStyle name="Примечание 2 14 2" xfId="10840"/>
    <cellStyle name="Примечание 2 14 3" xfId="12929"/>
    <cellStyle name="Примечание 2 14 3 2" xfId="18261"/>
    <cellStyle name="Примечание 2 14 3 2 2" xfId="32071"/>
    <cellStyle name="Примечание 2 14 3 2 3" xfId="41944"/>
    <cellStyle name="Примечание 2 14 3 3" xfId="26803"/>
    <cellStyle name="Примечание 2 14 3 4" xfId="36678"/>
    <cellStyle name="Примечание 2 14 4" xfId="14152"/>
    <cellStyle name="Примечание 2 14 4 2" xfId="16795"/>
    <cellStyle name="Примечание 2 14 4 2 2" xfId="30610"/>
    <cellStyle name="Примечание 2 14 4 2 3" xfId="40485"/>
    <cellStyle name="Примечание 2 14 4 3" xfId="19435"/>
    <cellStyle name="Примечание 2 14 4 3 2" xfId="33245"/>
    <cellStyle name="Примечание 2 14 4 3 3" xfId="43114"/>
    <cellStyle name="Примечание 2 14 4 4" xfId="27973"/>
    <cellStyle name="Примечание 2 14 4 5" xfId="37848"/>
    <cellStyle name="Примечание 2 14 5" xfId="15650"/>
    <cellStyle name="Примечание 2 14 5 2" xfId="29469"/>
    <cellStyle name="Примечание 2 14 5 3" xfId="39344"/>
    <cellStyle name="Примечание 2 14 6" xfId="25377"/>
    <cellStyle name="Примечание 2 14 7" xfId="35252"/>
    <cellStyle name="Примечание 2 15" xfId="3009"/>
    <cellStyle name="Примечание 2 15 2" xfId="12058"/>
    <cellStyle name="Примечание 2 15 2 2" xfId="14956"/>
    <cellStyle name="Примечание 2 15 2 2 2" xfId="20239"/>
    <cellStyle name="Примечание 2 15 2 2 2 2" xfId="23222"/>
    <cellStyle name="Примечание 2 15 2 2 2 3" xfId="34049"/>
    <cellStyle name="Примечание 2 15 2 2 2 4" xfId="43917"/>
    <cellStyle name="Примечание 2 15 2 2 3" xfId="23510"/>
    <cellStyle name="Примечание 2 15 2 2 4" xfId="28776"/>
    <cellStyle name="Примечание 2 15 2 2 5" xfId="38651"/>
    <cellStyle name="Примечание 2 15 2 3" xfId="13626"/>
    <cellStyle name="Примечание 2 15 2 3 2" xfId="16269"/>
    <cellStyle name="Примечание 2 15 2 3 2 2" xfId="30085"/>
    <cellStyle name="Примечание 2 15 2 3 2 3" xfId="39960"/>
    <cellStyle name="Примечание 2 15 2 3 3" xfId="18909"/>
    <cellStyle name="Примечание 2 15 2 3 3 2" xfId="32719"/>
    <cellStyle name="Примечание 2 15 2 3 3 3" xfId="42589"/>
    <cellStyle name="Примечание 2 15 2 3 4" xfId="27448"/>
    <cellStyle name="Примечание 2 15 2 3 5" xfId="37323"/>
    <cellStyle name="Примечание 2 15 2 4" xfId="15981"/>
    <cellStyle name="Примечание 2 15 2 4 2" xfId="21837"/>
    <cellStyle name="Примечание 2 15 2 4 3" xfId="29800"/>
    <cellStyle name="Примечание 2 15 2 4 4" xfId="39675"/>
    <cellStyle name="Примечание 2 15 2 5" xfId="24134"/>
    <cellStyle name="Примечание 2 15 2 6" xfId="25932"/>
    <cellStyle name="Примечание 2 15 2 7" xfId="35807"/>
    <cellStyle name="Примечание 2 15 3" xfId="12976"/>
    <cellStyle name="Примечание 2 15 3 2" xfId="18308"/>
    <cellStyle name="Примечание 2 15 3 2 2" xfId="32118"/>
    <cellStyle name="Примечание 2 15 3 2 3" xfId="41991"/>
    <cellStyle name="Примечание 2 15 3 3" xfId="23494"/>
    <cellStyle name="Примечание 2 15 3 4" xfId="26850"/>
    <cellStyle name="Примечание 2 15 3 5" xfId="36725"/>
    <cellStyle name="Примечание 2 15 4" xfId="14199"/>
    <cellStyle name="Примечание 2 15 4 2" xfId="16842"/>
    <cellStyle name="Примечание 2 15 4 2 2" xfId="30657"/>
    <cellStyle name="Примечание 2 15 4 2 3" xfId="40532"/>
    <cellStyle name="Примечание 2 15 4 3" xfId="19482"/>
    <cellStyle name="Примечание 2 15 4 3 2" xfId="33292"/>
    <cellStyle name="Примечание 2 15 4 3 3" xfId="43161"/>
    <cellStyle name="Примечание 2 15 4 4" xfId="28020"/>
    <cellStyle name="Примечание 2 15 4 5" xfId="37895"/>
    <cellStyle name="Примечание 2 15 5" xfId="21749"/>
    <cellStyle name="Примечание 2 15 6" xfId="22486"/>
    <cellStyle name="Примечание 2 15 7" xfId="23974"/>
    <cellStyle name="Примечание 2 15 8" xfId="25424"/>
    <cellStyle name="Примечание 2 15 9" xfId="35299"/>
    <cellStyle name="Примечание 2 16" xfId="12138"/>
    <cellStyle name="Примечание 2 16 2" xfId="15036"/>
    <cellStyle name="Примечание 2 16 2 2" xfId="20319"/>
    <cellStyle name="Примечание 2 16 2 2 2" xfId="23238"/>
    <cellStyle name="Примечание 2 16 2 2 3" xfId="34129"/>
    <cellStyle name="Примечание 2 16 2 2 4" xfId="43997"/>
    <cellStyle name="Примечание 2 16 2 3" xfId="23590"/>
    <cellStyle name="Примечание 2 16 2 4" xfId="28856"/>
    <cellStyle name="Примечание 2 16 2 5" xfId="38731"/>
    <cellStyle name="Примечание 2 16 3" xfId="14408"/>
    <cellStyle name="Примечание 2 16 3 2" xfId="16921"/>
    <cellStyle name="Примечание 2 16 3 2 2" xfId="30736"/>
    <cellStyle name="Примечание 2 16 3 2 3" xfId="40611"/>
    <cellStyle name="Примечание 2 16 3 3" xfId="19691"/>
    <cellStyle name="Примечание 2 16 3 3 2" xfId="33501"/>
    <cellStyle name="Примечание 2 16 3 3 3" xfId="43370"/>
    <cellStyle name="Примечание 2 16 3 4" xfId="28229"/>
    <cellStyle name="Примечание 2 16 3 5" xfId="38104"/>
    <cellStyle name="Примечание 2 16 4" xfId="21517"/>
    <cellStyle name="Примечание 2 16 5" xfId="21885"/>
    <cellStyle name="Примечание 2 16 6" xfId="22710"/>
    <cellStyle name="Примечание 2 16 7" xfId="24214"/>
    <cellStyle name="Примечание 2 16 8" xfId="26012"/>
    <cellStyle name="Примечание 2 16 9" xfId="35887"/>
    <cellStyle name="Примечание 2 17" xfId="12218"/>
    <cellStyle name="Примечание 2 17 2" xfId="15116"/>
    <cellStyle name="Примечание 2 17 2 2" xfId="20399"/>
    <cellStyle name="Примечание 2 17 2 2 2" xfId="23254"/>
    <cellStyle name="Примечание 2 17 2 2 3" xfId="34209"/>
    <cellStyle name="Примечание 2 17 2 2 4" xfId="44077"/>
    <cellStyle name="Примечание 2 17 2 3" xfId="23670"/>
    <cellStyle name="Примечание 2 17 2 4" xfId="28936"/>
    <cellStyle name="Примечание 2 17 2 5" xfId="38811"/>
    <cellStyle name="Примечание 2 17 3" xfId="14418"/>
    <cellStyle name="Примечание 2 17 3 2" xfId="16931"/>
    <cellStyle name="Примечание 2 17 3 2 2" xfId="30746"/>
    <cellStyle name="Примечание 2 17 3 2 3" xfId="40621"/>
    <cellStyle name="Примечание 2 17 3 3" xfId="19701"/>
    <cellStyle name="Примечание 2 17 3 3 2" xfId="33511"/>
    <cellStyle name="Примечание 2 17 3 3 3" xfId="43380"/>
    <cellStyle name="Примечание 2 17 3 4" xfId="28239"/>
    <cellStyle name="Примечание 2 17 3 5" xfId="38114"/>
    <cellStyle name="Примечание 2 17 4" xfId="21597"/>
    <cellStyle name="Примечание 2 17 5" xfId="21933"/>
    <cellStyle name="Примечание 2 17 6" xfId="22790"/>
    <cellStyle name="Примечание 2 17 7" xfId="24294"/>
    <cellStyle name="Примечание 2 17 8" xfId="26092"/>
    <cellStyle name="Примечание 2 17 9" xfId="35967"/>
    <cellStyle name="Примечание 2 18" xfId="11818"/>
    <cellStyle name="Примечание 2 18 2" xfId="14716"/>
    <cellStyle name="Примечание 2 18 2 2" xfId="19999"/>
    <cellStyle name="Примечание 2 18 2 2 2" xfId="33809"/>
    <cellStyle name="Примечание 2 18 2 2 3" xfId="43677"/>
    <cellStyle name="Примечание 2 18 2 3" xfId="28536"/>
    <cellStyle name="Примечание 2 18 2 4" xfId="38411"/>
    <cellStyle name="Примечание 2 18 3" xfId="14249"/>
    <cellStyle name="Примечание 2 18 3 2" xfId="16892"/>
    <cellStyle name="Примечание 2 18 3 2 2" xfId="30707"/>
    <cellStyle name="Примечание 2 18 3 2 3" xfId="40582"/>
    <cellStyle name="Примечание 2 18 3 3" xfId="19532"/>
    <cellStyle name="Примечание 2 18 3 3 2" xfId="33342"/>
    <cellStyle name="Примечание 2 18 3 3 3" xfId="43211"/>
    <cellStyle name="Примечание 2 18 3 4" xfId="28070"/>
    <cellStyle name="Примечание 2 18 3 5" xfId="37945"/>
    <cellStyle name="Примечание 2 18 4" xfId="15949"/>
    <cellStyle name="Примечание 2 18 4 2" xfId="23269"/>
    <cellStyle name="Примечание 2 18 4 3" xfId="29768"/>
    <cellStyle name="Примечание 2 18 4 4" xfId="39643"/>
    <cellStyle name="Примечание 2 18 5" xfId="25692"/>
    <cellStyle name="Примечание 2 18 6" xfId="35567"/>
    <cellStyle name="Примечание 2 19" xfId="13543"/>
    <cellStyle name="Примечание 2 19 2" xfId="16241"/>
    <cellStyle name="Примечание 2 19 2 2" xfId="30058"/>
    <cellStyle name="Примечание 2 19 2 3" xfId="39933"/>
    <cellStyle name="Примечание 2 19 3" xfId="18872"/>
    <cellStyle name="Примечание 2 19 3 2" xfId="32682"/>
    <cellStyle name="Примечание 2 19 3 3" xfId="42553"/>
    <cellStyle name="Примечание 2 19 4" xfId="27412"/>
    <cellStyle name="Примечание 2 19 5" xfId="37287"/>
    <cellStyle name="Примечание 2 2" xfId="2217"/>
    <cellStyle name="Примечание 2 2 10" xfId="2859"/>
    <cellStyle name="Примечание 2 2 10 2" xfId="12831"/>
    <cellStyle name="Примечание 2 2 10 2 2" xfId="18163"/>
    <cellStyle name="Примечание 2 2 10 2 2 2" xfId="31973"/>
    <cellStyle name="Примечание 2 2 10 2 2 3" xfId="41846"/>
    <cellStyle name="Примечание 2 2 10 2 3" xfId="26705"/>
    <cellStyle name="Примечание 2 2 10 2 4" xfId="36580"/>
    <cellStyle name="Примечание 2 2 10 3" xfId="14054"/>
    <cellStyle name="Примечание 2 2 10 3 2" xfId="16697"/>
    <cellStyle name="Примечание 2 2 10 3 2 2" xfId="30512"/>
    <cellStyle name="Примечание 2 2 10 3 2 3" xfId="40387"/>
    <cellStyle name="Примечание 2 2 10 3 3" xfId="19337"/>
    <cellStyle name="Примечание 2 2 10 3 3 2" xfId="33147"/>
    <cellStyle name="Примечание 2 2 10 3 3 3" xfId="43016"/>
    <cellStyle name="Примечание 2 2 10 3 4" xfId="27875"/>
    <cellStyle name="Примечание 2 2 10 3 5" xfId="37750"/>
    <cellStyle name="Примечание 2 2 10 4" xfId="15552"/>
    <cellStyle name="Примечание 2 2 10 4 2" xfId="29371"/>
    <cellStyle name="Примечание 2 2 10 4 3" xfId="39246"/>
    <cellStyle name="Примечание 2 2 10 5" xfId="25279"/>
    <cellStyle name="Примечание 2 2 10 6" xfId="35154"/>
    <cellStyle name="Примечание 2 2 11" xfId="2907"/>
    <cellStyle name="Примечание 2 2 11 2" xfId="12877"/>
    <cellStyle name="Примечание 2 2 11 2 2" xfId="18209"/>
    <cellStyle name="Примечание 2 2 11 2 2 2" xfId="32019"/>
    <cellStyle name="Примечание 2 2 11 2 2 3" xfId="41892"/>
    <cellStyle name="Примечание 2 2 11 2 3" xfId="26751"/>
    <cellStyle name="Примечание 2 2 11 2 4" xfId="36626"/>
    <cellStyle name="Примечание 2 2 11 3" xfId="14100"/>
    <cellStyle name="Примечание 2 2 11 3 2" xfId="16743"/>
    <cellStyle name="Примечание 2 2 11 3 2 2" xfId="30558"/>
    <cellStyle name="Примечание 2 2 11 3 2 3" xfId="40433"/>
    <cellStyle name="Примечание 2 2 11 3 3" xfId="19383"/>
    <cellStyle name="Примечание 2 2 11 3 3 2" xfId="33193"/>
    <cellStyle name="Примечание 2 2 11 3 3 3" xfId="43062"/>
    <cellStyle name="Примечание 2 2 11 3 4" xfId="27921"/>
    <cellStyle name="Примечание 2 2 11 3 5" xfId="37796"/>
    <cellStyle name="Примечание 2 2 11 4" xfId="15598"/>
    <cellStyle name="Примечание 2 2 11 4 2" xfId="29417"/>
    <cellStyle name="Примечание 2 2 11 4 3" xfId="39292"/>
    <cellStyle name="Примечание 2 2 11 5" xfId="25325"/>
    <cellStyle name="Примечание 2 2 11 6" xfId="35200"/>
    <cellStyle name="Примечание 2 2 12" xfId="2961"/>
    <cellStyle name="Примечание 2 2 12 2" xfId="12930"/>
    <cellStyle name="Примечание 2 2 12 2 2" xfId="18262"/>
    <cellStyle name="Примечание 2 2 12 2 2 2" xfId="32072"/>
    <cellStyle name="Примечание 2 2 12 2 2 3" xfId="41945"/>
    <cellStyle name="Примечание 2 2 12 2 3" xfId="26804"/>
    <cellStyle name="Примечание 2 2 12 2 4" xfId="36679"/>
    <cellStyle name="Примечание 2 2 12 3" xfId="14153"/>
    <cellStyle name="Примечание 2 2 12 3 2" xfId="16796"/>
    <cellStyle name="Примечание 2 2 12 3 2 2" xfId="30611"/>
    <cellStyle name="Примечание 2 2 12 3 2 3" xfId="40486"/>
    <cellStyle name="Примечание 2 2 12 3 3" xfId="19436"/>
    <cellStyle name="Примечание 2 2 12 3 3 2" xfId="33246"/>
    <cellStyle name="Примечание 2 2 12 3 3 3" xfId="43115"/>
    <cellStyle name="Примечание 2 2 12 3 4" xfId="27974"/>
    <cellStyle name="Примечание 2 2 12 3 5" xfId="37849"/>
    <cellStyle name="Примечание 2 2 12 4" xfId="15651"/>
    <cellStyle name="Примечание 2 2 12 4 2" xfId="29470"/>
    <cellStyle name="Примечание 2 2 12 4 3" xfId="39345"/>
    <cellStyle name="Примечание 2 2 12 5" xfId="25378"/>
    <cellStyle name="Примечание 2 2 12 6" xfId="35253"/>
    <cellStyle name="Примечание 2 2 13" xfId="3010"/>
    <cellStyle name="Примечание 2 2 13 2" xfId="12977"/>
    <cellStyle name="Примечание 2 2 13 2 2" xfId="18309"/>
    <cellStyle name="Примечание 2 2 13 2 2 2" xfId="32119"/>
    <cellStyle name="Примечание 2 2 13 2 2 3" xfId="41992"/>
    <cellStyle name="Примечание 2 2 13 2 3" xfId="26851"/>
    <cellStyle name="Примечание 2 2 13 2 4" xfId="36726"/>
    <cellStyle name="Примечание 2 2 13 3" xfId="14200"/>
    <cellStyle name="Примечание 2 2 13 3 2" xfId="16843"/>
    <cellStyle name="Примечание 2 2 13 3 2 2" xfId="30658"/>
    <cellStyle name="Примечание 2 2 13 3 2 3" xfId="40533"/>
    <cellStyle name="Примечание 2 2 13 3 3" xfId="19483"/>
    <cellStyle name="Примечание 2 2 13 3 3 2" xfId="33293"/>
    <cellStyle name="Примечание 2 2 13 3 3 3" xfId="43162"/>
    <cellStyle name="Примечание 2 2 13 3 4" xfId="28021"/>
    <cellStyle name="Примечание 2 2 13 3 5" xfId="37896"/>
    <cellStyle name="Примечание 2 2 13 4" xfId="15689"/>
    <cellStyle name="Примечание 2 2 13 4 2" xfId="29508"/>
    <cellStyle name="Примечание 2 2 13 4 3" xfId="39383"/>
    <cellStyle name="Примечание 2 2 13 5" xfId="25425"/>
    <cellStyle name="Примечание 2 2 13 6" xfId="35300"/>
    <cellStyle name="Примечание 2 2 14" xfId="11819"/>
    <cellStyle name="Примечание 2 2 14 2" xfId="14717"/>
    <cellStyle name="Примечание 2 2 14 2 2" xfId="20000"/>
    <cellStyle name="Примечание 2 2 14 2 2 2" xfId="33810"/>
    <cellStyle name="Примечание 2 2 14 2 2 3" xfId="43678"/>
    <cellStyle name="Примечание 2 2 14 2 3" xfId="28537"/>
    <cellStyle name="Примечание 2 2 14 2 4" xfId="38412"/>
    <cellStyle name="Примечание 2 2 14 3" xfId="14250"/>
    <cellStyle name="Примечание 2 2 14 3 2" xfId="16893"/>
    <cellStyle name="Примечание 2 2 14 3 2 2" xfId="30708"/>
    <cellStyle name="Примечание 2 2 14 3 2 3" xfId="40583"/>
    <cellStyle name="Примечание 2 2 14 3 3" xfId="19533"/>
    <cellStyle name="Примечание 2 2 14 3 3 2" xfId="33343"/>
    <cellStyle name="Примечание 2 2 14 3 3 3" xfId="43212"/>
    <cellStyle name="Примечание 2 2 14 3 4" xfId="28071"/>
    <cellStyle name="Примечание 2 2 14 3 5" xfId="37946"/>
    <cellStyle name="Примечание 2 2 14 4" xfId="15950"/>
    <cellStyle name="Примечание 2 2 14 4 2" xfId="24573"/>
    <cellStyle name="Примечание 2 2 14 4 3" xfId="29769"/>
    <cellStyle name="Примечание 2 2 14 4 4" xfId="39644"/>
    <cellStyle name="Примечание 2 2 14 5" xfId="25693"/>
    <cellStyle name="Примечание 2 2 14 6" xfId="35568"/>
    <cellStyle name="Примечание 2 2 15" xfId="12388"/>
    <cellStyle name="Примечание 2 2 15 2" xfId="17720"/>
    <cellStyle name="Примечание 2 2 15 2 2" xfId="31530"/>
    <cellStyle name="Примечание 2 2 15 2 3" xfId="41403"/>
    <cellStyle name="Примечание 2 2 15 3" xfId="26262"/>
    <cellStyle name="Примечание 2 2 15 4" xfId="36137"/>
    <cellStyle name="Примечание 2 2 16" xfId="13544"/>
    <cellStyle name="Примечание 2 2 16 2" xfId="16242"/>
    <cellStyle name="Примечание 2 2 16 2 2" xfId="30059"/>
    <cellStyle name="Примечание 2 2 16 2 3" xfId="39934"/>
    <cellStyle name="Примечание 2 2 16 3" xfId="18873"/>
    <cellStyle name="Примечание 2 2 16 3 2" xfId="32683"/>
    <cellStyle name="Примечание 2 2 16 3 3" xfId="42554"/>
    <cellStyle name="Примечание 2 2 16 4" xfId="27413"/>
    <cellStyle name="Примечание 2 2 16 5" xfId="37288"/>
    <cellStyle name="Примечание 2 2 17" xfId="13494"/>
    <cellStyle name="Примечание 2 2 17 2" xfId="18823"/>
    <cellStyle name="Примечание 2 2 17 2 2" xfId="32633"/>
    <cellStyle name="Примечание 2 2 17 2 3" xfId="42504"/>
    <cellStyle name="Примечание 2 2 17 3" xfId="27363"/>
    <cellStyle name="Примечание 2 2 17 4" xfId="37238"/>
    <cellStyle name="Примечание 2 2 18" xfId="17395"/>
    <cellStyle name="Примечание 2 2 18 2" xfId="31206"/>
    <cellStyle name="Примечание 2 2 18 3" xfId="41080"/>
    <cellStyle name="Примечание 2 2 19" xfId="24831"/>
    <cellStyle name="Примечание 2 2 2" xfId="2590"/>
    <cellStyle name="Примечание 2 2 2 2" xfId="10841"/>
    <cellStyle name="Примечание 2 2 2 3" xfId="12576"/>
    <cellStyle name="Примечание 2 2 2 3 2" xfId="17908"/>
    <cellStyle name="Примечание 2 2 2 3 2 2" xfId="31718"/>
    <cellStyle name="Примечание 2 2 2 3 2 3" xfId="41591"/>
    <cellStyle name="Примечание 2 2 2 3 3" xfId="26450"/>
    <cellStyle name="Примечание 2 2 2 3 4" xfId="36325"/>
    <cellStyle name="Примечание 2 2 2 4" xfId="13798"/>
    <cellStyle name="Примечание 2 2 2 4 2" xfId="16441"/>
    <cellStyle name="Примечание 2 2 2 4 2 2" xfId="30257"/>
    <cellStyle name="Примечание 2 2 2 4 2 3" xfId="40132"/>
    <cellStyle name="Примечание 2 2 2 4 3" xfId="19081"/>
    <cellStyle name="Примечание 2 2 2 4 3 2" xfId="32891"/>
    <cellStyle name="Примечание 2 2 2 4 3 3" xfId="42761"/>
    <cellStyle name="Примечание 2 2 2 4 4" xfId="27620"/>
    <cellStyle name="Примечание 2 2 2 4 5" xfId="37495"/>
    <cellStyle name="Примечание 2 2 2 5" xfId="15296"/>
    <cellStyle name="Примечание 2 2 2 5 2" xfId="29116"/>
    <cellStyle name="Примечание 2 2 2 5 3" xfId="38991"/>
    <cellStyle name="Примечание 2 2 2 6" xfId="25024"/>
    <cellStyle name="Примечание 2 2 2 7" xfId="34899"/>
    <cellStyle name="Примечание 2 2 20" xfId="34446"/>
    <cellStyle name="Примечание 2 2 21" xfId="34696"/>
    <cellStyle name="Примечание 2 2 3" xfId="2450"/>
    <cellStyle name="Примечание 2 2 3 2" xfId="12455"/>
    <cellStyle name="Примечание 2 2 3 2 2" xfId="17787"/>
    <cellStyle name="Примечание 2 2 3 2 2 2" xfId="31597"/>
    <cellStyle name="Примечание 2 2 3 2 2 3" xfId="41470"/>
    <cellStyle name="Примечание 2 2 3 2 3" xfId="26329"/>
    <cellStyle name="Примечание 2 2 3 2 4" xfId="36204"/>
    <cellStyle name="Примечание 2 2 3 3" xfId="13677"/>
    <cellStyle name="Примечание 2 2 3 3 2" xfId="16320"/>
    <cellStyle name="Примечание 2 2 3 3 2 2" xfId="30136"/>
    <cellStyle name="Примечание 2 2 3 3 2 3" xfId="40011"/>
    <cellStyle name="Примечание 2 2 3 3 3" xfId="18960"/>
    <cellStyle name="Примечание 2 2 3 3 3 2" xfId="32770"/>
    <cellStyle name="Примечание 2 2 3 3 3 3" xfId="42640"/>
    <cellStyle name="Примечание 2 2 3 3 4" xfId="27499"/>
    <cellStyle name="Примечание 2 2 3 3 5" xfId="37374"/>
    <cellStyle name="Примечание 2 2 3 4" xfId="15175"/>
    <cellStyle name="Примечание 2 2 3 4 2" xfId="28995"/>
    <cellStyle name="Примечание 2 2 3 4 3" xfId="38870"/>
    <cellStyle name="Примечание 2 2 3 5" xfId="24903"/>
    <cellStyle name="Примечание 2 2 3 6" xfId="34778"/>
    <cellStyle name="Примечание 2 2 4" xfId="2525"/>
    <cellStyle name="Примечание 2 2 4 2" xfId="12511"/>
    <cellStyle name="Примечание 2 2 4 2 2" xfId="17843"/>
    <cellStyle name="Примечание 2 2 4 2 2 2" xfId="31653"/>
    <cellStyle name="Примечание 2 2 4 2 2 3" xfId="41526"/>
    <cellStyle name="Примечание 2 2 4 2 3" xfId="26385"/>
    <cellStyle name="Примечание 2 2 4 2 4" xfId="36260"/>
    <cellStyle name="Примечание 2 2 4 3" xfId="13733"/>
    <cellStyle name="Примечание 2 2 4 3 2" xfId="16376"/>
    <cellStyle name="Примечание 2 2 4 3 2 2" xfId="30192"/>
    <cellStyle name="Примечание 2 2 4 3 2 3" xfId="40067"/>
    <cellStyle name="Примечание 2 2 4 3 3" xfId="19016"/>
    <cellStyle name="Примечание 2 2 4 3 3 2" xfId="32826"/>
    <cellStyle name="Примечание 2 2 4 3 3 3" xfId="42696"/>
    <cellStyle name="Примечание 2 2 4 3 4" xfId="27555"/>
    <cellStyle name="Примечание 2 2 4 3 5" xfId="37430"/>
    <cellStyle name="Примечание 2 2 4 4" xfId="15231"/>
    <cellStyle name="Примечание 2 2 4 4 2" xfId="29051"/>
    <cellStyle name="Примечание 2 2 4 4 3" xfId="38926"/>
    <cellStyle name="Примечание 2 2 4 5" xfId="24959"/>
    <cellStyle name="Примечание 2 2 4 6" xfId="34834"/>
    <cellStyle name="Примечание 2 2 5" xfId="2399"/>
    <cellStyle name="Примечание 2 2 5 2" xfId="12406"/>
    <cellStyle name="Примечание 2 2 5 2 2" xfId="17738"/>
    <cellStyle name="Примечание 2 2 5 2 2 2" xfId="31548"/>
    <cellStyle name="Примечание 2 2 5 2 2 3" xfId="41421"/>
    <cellStyle name="Примечание 2 2 5 2 3" xfId="26280"/>
    <cellStyle name="Примечание 2 2 5 2 4" xfId="36155"/>
    <cellStyle name="Примечание 2 2 5 3" xfId="13628"/>
    <cellStyle name="Примечание 2 2 5 3 2" xfId="16271"/>
    <cellStyle name="Примечание 2 2 5 3 2 2" xfId="30087"/>
    <cellStyle name="Примечание 2 2 5 3 2 3" xfId="39962"/>
    <cellStyle name="Примечание 2 2 5 3 3" xfId="18911"/>
    <cellStyle name="Примечание 2 2 5 3 3 2" xfId="32721"/>
    <cellStyle name="Примечание 2 2 5 3 3 3" xfId="42591"/>
    <cellStyle name="Примечание 2 2 5 3 4" xfId="27450"/>
    <cellStyle name="Примечание 2 2 5 3 5" xfId="37325"/>
    <cellStyle name="Примечание 2 2 5 4" xfId="15126"/>
    <cellStyle name="Примечание 2 2 5 4 2" xfId="28946"/>
    <cellStyle name="Примечание 2 2 5 4 3" xfId="38821"/>
    <cellStyle name="Примечание 2 2 5 5" xfId="24854"/>
    <cellStyle name="Примечание 2 2 5 6" xfId="34729"/>
    <cellStyle name="Примечание 2 2 6" xfId="2625"/>
    <cellStyle name="Примечание 2 2 6 2" xfId="12611"/>
    <cellStyle name="Примечание 2 2 6 2 2" xfId="17943"/>
    <cellStyle name="Примечание 2 2 6 2 2 2" xfId="31753"/>
    <cellStyle name="Примечание 2 2 6 2 2 3" xfId="41626"/>
    <cellStyle name="Примечание 2 2 6 2 3" xfId="26485"/>
    <cellStyle name="Примечание 2 2 6 2 4" xfId="36360"/>
    <cellStyle name="Примечание 2 2 6 3" xfId="13833"/>
    <cellStyle name="Примечание 2 2 6 3 2" xfId="16476"/>
    <cellStyle name="Примечание 2 2 6 3 2 2" xfId="30292"/>
    <cellStyle name="Примечание 2 2 6 3 2 3" xfId="40167"/>
    <cellStyle name="Примечание 2 2 6 3 3" xfId="19116"/>
    <cellStyle name="Примечание 2 2 6 3 3 2" xfId="32926"/>
    <cellStyle name="Примечание 2 2 6 3 3 3" xfId="42796"/>
    <cellStyle name="Примечание 2 2 6 3 4" xfId="27655"/>
    <cellStyle name="Примечание 2 2 6 3 5" xfId="37530"/>
    <cellStyle name="Примечание 2 2 6 4" xfId="15331"/>
    <cellStyle name="Примечание 2 2 6 4 2" xfId="29151"/>
    <cellStyle name="Примечание 2 2 6 4 3" xfId="39026"/>
    <cellStyle name="Примечание 2 2 6 5" xfId="25059"/>
    <cellStyle name="Примечание 2 2 6 6" xfId="34934"/>
    <cellStyle name="Примечание 2 2 7" xfId="2753"/>
    <cellStyle name="Примечание 2 2 7 2" xfId="12729"/>
    <cellStyle name="Примечание 2 2 7 2 2" xfId="18061"/>
    <cellStyle name="Примечание 2 2 7 2 2 2" xfId="31871"/>
    <cellStyle name="Примечание 2 2 7 2 2 3" xfId="41744"/>
    <cellStyle name="Примечание 2 2 7 2 3" xfId="26603"/>
    <cellStyle name="Примечание 2 2 7 2 4" xfId="36478"/>
    <cellStyle name="Примечание 2 2 7 3" xfId="13952"/>
    <cellStyle name="Примечание 2 2 7 3 2" xfId="16595"/>
    <cellStyle name="Примечание 2 2 7 3 2 2" xfId="30410"/>
    <cellStyle name="Примечание 2 2 7 3 2 3" xfId="40285"/>
    <cellStyle name="Примечание 2 2 7 3 3" xfId="19235"/>
    <cellStyle name="Примечание 2 2 7 3 3 2" xfId="33045"/>
    <cellStyle name="Примечание 2 2 7 3 3 3" xfId="42914"/>
    <cellStyle name="Примечание 2 2 7 3 4" xfId="27773"/>
    <cellStyle name="Примечание 2 2 7 3 5" xfId="37648"/>
    <cellStyle name="Примечание 2 2 7 4" xfId="15450"/>
    <cellStyle name="Примечание 2 2 7 4 2" xfId="29269"/>
    <cellStyle name="Примечание 2 2 7 4 3" xfId="39144"/>
    <cellStyle name="Примечание 2 2 7 5" xfId="25177"/>
    <cellStyle name="Примечание 2 2 7 6" xfId="35052"/>
    <cellStyle name="Примечание 2 2 8" xfId="2675"/>
    <cellStyle name="Примечание 2 2 8 2" xfId="12661"/>
    <cellStyle name="Примечание 2 2 8 2 2" xfId="17993"/>
    <cellStyle name="Примечание 2 2 8 2 2 2" xfId="31803"/>
    <cellStyle name="Примечание 2 2 8 2 2 3" xfId="41676"/>
    <cellStyle name="Примечание 2 2 8 2 3" xfId="26535"/>
    <cellStyle name="Примечание 2 2 8 2 4" xfId="36410"/>
    <cellStyle name="Примечание 2 2 8 3" xfId="13883"/>
    <cellStyle name="Примечание 2 2 8 3 2" xfId="16526"/>
    <cellStyle name="Примечание 2 2 8 3 2 2" xfId="30342"/>
    <cellStyle name="Примечание 2 2 8 3 2 3" xfId="40217"/>
    <cellStyle name="Примечание 2 2 8 3 3" xfId="19166"/>
    <cellStyle name="Примечание 2 2 8 3 3 2" xfId="32976"/>
    <cellStyle name="Примечание 2 2 8 3 3 3" xfId="42846"/>
    <cellStyle name="Примечание 2 2 8 3 4" xfId="27705"/>
    <cellStyle name="Примечание 2 2 8 3 5" xfId="37580"/>
    <cellStyle name="Примечание 2 2 8 4" xfId="15381"/>
    <cellStyle name="Примечание 2 2 8 4 2" xfId="29201"/>
    <cellStyle name="Примечание 2 2 8 4 3" xfId="39076"/>
    <cellStyle name="Примечание 2 2 8 5" xfId="25109"/>
    <cellStyle name="Примечание 2 2 8 6" xfId="34984"/>
    <cellStyle name="Примечание 2 2 9" xfId="2803"/>
    <cellStyle name="Примечание 2 2 9 2" xfId="12778"/>
    <cellStyle name="Примечание 2 2 9 2 2" xfId="18110"/>
    <cellStyle name="Примечание 2 2 9 2 2 2" xfId="31920"/>
    <cellStyle name="Примечание 2 2 9 2 2 3" xfId="41793"/>
    <cellStyle name="Примечание 2 2 9 2 3" xfId="26652"/>
    <cellStyle name="Примечание 2 2 9 2 4" xfId="36527"/>
    <cellStyle name="Примечание 2 2 9 3" xfId="14001"/>
    <cellStyle name="Примечание 2 2 9 3 2" xfId="16644"/>
    <cellStyle name="Примечание 2 2 9 3 2 2" xfId="30459"/>
    <cellStyle name="Примечание 2 2 9 3 2 3" xfId="40334"/>
    <cellStyle name="Примечание 2 2 9 3 3" xfId="19284"/>
    <cellStyle name="Примечание 2 2 9 3 3 2" xfId="33094"/>
    <cellStyle name="Примечание 2 2 9 3 3 3" xfId="42963"/>
    <cellStyle name="Примечание 2 2 9 3 4" xfId="27822"/>
    <cellStyle name="Примечание 2 2 9 3 5" xfId="37697"/>
    <cellStyle name="Примечание 2 2 9 4" xfId="15499"/>
    <cellStyle name="Примечание 2 2 9 4 2" xfId="29318"/>
    <cellStyle name="Примечание 2 2 9 4 3" xfId="39193"/>
    <cellStyle name="Примечание 2 2 9 5" xfId="25226"/>
    <cellStyle name="Примечание 2 2 9 6" xfId="35101"/>
    <cellStyle name="Примечание 2 20" xfId="13493"/>
    <cellStyle name="Примечание 2 20 2" xfId="18822"/>
    <cellStyle name="Примечание 2 20 2 2" xfId="32632"/>
    <cellStyle name="Примечание 2 20 2 3" xfId="42503"/>
    <cellStyle name="Примечание 2 20 3" xfId="27362"/>
    <cellStyle name="Примечание 2 20 4" xfId="37237"/>
    <cellStyle name="Примечание 2 21" xfId="17394"/>
    <cellStyle name="Примечание 2 21 2" xfId="21122"/>
    <cellStyle name="Примечание 2 21 3" xfId="31205"/>
    <cellStyle name="Примечание 2 21 4" xfId="41079"/>
    <cellStyle name="Примечание 2 22" xfId="23894"/>
    <cellStyle name="Примечание 2 23" xfId="24830"/>
    <cellStyle name="Примечание 2 24" xfId="34445"/>
    <cellStyle name="Примечание 2 25" xfId="34695"/>
    <cellStyle name="Примечание 2 3" xfId="2218"/>
    <cellStyle name="Примечание 2 3 10" xfId="2860"/>
    <cellStyle name="Примечание 2 3 10 2" xfId="12832"/>
    <cellStyle name="Примечание 2 3 10 2 2" xfId="18164"/>
    <cellStyle name="Примечание 2 3 10 2 2 2" xfId="31974"/>
    <cellStyle name="Примечание 2 3 10 2 2 3" xfId="41847"/>
    <cellStyle name="Примечание 2 3 10 2 3" xfId="26706"/>
    <cellStyle name="Примечание 2 3 10 2 4" xfId="36581"/>
    <cellStyle name="Примечание 2 3 10 3" xfId="14055"/>
    <cellStyle name="Примечание 2 3 10 3 2" xfId="16698"/>
    <cellStyle name="Примечание 2 3 10 3 2 2" xfId="30513"/>
    <cellStyle name="Примечание 2 3 10 3 2 3" xfId="40388"/>
    <cellStyle name="Примечание 2 3 10 3 3" xfId="19338"/>
    <cellStyle name="Примечание 2 3 10 3 3 2" xfId="33148"/>
    <cellStyle name="Примечание 2 3 10 3 3 3" xfId="43017"/>
    <cellStyle name="Примечание 2 3 10 3 4" xfId="27876"/>
    <cellStyle name="Примечание 2 3 10 3 5" xfId="37751"/>
    <cellStyle name="Примечание 2 3 10 4" xfId="15553"/>
    <cellStyle name="Примечание 2 3 10 4 2" xfId="29372"/>
    <cellStyle name="Примечание 2 3 10 4 3" xfId="39247"/>
    <cellStyle name="Примечание 2 3 10 5" xfId="25280"/>
    <cellStyle name="Примечание 2 3 10 6" xfId="35155"/>
    <cellStyle name="Примечание 2 3 11" xfId="2908"/>
    <cellStyle name="Примечание 2 3 11 2" xfId="12878"/>
    <cellStyle name="Примечание 2 3 11 2 2" xfId="18210"/>
    <cellStyle name="Примечание 2 3 11 2 2 2" xfId="32020"/>
    <cellStyle name="Примечание 2 3 11 2 2 3" xfId="41893"/>
    <cellStyle name="Примечание 2 3 11 2 3" xfId="26752"/>
    <cellStyle name="Примечание 2 3 11 2 4" xfId="36627"/>
    <cellStyle name="Примечание 2 3 11 3" xfId="14101"/>
    <cellStyle name="Примечание 2 3 11 3 2" xfId="16744"/>
    <cellStyle name="Примечание 2 3 11 3 2 2" xfId="30559"/>
    <cellStyle name="Примечание 2 3 11 3 2 3" xfId="40434"/>
    <cellStyle name="Примечание 2 3 11 3 3" xfId="19384"/>
    <cellStyle name="Примечание 2 3 11 3 3 2" xfId="33194"/>
    <cellStyle name="Примечание 2 3 11 3 3 3" xfId="43063"/>
    <cellStyle name="Примечание 2 3 11 3 4" xfId="27922"/>
    <cellStyle name="Примечание 2 3 11 3 5" xfId="37797"/>
    <cellStyle name="Примечание 2 3 11 4" xfId="15599"/>
    <cellStyle name="Примечание 2 3 11 4 2" xfId="29418"/>
    <cellStyle name="Примечание 2 3 11 4 3" xfId="39293"/>
    <cellStyle name="Примечание 2 3 11 5" xfId="25326"/>
    <cellStyle name="Примечание 2 3 11 6" xfId="35201"/>
    <cellStyle name="Примечание 2 3 12" xfId="2962"/>
    <cellStyle name="Примечание 2 3 12 2" xfId="12931"/>
    <cellStyle name="Примечание 2 3 12 2 2" xfId="18263"/>
    <cellStyle name="Примечание 2 3 12 2 2 2" xfId="32073"/>
    <cellStyle name="Примечание 2 3 12 2 2 3" xfId="41946"/>
    <cellStyle name="Примечание 2 3 12 2 3" xfId="26805"/>
    <cellStyle name="Примечание 2 3 12 2 4" xfId="36680"/>
    <cellStyle name="Примечание 2 3 12 3" xfId="14154"/>
    <cellStyle name="Примечание 2 3 12 3 2" xfId="16797"/>
    <cellStyle name="Примечание 2 3 12 3 2 2" xfId="30612"/>
    <cellStyle name="Примечание 2 3 12 3 2 3" xfId="40487"/>
    <cellStyle name="Примечание 2 3 12 3 3" xfId="19437"/>
    <cellStyle name="Примечание 2 3 12 3 3 2" xfId="33247"/>
    <cellStyle name="Примечание 2 3 12 3 3 3" xfId="43116"/>
    <cellStyle name="Примечание 2 3 12 3 4" xfId="27975"/>
    <cellStyle name="Примечание 2 3 12 3 5" xfId="37850"/>
    <cellStyle name="Примечание 2 3 12 4" xfId="15652"/>
    <cellStyle name="Примечание 2 3 12 4 2" xfId="29471"/>
    <cellStyle name="Примечание 2 3 12 4 3" xfId="39346"/>
    <cellStyle name="Примечание 2 3 12 5" xfId="25379"/>
    <cellStyle name="Примечание 2 3 12 6" xfId="35254"/>
    <cellStyle name="Примечание 2 3 13" xfId="3011"/>
    <cellStyle name="Примечание 2 3 13 2" xfId="12978"/>
    <cellStyle name="Примечание 2 3 13 2 2" xfId="18310"/>
    <cellStyle name="Примечание 2 3 13 2 2 2" xfId="32120"/>
    <cellStyle name="Примечание 2 3 13 2 2 3" xfId="41993"/>
    <cellStyle name="Примечание 2 3 13 2 3" xfId="26852"/>
    <cellStyle name="Примечание 2 3 13 2 4" xfId="36727"/>
    <cellStyle name="Примечание 2 3 13 3" xfId="14201"/>
    <cellStyle name="Примечание 2 3 13 3 2" xfId="16844"/>
    <cellStyle name="Примечание 2 3 13 3 2 2" xfId="30659"/>
    <cellStyle name="Примечание 2 3 13 3 2 3" xfId="40534"/>
    <cellStyle name="Примечание 2 3 13 3 3" xfId="19484"/>
    <cellStyle name="Примечание 2 3 13 3 3 2" xfId="33294"/>
    <cellStyle name="Примечание 2 3 13 3 3 3" xfId="43163"/>
    <cellStyle name="Примечание 2 3 13 3 4" xfId="28022"/>
    <cellStyle name="Примечание 2 3 13 3 5" xfId="37897"/>
    <cellStyle name="Примечание 2 3 13 4" xfId="15690"/>
    <cellStyle name="Примечание 2 3 13 4 2" xfId="29509"/>
    <cellStyle name="Примечание 2 3 13 4 3" xfId="39384"/>
    <cellStyle name="Примечание 2 3 13 5" xfId="25426"/>
    <cellStyle name="Примечание 2 3 13 6" xfId="35301"/>
    <cellStyle name="Примечание 2 3 14" xfId="11820"/>
    <cellStyle name="Примечание 2 3 14 2" xfId="14718"/>
    <cellStyle name="Примечание 2 3 14 2 2" xfId="20001"/>
    <cellStyle name="Примечание 2 3 14 2 2 2" xfId="33811"/>
    <cellStyle name="Примечание 2 3 14 2 2 3" xfId="43679"/>
    <cellStyle name="Примечание 2 3 14 2 3" xfId="28538"/>
    <cellStyle name="Примечание 2 3 14 2 4" xfId="38413"/>
    <cellStyle name="Примечание 2 3 14 3" xfId="14251"/>
    <cellStyle name="Примечание 2 3 14 3 2" xfId="16894"/>
    <cellStyle name="Примечание 2 3 14 3 2 2" xfId="30709"/>
    <cellStyle name="Примечание 2 3 14 3 2 3" xfId="40584"/>
    <cellStyle name="Примечание 2 3 14 3 3" xfId="19534"/>
    <cellStyle name="Примечание 2 3 14 3 3 2" xfId="33344"/>
    <cellStyle name="Примечание 2 3 14 3 3 3" xfId="43213"/>
    <cellStyle name="Примечание 2 3 14 3 4" xfId="28072"/>
    <cellStyle name="Примечание 2 3 14 3 5" xfId="37947"/>
    <cellStyle name="Примечание 2 3 14 4" xfId="15951"/>
    <cellStyle name="Примечание 2 3 14 4 2" xfId="24574"/>
    <cellStyle name="Примечание 2 3 14 4 3" xfId="29770"/>
    <cellStyle name="Примечание 2 3 14 4 4" xfId="39645"/>
    <cellStyle name="Примечание 2 3 14 5" xfId="25694"/>
    <cellStyle name="Примечание 2 3 14 6" xfId="35569"/>
    <cellStyle name="Примечание 2 3 15" xfId="12389"/>
    <cellStyle name="Примечание 2 3 15 2" xfId="17721"/>
    <cellStyle name="Примечание 2 3 15 2 2" xfId="31531"/>
    <cellStyle name="Примечание 2 3 15 2 3" xfId="41404"/>
    <cellStyle name="Примечание 2 3 15 3" xfId="26263"/>
    <cellStyle name="Примечание 2 3 15 4" xfId="36138"/>
    <cellStyle name="Примечание 2 3 16" xfId="13545"/>
    <cellStyle name="Примечание 2 3 16 2" xfId="16243"/>
    <cellStyle name="Примечание 2 3 16 2 2" xfId="30060"/>
    <cellStyle name="Примечание 2 3 16 2 3" xfId="39935"/>
    <cellStyle name="Примечание 2 3 16 3" xfId="18874"/>
    <cellStyle name="Примечание 2 3 16 3 2" xfId="32684"/>
    <cellStyle name="Примечание 2 3 16 3 3" xfId="42555"/>
    <cellStyle name="Примечание 2 3 16 4" xfId="27414"/>
    <cellStyle name="Примечание 2 3 16 5" xfId="37289"/>
    <cellStyle name="Примечание 2 3 17" xfId="13495"/>
    <cellStyle name="Примечание 2 3 17 2" xfId="18824"/>
    <cellStyle name="Примечание 2 3 17 2 2" xfId="32634"/>
    <cellStyle name="Примечание 2 3 17 2 3" xfId="42505"/>
    <cellStyle name="Примечание 2 3 17 3" xfId="27364"/>
    <cellStyle name="Примечание 2 3 17 4" xfId="37239"/>
    <cellStyle name="Примечание 2 3 18" xfId="17396"/>
    <cellStyle name="Примечание 2 3 18 2" xfId="31207"/>
    <cellStyle name="Примечание 2 3 18 3" xfId="41081"/>
    <cellStyle name="Примечание 2 3 19" xfId="24832"/>
    <cellStyle name="Примечание 2 3 2" xfId="2591"/>
    <cellStyle name="Примечание 2 3 2 2" xfId="10842"/>
    <cellStyle name="Примечание 2 3 2 3" xfId="12577"/>
    <cellStyle name="Примечание 2 3 2 3 2" xfId="17909"/>
    <cellStyle name="Примечание 2 3 2 3 2 2" xfId="31719"/>
    <cellStyle name="Примечание 2 3 2 3 2 3" xfId="41592"/>
    <cellStyle name="Примечание 2 3 2 3 3" xfId="26451"/>
    <cellStyle name="Примечание 2 3 2 3 4" xfId="36326"/>
    <cellStyle name="Примечание 2 3 2 4" xfId="13799"/>
    <cellStyle name="Примечание 2 3 2 4 2" xfId="16442"/>
    <cellStyle name="Примечание 2 3 2 4 2 2" xfId="30258"/>
    <cellStyle name="Примечание 2 3 2 4 2 3" xfId="40133"/>
    <cellStyle name="Примечание 2 3 2 4 3" xfId="19082"/>
    <cellStyle name="Примечание 2 3 2 4 3 2" xfId="32892"/>
    <cellStyle name="Примечание 2 3 2 4 3 3" xfId="42762"/>
    <cellStyle name="Примечание 2 3 2 4 4" xfId="27621"/>
    <cellStyle name="Примечание 2 3 2 4 5" xfId="37496"/>
    <cellStyle name="Примечание 2 3 2 5" xfId="15297"/>
    <cellStyle name="Примечание 2 3 2 5 2" xfId="29117"/>
    <cellStyle name="Примечание 2 3 2 5 3" xfId="38992"/>
    <cellStyle name="Примечание 2 3 2 6" xfId="25025"/>
    <cellStyle name="Примечание 2 3 2 7" xfId="34900"/>
    <cellStyle name="Примечание 2 3 20" xfId="34447"/>
    <cellStyle name="Примечание 2 3 21" xfId="34697"/>
    <cellStyle name="Примечание 2 3 3" xfId="2449"/>
    <cellStyle name="Примечание 2 3 3 2" xfId="12454"/>
    <cellStyle name="Примечание 2 3 3 2 2" xfId="17786"/>
    <cellStyle name="Примечание 2 3 3 2 2 2" xfId="31596"/>
    <cellStyle name="Примечание 2 3 3 2 2 3" xfId="41469"/>
    <cellStyle name="Примечание 2 3 3 2 3" xfId="26328"/>
    <cellStyle name="Примечание 2 3 3 2 4" xfId="36203"/>
    <cellStyle name="Примечание 2 3 3 3" xfId="13676"/>
    <cellStyle name="Примечание 2 3 3 3 2" xfId="16319"/>
    <cellStyle name="Примечание 2 3 3 3 2 2" xfId="30135"/>
    <cellStyle name="Примечание 2 3 3 3 2 3" xfId="40010"/>
    <cellStyle name="Примечание 2 3 3 3 3" xfId="18959"/>
    <cellStyle name="Примечание 2 3 3 3 3 2" xfId="32769"/>
    <cellStyle name="Примечание 2 3 3 3 3 3" xfId="42639"/>
    <cellStyle name="Примечание 2 3 3 3 4" xfId="27498"/>
    <cellStyle name="Примечание 2 3 3 3 5" xfId="37373"/>
    <cellStyle name="Примечание 2 3 3 4" xfId="15174"/>
    <cellStyle name="Примечание 2 3 3 4 2" xfId="28994"/>
    <cellStyle name="Примечание 2 3 3 4 3" xfId="38869"/>
    <cellStyle name="Примечание 2 3 3 5" xfId="24902"/>
    <cellStyle name="Примечание 2 3 3 6" xfId="34777"/>
    <cellStyle name="Примечание 2 3 4" xfId="2526"/>
    <cellStyle name="Примечание 2 3 4 2" xfId="12512"/>
    <cellStyle name="Примечание 2 3 4 2 2" xfId="17844"/>
    <cellStyle name="Примечание 2 3 4 2 2 2" xfId="31654"/>
    <cellStyle name="Примечание 2 3 4 2 2 3" xfId="41527"/>
    <cellStyle name="Примечание 2 3 4 2 3" xfId="26386"/>
    <cellStyle name="Примечание 2 3 4 2 4" xfId="36261"/>
    <cellStyle name="Примечание 2 3 4 3" xfId="13734"/>
    <cellStyle name="Примечание 2 3 4 3 2" xfId="16377"/>
    <cellStyle name="Примечание 2 3 4 3 2 2" xfId="30193"/>
    <cellStyle name="Примечание 2 3 4 3 2 3" xfId="40068"/>
    <cellStyle name="Примечание 2 3 4 3 3" xfId="19017"/>
    <cellStyle name="Примечание 2 3 4 3 3 2" xfId="32827"/>
    <cellStyle name="Примечание 2 3 4 3 3 3" xfId="42697"/>
    <cellStyle name="Примечание 2 3 4 3 4" xfId="27556"/>
    <cellStyle name="Примечание 2 3 4 3 5" xfId="37431"/>
    <cellStyle name="Примечание 2 3 4 4" xfId="15232"/>
    <cellStyle name="Примечание 2 3 4 4 2" xfId="29052"/>
    <cellStyle name="Примечание 2 3 4 4 3" xfId="38927"/>
    <cellStyle name="Примечание 2 3 4 5" xfId="24960"/>
    <cellStyle name="Примечание 2 3 4 6" xfId="34835"/>
    <cellStyle name="Примечание 2 3 5" xfId="2703"/>
    <cellStyle name="Примечание 2 3 5 2" xfId="12679"/>
    <cellStyle name="Примечание 2 3 5 2 2" xfId="18011"/>
    <cellStyle name="Примечание 2 3 5 2 2 2" xfId="31821"/>
    <cellStyle name="Примечание 2 3 5 2 2 3" xfId="41694"/>
    <cellStyle name="Примечание 2 3 5 2 3" xfId="26553"/>
    <cellStyle name="Примечание 2 3 5 2 4" xfId="36428"/>
    <cellStyle name="Примечание 2 3 5 3" xfId="13902"/>
    <cellStyle name="Примечание 2 3 5 3 2" xfId="16545"/>
    <cellStyle name="Примечание 2 3 5 3 2 2" xfId="30360"/>
    <cellStyle name="Примечание 2 3 5 3 2 3" xfId="40235"/>
    <cellStyle name="Примечание 2 3 5 3 3" xfId="19185"/>
    <cellStyle name="Примечание 2 3 5 3 3 2" xfId="32995"/>
    <cellStyle name="Примечание 2 3 5 3 3 3" xfId="42864"/>
    <cellStyle name="Примечание 2 3 5 3 4" xfId="27723"/>
    <cellStyle name="Примечание 2 3 5 3 5" xfId="37598"/>
    <cellStyle name="Примечание 2 3 5 4" xfId="15400"/>
    <cellStyle name="Примечание 2 3 5 4 2" xfId="29219"/>
    <cellStyle name="Примечание 2 3 5 4 3" xfId="39094"/>
    <cellStyle name="Примечание 2 3 5 5" xfId="25127"/>
    <cellStyle name="Примечание 2 3 5 6" xfId="35002"/>
    <cellStyle name="Примечание 2 3 6" xfId="2626"/>
    <cellStyle name="Примечание 2 3 6 2" xfId="12612"/>
    <cellStyle name="Примечание 2 3 6 2 2" xfId="17944"/>
    <cellStyle name="Примечание 2 3 6 2 2 2" xfId="31754"/>
    <cellStyle name="Примечание 2 3 6 2 2 3" xfId="41627"/>
    <cellStyle name="Примечание 2 3 6 2 3" xfId="26486"/>
    <cellStyle name="Примечание 2 3 6 2 4" xfId="36361"/>
    <cellStyle name="Примечание 2 3 6 3" xfId="13834"/>
    <cellStyle name="Примечание 2 3 6 3 2" xfId="16477"/>
    <cellStyle name="Примечание 2 3 6 3 2 2" xfId="30293"/>
    <cellStyle name="Примечание 2 3 6 3 2 3" xfId="40168"/>
    <cellStyle name="Примечание 2 3 6 3 3" xfId="19117"/>
    <cellStyle name="Примечание 2 3 6 3 3 2" xfId="32927"/>
    <cellStyle name="Примечание 2 3 6 3 3 3" xfId="42797"/>
    <cellStyle name="Примечание 2 3 6 3 4" xfId="27656"/>
    <cellStyle name="Примечание 2 3 6 3 5" xfId="37531"/>
    <cellStyle name="Примечание 2 3 6 4" xfId="15332"/>
    <cellStyle name="Примечание 2 3 6 4 2" xfId="29152"/>
    <cellStyle name="Примечание 2 3 6 4 3" xfId="39027"/>
    <cellStyle name="Примечание 2 3 6 5" xfId="25060"/>
    <cellStyle name="Примечание 2 3 6 6" xfId="34935"/>
    <cellStyle name="Примечание 2 3 7" xfId="2754"/>
    <cellStyle name="Примечание 2 3 7 2" xfId="12730"/>
    <cellStyle name="Примечание 2 3 7 2 2" xfId="18062"/>
    <cellStyle name="Примечание 2 3 7 2 2 2" xfId="31872"/>
    <cellStyle name="Примечание 2 3 7 2 2 3" xfId="41745"/>
    <cellStyle name="Примечание 2 3 7 2 3" xfId="26604"/>
    <cellStyle name="Примечание 2 3 7 2 4" xfId="36479"/>
    <cellStyle name="Примечание 2 3 7 3" xfId="13953"/>
    <cellStyle name="Примечание 2 3 7 3 2" xfId="16596"/>
    <cellStyle name="Примечание 2 3 7 3 2 2" xfId="30411"/>
    <cellStyle name="Примечание 2 3 7 3 2 3" xfId="40286"/>
    <cellStyle name="Примечание 2 3 7 3 3" xfId="19236"/>
    <cellStyle name="Примечание 2 3 7 3 3 2" xfId="33046"/>
    <cellStyle name="Примечание 2 3 7 3 3 3" xfId="42915"/>
    <cellStyle name="Примечание 2 3 7 3 4" xfId="27774"/>
    <cellStyle name="Примечание 2 3 7 3 5" xfId="37649"/>
    <cellStyle name="Примечание 2 3 7 4" xfId="15451"/>
    <cellStyle name="Примечание 2 3 7 4 2" xfId="29270"/>
    <cellStyle name="Примечание 2 3 7 4 3" xfId="39145"/>
    <cellStyle name="Примечание 2 3 7 5" xfId="25178"/>
    <cellStyle name="Примечание 2 3 7 6" xfId="35053"/>
    <cellStyle name="Примечание 2 3 8" xfId="2676"/>
    <cellStyle name="Примечание 2 3 8 2" xfId="12662"/>
    <cellStyle name="Примечание 2 3 8 2 2" xfId="17994"/>
    <cellStyle name="Примечание 2 3 8 2 2 2" xfId="31804"/>
    <cellStyle name="Примечание 2 3 8 2 2 3" xfId="41677"/>
    <cellStyle name="Примечание 2 3 8 2 3" xfId="26536"/>
    <cellStyle name="Примечание 2 3 8 2 4" xfId="36411"/>
    <cellStyle name="Примечание 2 3 8 3" xfId="13884"/>
    <cellStyle name="Примечание 2 3 8 3 2" xfId="16527"/>
    <cellStyle name="Примечание 2 3 8 3 2 2" xfId="30343"/>
    <cellStyle name="Примечание 2 3 8 3 2 3" xfId="40218"/>
    <cellStyle name="Примечание 2 3 8 3 3" xfId="19167"/>
    <cellStyle name="Примечание 2 3 8 3 3 2" xfId="32977"/>
    <cellStyle name="Примечание 2 3 8 3 3 3" xfId="42847"/>
    <cellStyle name="Примечание 2 3 8 3 4" xfId="27706"/>
    <cellStyle name="Примечание 2 3 8 3 5" xfId="37581"/>
    <cellStyle name="Примечание 2 3 8 4" xfId="15382"/>
    <cellStyle name="Примечание 2 3 8 4 2" xfId="29202"/>
    <cellStyle name="Примечание 2 3 8 4 3" xfId="39077"/>
    <cellStyle name="Примечание 2 3 8 5" xfId="25110"/>
    <cellStyle name="Примечание 2 3 8 6" xfId="34985"/>
    <cellStyle name="Примечание 2 3 9" xfId="2804"/>
    <cellStyle name="Примечание 2 3 9 2" xfId="12779"/>
    <cellStyle name="Примечание 2 3 9 2 2" xfId="18111"/>
    <cellStyle name="Примечание 2 3 9 2 2 2" xfId="31921"/>
    <cellStyle name="Примечание 2 3 9 2 2 3" xfId="41794"/>
    <cellStyle name="Примечание 2 3 9 2 3" xfId="26653"/>
    <cellStyle name="Примечание 2 3 9 2 4" xfId="36528"/>
    <cellStyle name="Примечание 2 3 9 3" xfId="14002"/>
    <cellStyle name="Примечание 2 3 9 3 2" xfId="16645"/>
    <cellStyle name="Примечание 2 3 9 3 2 2" xfId="30460"/>
    <cellStyle name="Примечание 2 3 9 3 2 3" xfId="40335"/>
    <cellStyle name="Примечание 2 3 9 3 3" xfId="19285"/>
    <cellStyle name="Примечание 2 3 9 3 3 2" xfId="33095"/>
    <cellStyle name="Примечание 2 3 9 3 3 3" xfId="42964"/>
    <cellStyle name="Примечание 2 3 9 3 4" xfId="27823"/>
    <cellStyle name="Примечание 2 3 9 3 5" xfId="37698"/>
    <cellStyle name="Примечание 2 3 9 4" xfId="15500"/>
    <cellStyle name="Примечание 2 3 9 4 2" xfId="29319"/>
    <cellStyle name="Примечание 2 3 9 4 3" xfId="39194"/>
    <cellStyle name="Примечание 2 3 9 5" xfId="25227"/>
    <cellStyle name="Примечание 2 3 9 6" xfId="35102"/>
    <cellStyle name="Примечание 2 4" xfId="2589"/>
    <cellStyle name="Примечание 2 4 2" xfId="10835"/>
    <cellStyle name="Примечание 2 4 3" xfId="12575"/>
    <cellStyle name="Примечание 2 4 3 2" xfId="17907"/>
    <cellStyle name="Примечание 2 4 3 2 2" xfId="31717"/>
    <cellStyle name="Примечание 2 4 3 2 3" xfId="41590"/>
    <cellStyle name="Примечание 2 4 3 3" xfId="26449"/>
    <cellStyle name="Примечание 2 4 3 4" xfId="36324"/>
    <cellStyle name="Примечание 2 4 4" xfId="13797"/>
    <cellStyle name="Примечание 2 4 4 2" xfId="16440"/>
    <cellStyle name="Примечание 2 4 4 2 2" xfId="30256"/>
    <cellStyle name="Примечание 2 4 4 2 3" xfId="40131"/>
    <cellStyle name="Примечание 2 4 4 3" xfId="19080"/>
    <cellStyle name="Примечание 2 4 4 3 2" xfId="32890"/>
    <cellStyle name="Примечание 2 4 4 3 3" xfId="42760"/>
    <cellStyle name="Примечание 2 4 4 4" xfId="27619"/>
    <cellStyle name="Примечание 2 4 4 5" xfId="37494"/>
    <cellStyle name="Примечание 2 4 5" xfId="15295"/>
    <cellStyle name="Примечание 2 4 5 2" xfId="29115"/>
    <cellStyle name="Примечание 2 4 5 3" xfId="38990"/>
    <cellStyle name="Примечание 2 4 6" xfId="25023"/>
    <cellStyle name="Примечание 2 4 7" xfId="34898"/>
    <cellStyle name="Примечание 2 5" xfId="2451"/>
    <cellStyle name="Примечание 2 5 2" xfId="10843"/>
    <cellStyle name="Примечание 2 5 3" xfId="12456"/>
    <cellStyle name="Примечание 2 5 3 2" xfId="17788"/>
    <cellStyle name="Примечание 2 5 3 2 2" xfId="31598"/>
    <cellStyle name="Примечание 2 5 3 2 3" xfId="41471"/>
    <cellStyle name="Примечание 2 5 3 3" xfId="26330"/>
    <cellStyle name="Примечание 2 5 3 4" xfId="36205"/>
    <cellStyle name="Примечание 2 5 4" xfId="13678"/>
    <cellStyle name="Примечание 2 5 4 2" xfId="16321"/>
    <cellStyle name="Примечание 2 5 4 2 2" xfId="30137"/>
    <cellStyle name="Примечание 2 5 4 2 3" xfId="40012"/>
    <cellStyle name="Примечание 2 5 4 3" xfId="18961"/>
    <cellStyle name="Примечание 2 5 4 3 2" xfId="32771"/>
    <cellStyle name="Примечание 2 5 4 3 3" xfId="42641"/>
    <cellStyle name="Примечание 2 5 4 4" xfId="27500"/>
    <cellStyle name="Примечание 2 5 4 5" xfId="37375"/>
    <cellStyle name="Примечание 2 5 5" xfId="15176"/>
    <cellStyle name="Примечание 2 5 5 2" xfId="28996"/>
    <cellStyle name="Примечание 2 5 5 3" xfId="38871"/>
    <cellStyle name="Примечание 2 5 6" xfId="24904"/>
    <cellStyle name="Примечание 2 5 7" xfId="34779"/>
    <cellStyle name="Примечание 2 6" xfId="2524"/>
    <cellStyle name="Примечание 2 6 2" xfId="10844"/>
    <cellStyle name="Примечание 2 6 3" xfId="12510"/>
    <cellStyle name="Примечание 2 6 3 2" xfId="17842"/>
    <cellStyle name="Примечание 2 6 3 2 2" xfId="31652"/>
    <cellStyle name="Примечание 2 6 3 2 3" xfId="41525"/>
    <cellStyle name="Примечание 2 6 3 3" xfId="26384"/>
    <cellStyle name="Примечание 2 6 3 4" xfId="36259"/>
    <cellStyle name="Примечание 2 6 4" xfId="13732"/>
    <cellStyle name="Примечание 2 6 4 2" xfId="16375"/>
    <cellStyle name="Примечание 2 6 4 2 2" xfId="30191"/>
    <cellStyle name="Примечание 2 6 4 2 3" xfId="40066"/>
    <cellStyle name="Примечание 2 6 4 3" xfId="19015"/>
    <cellStyle name="Примечание 2 6 4 3 2" xfId="32825"/>
    <cellStyle name="Примечание 2 6 4 3 3" xfId="42695"/>
    <cellStyle name="Примечание 2 6 4 4" xfId="27554"/>
    <cellStyle name="Примечание 2 6 4 5" xfId="37429"/>
    <cellStyle name="Примечание 2 6 5" xfId="15230"/>
    <cellStyle name="Примечание 2 6 5 2" xfId="29050"/>
    <cellStyle name="Примечание 2 6 5 3" xfId="38925"/>
    <cellStyle name="Примечание 2 6 6" xfId="24958"/>
    <cellStyle name="Примечание 2 6 7" xfId="34833"/>
    <cellStyle name="Примечание 2 7" xfId="2402"/>
    <cellStyle name="Примечание 2 7 2" xfId="10845"/>
    <cellStyle name="Примечание 2 7 3" xfId="12407"/>
    <cellStyle name="Примечание 2 7 3 2" xfId="17739"/>
    <cellStyle name="Примечание 2 7 3 2 2" xfId="31549"/>
    <cellStyle name="Примечание 2 7 3 2 3" xfId="41422"/>
    <cellStyle name="Примечание 2 7 3 3" xfId="26281"/>
    <cellStyle name="Примечание 2 7 3 4" xfId="36156"/>
    <cellStyle name="Примечание 2 7 4" xfId="13629"/>
    <cellStyle name="Примечание 2 7 4 2" xfId="16272"/>
    <cellStyle name="Примечание 2 7 4 2 2" xfId="30088"/>
    <cellStyle name="Примечание 2 7 4 2 3" xfId="39963"/>
    <cellStyle name="Примечание 2 7 4 3" xfId="18912"/>
    <cellStyle name="Примечание 2 7 4 3 2" xfId="32722"/>
    <cellStyle name="Примечание 2 7 4 3 3" xfId="42592"/>
    <cellStyle name="Примечание 2 7 4 4" xfId="27451"/>
    <cellStyle name="Примечание 2 7 4 5" xfId="37326"/>
    <cellStyle name="Примечание 2 7 5" xfId="15127"/>
    <cellStyle name="Примечание 2 7 5 2" xfId="28947"/>
    <cellStyle name="Примечание 2 7 5 3" xfId="38822"/>
    <cellStyle name="Примечание 2 7 6" xfId="24855"/>
    <cellStyle name="Примечание 2 7 7" xfId="34730"/>
    <cellStyle name="Примечание 2 8" xfId="2624"/>
    <cellStyle name="Примечание 2 8 2" xfId="10846"/>
    <cellStyle name="Примечание 2 8 3" xfId="12610"/>
    <cellStyle name="Примечание 2 8 3 2" xfId="17942"/>
    <cellStyle name="Примечание 2 8 3 2 2" xfId="31752"/>
    <cellStyle name="Примечание 2 8 3 2 3" xfId="41625"/>
    <cellStyle name="Примечание 2 8 3 3" xfId="26484"/>
    <cellStyle name="Примечание 2 8 3 4" xfId="36359"/>
    <cellStyle name="Примечание 2 8 4" xfId="13832"/>
    <cellStyle name="Примечание 2 8 4 2" xfId="16475"/>
    <cellStyle name="Примечание 2 8 4 2 2" xfId="30291"/>
    <cellStyle name="Примечание 2 8 4 2 3" xfId="40166"/>
    <cellStyle name="Примечание 2 8 4 3" xfId="19115"/>
    <cellStyle name="Примечание 2 8 4 3 2" xfId="32925"/>
    <cellStyle name="Примечание 2 8 4 3 3" xfId="42795"/>
    <cellStyle name="Примечание 2 8 4 4" xfId="27654"/>
    <cellStyle name="Примечание 2 8 4 5" xfId="37529"/>
    <cellStyle name="Примечание 2 8 5" xfId="15330"/>
    <cellStyle name="Примечание 2 8 5 2" xfId="29150"/>
    <cellStyle name="Примечание 2 8 5 3" xfId="39025"/>
    <cellStyle name="Примечание 2 8 6" xfId="25058"/>
    <cellStyle name="Примечание 2 8 7" xfId="34933"/>
    <cellStyle name="Примечание 2 9" xfId="2752"/>
    <cellStyle name="Примечание 2 9 2" xfId="10847"/>
    <cellStyle name="Примечание 2 9 3" xfId="12728"/>
    <cellStyle name="Примечание 2 9 3 2" xfId="18060"/>
    <cellStyle name="Примечание 2 9 3 2 2" xfId="31870"/>
    <cellStyle name="Примечание 2 9 3 2 3" xfId="41743"/>
    <cellStyle name="Примечание 2 9 3 3" xfId="26602"/>
    <cellStyle name="Примечание 2 9 3 4" xfId="36477"/>
    <cellStyle name="Примечание 2 9 4" xfId="13951"/>
    <cellStyle name="Примечание 2 9 4 2" xfId="16594"/>
    <cellStyle name="Примечание 2 9 4 2 2" xfId="30409"/>
    <cellStyle name="Примечание 2 9 4 2 3" xfId="40284"/>
    <cellStyle name="Примечание 2 9 4 3" xfId="19234"/>
    <cellStyle name="Примечание 2 9 4 3 2" xfId="33044"/>
    <cellStyle name="Примечание 2 9 4 3 3" xfId="42913"/>
    <cellStyle name="Примечание 2 9 4 4" xfId="27772"/>
    <cellStyle name="Примечание 2 9 4 5" xfId="37647"/>
    <cellStyle name="Примечание 2 9 5" xfId="15449"/>
    <cellStyle name="Примечание 2 9 5 2" xfId="29268"/>
    <cellStyle name="Примечание 2 9 5 3" xfId="39143"/>
    <cellStyle name="Примечание 2 9 6" xfId="25176"/>
    <cellStyle name="Примечание 2 9 7" xfId="35051"/>
    <cellStyle name="Примечание 3" xfId="2219"/>
    <cellStyle name="Примечание 3 10" xfId="2677"/>
    <cellStyle name="Примечание 3 10 2" xfId="10849"/>
    <cellStyle name="Примечание 3 10 3" xfId="12663"/>
    <cellStyle name="Примечание 3 10 3 2" xfId="17995"/>
    <cellStyle name="Примечание 3 10 3 2 2" xfId="31805"/>
    <cellStyle name="Примечание 3 10 3 2 3" xfId="41678"/>
    <cellStyle name="Примечание 3 10 3 3" xfId="26537"/>
    <cellStyle name="Примечание 3 10 3 4" xfId="36412"/>
    <cellStyle name="Примечание 3 10 4" xfId="13885"/>
    <cellStyle name="Примечание 3 10 4 2" xfId="16528"/>
    <cellStyle name="Примечание 3 10 4 2 2" xfId="30344"/>
    <cellStyle name="Примечание 3 10 4 2 3" xfId="40219"/>
    <cellStyle name="Примечание 3 10 4 3" xfId="19168"/>
    <cellStyle name="Примечание 3 10 4 3 2" xfId="32978"/>
    <cellStyle name="Примечание 3 10 4 3 3" xfId="42848"/>
    <cellStyle name="Примечание 3 10 4 4" xfId="27707"/>
    <cellStyle name="Примечание 3 10 4 5" xfId="37582"/>
    <cellStyle name="Примечание 3 10 5" xfId="15383"/>
    <cellStyle name="Примечание 3 10 5 2" xfId="29203"/>
    <cellStyle name="Примечание 3 10 5 3" xfId="39078"/>
    <cellStyle name="Примечание 3 10 6" xfId="25111"/>
    <cellStyle name="Примечание 3 10 7" xfId="34986"/>
    <cellStyle name="Примечание 3 11" xfId="2805"/>
    <cellStyle name="Примечание 3 11 2" xfId="10850"/>
    <cellStyle name="Примечание 3 11 3" xfId="12780"/>
    <cellStyle name="Примечание 3 11 3 2" xfId="18112"/>
    <cellStyle name="Примечание 3 11 3 2 2" xfId="31922"/>
    <cellStyle name="Примечание 3 11 3 2 3" xfId="41795"/>
    <cellStyle name="Примечание 3 11 3 3" xfId="26654"/>
    <cellStyle name="Примечание 3 11 3 4" xfId="36529"/>
    <cellStyle name="Примечание 3 11 4" xfId="14003"/>
    <cellStyle name="Примечание 3 11 4 2" xfId="16646"/>
    <cellStyle name="Примечание 3 11 4 2 2" xfId="30461"/>
    <cellStyle name="Примечание 3 11 4 2 3" xfId="40336"/>
    <cellStyle name="Примечание 3 11 4 3" xfId="19286"/>
    <cellStyle name="Примечание 3 11 4 3 2" xfId="33096"/>
    <cellStyle name="Примечание 3 11 4 3 3" xfId="42965"/>
    <cellStyle name="Примечание 3 11 4 4" xfId="27824"/>
    <cellStyle name="Примечание 3 11 4 5" xfId="37699"/>
    <cellStyle name="Примечание 3 11 5" xfId="15501"/>
    <cellStyle name="Примечание 3 11 5 2" xfId="29320"/>
    <cellStyle name="Примечание 3 11 5 3" xfId="39195"/>
    <cellStyle name="Примечание 3 11 6" xfId="25228"/>
    <cellStyle name="Примечание 3 11 7" xfId="35103"/>
    <cellStyle name="Примечание 3 12" xfId="2861"/>
    <cellStyle name="Примечание 3 12 2" xfId="10851"/>
    <cellStyle name="Примечание 3 12 3" xfId="12833"/>
    <cellStyle name="Примечание 3 12 3 2" xfId="18165"/>
    <cellStyle name="Примечание 3 12 3 2 2" xfId="31975"/>
    <cellStyle name="Примечание 3 12 3 2 3" xfId="41848"/>
    <cellStyle name="Примечание 3 12 3 3" xfId="26707"/>
    <cellStyle name="Примечание 3 12 3 4" xfId="36582"/>
    <cellStyle name="Примечание 3 12 4" xfId="14056"/>
    <cellStyle name="Примечание 3 12 4 2" xfId="16699"/>
    <cellStyle name="Примечание 3 12 4 2 2" xfId="30514"/>
    <cellStyle name="Примечание 3 12 4 2 3" xfId="40389"/>
    <cellStyle name="Примечание 3 12 4 3" xfId="19339"/>
    <cellStyle name="Примечание 3 12 4 3 2" xfId="33149"/>
    <cellStyle name="Примечание 3 12 4 3 3" xfId="43018"/>
    <cellStyle name="Примечание 3 12 4 4" xfId="27877"/>
    <cellStyle name="Примечание 3 12 4 5" xfId="37752"/>
    <cellStyle name="Примечание 3 12 5" xfId="15554"/>
    <cellStyle name="Примечание 3 12 5 2" xfId="29373"/>
    <cellStyle name="Примечание 3 12 5 3" xfId="39248"/>
    <cellStyle name="Примечание 3 12 6" xfId="25281"/>
    <cellStyle name="Примечание 3 12 7" xfId="35156"/>
    <cellStyle name="Примечание 3 13" xfId="2909"/>
    <cellStyle name="Примечание 3 13 2" xfId="10852"/>
    <cellStyle name="Примечание 3 13 3" xfId="12879"/>
    <cellStyle name="Примечание 3 13 3 2" xfId="18211"/>
    <cellStyle name="Примечание 3 13 3 2 2" xfId="32021"/>
    <cellStyle name="Примечание 3 13 3 2 3" xfId="41894"/>
    <cellStyle name="Примечание 3 13 3 3" xfId="26753"/>
    <cellStyle name="Примечание 3 13 3 4" xfId="36628"/>
    <cellStyle name="Примечание 3 13 4" xfId="14102"/>
    <cellStyle name="Примечание 3 13 4 2" xfId="16745"/>
    <cellStyle name="Примечание 3 13 4 2 2" xfId="30560"/>
    <cellStyle name="Примечание 3 13 4 2 3" xfId="40435"/>
    <cellStyle name="Примечание 3 13 4 3" xfId="19385"/>
    <cellStyle name="Примечание 3 13 4 3 2" xfId="33195"/>
    <cellStyle name="Примечание 3 13 4 3 3" xfId="43064"/>
    <cellStyle name="Примечание 3 13 4 4" xfId="27923"/>
    <cellStyle name="Примечание 3 13 4 5" xfId="37798"/>
    <cellStyle name="Примечание 3 13 5" xfId="15600"/>
    <cellStyle name="Примечание 3 13 5 2" xfId="29419"/>
    <cellStyle name="Примечание 3 13 5 3" xfId="39294"/>
    <cellStyle name="Примечание 3 13 6" xfId="25327"/>
    <cellStyle name="Примечание 3 13 7" xfId="35202"/>
    <cellStyle name="Примечание 3 14" xfId="2963"/>
    <cellStyle name="Примечание 3 14 2" xfId="10853"/>
    <cellStyle name="Примечание 3 14 3" xfId="12932"/>
    <cellStyle name="Примечание 3 14 3 2" xfId="18264"/>
    <cellStyle name="Примечание 3 14 3 2 2" xfId="32074"/>
    <cellStyle name="Примечание 3 14 3 2 3" xfId="41947"/>
    <cellStyle name="Примечание 3 14 3 3" xfId="26806"/>
    <cellStyle name="Примечание 3 14 3 4" xfId="36681"/>
    <cellStyle name="Примечание 3 14 4" xfId="14155"/>
    <cellStyle name="Примечание 3 14 4 2" xfId="16798"/>
    <cellStyle name="Примечание 3 14 4 2 2" xfId="30613"/>
    <cellStyle name="Примечание 3 14 4 2 3" xfId="40488"/>
    <cellStyle name="Примечание 3 14 4 3" xfId="19438"/>
    <cellStyle name="Примечание 3 14 4 3 2" xfId="33248"/>
    <cellStyle name="Примечание 3 14 4 3 3" xfId="43117"/>
    <cellStyle name="Примечание 3 14 4 4" xfId="27976"/>
    <cellStyle name="Примечание 3 14 4 5" xfId="37851"/>
    <cellStyle name="Примечание 3 14 5" xfId="15653"/>
    <cellStyle name="Примечание 3 14 5 2" xfId="29472"/>
    <cellStyle name="Примечание 3 14 5 3" xfId="39347"/>
    <cellStyle name="Примечание 3 14 6" xfId="25380"/>
    <cellStyle name="Примечание 3 14 7" xfId="35255"/>
    <cellStyle name="Примечание 3 15" xfId="3012"/>
    <cellStyle name="Примечание 3 15 2" xfId="12059"/>
    <cellStyle name="Примечание 3 15 2 2" xfId="14957"/>
    <cellStyle name="Примечание 3 15 2 2 2" xfId="20240"/>
    <cellStyle name="Примечание 3 15 2 2 2 2" xfId="23223"/>
    <cellStyle name="Примечание 3 15 2 2 2 3" xfId="34050"/>
    <cellStyle name="Примечание 3 15 2 2 2 4" xfId="43918"/>
    <cellStyle name="Примечание 3 15 2 2 3" xfId="23511"/>
    <cellStyle name="Примечание 3 15 2 2 4" xfId="28777"/>
    <cellStyle name="Примечание 3 15 2 2 5" xfId="38652"/>
    <cellStyle name="Примечание 3 15 2 3" xfId="14473"/>
    <cellStyle name="Примечание 3 15 2 3 2" xfId="16947"/>
    <cellStyle name="Примечание 3 15 2 3 2 2" xfId="30761"/>
    <cellStyle name="Примечание 3 15 2 3 2 3" xfId="40636"/>
    <cellStyle name="Примечание 3 15 2 3 3" xfId="19756"/>
    <cellStyle name="Примечание 3 15 2 3 3 2" xfId="33566"/>
    <cellStyle name="Примечание 3 15 2 3 3 3" xfId="43434"/>
    <cellStyle name="Примечание 3 15 2 3 4" xfId="28293"/>
    <cellStyle name="Примечание 3 15 2 3 5" xfId="38168"/>
    <cellStyle name="Примечание 3 15 2 4" xfId="15982"/>
    <cellStyle name="Примечание 3 15 2 4 2" xfId="21838"/>
    <cellStyle name="Примечание 3 15 2 4 3" xfId="29801"/>
    <cellStyle name="Примечание 3 15 2 4 4" xfId="39676"/>
    <cellStyle name="Примечание 3 15 2 5" xfId="24135"/>
    <cellStyle name="Примечание 3 15 2 6" xfId="25933"/>
    <cellStyle name="Примечание 3 15 2 7" xfId="35808"/>
    <cellStyle name="Примечание 3 15 3" xfId="12979"/>
    <cellStyle name="Примечание 3 15 3 2" xfId="18311"/>
    <cellStyle name="Примечание 3 15 3 2 2" xfId="32121"/>
    <cellStyle name="Примечание 3 15 3 2 3" xfId="41994"/>
    <cellStyle name="Примечание 3 15 3 3" xfId="23495"/>
    <cellStyle name="Примечание 3 15 3 4" xfId="26853"/>
    <cellStyle name="Примечание 3 15 3 5" xfId="36728"/>
    <cellStyle name="Примечание 3 15 4" xfId="14202"/>
    <cellStyle name="Примечание 3 15 4 2" xfId="16845"/>
    <cellStyle name="Примечание 3 15 4 2 2" xfId="30660"/>
    <cellStyle name="Примечание 3 15 4 2 3" xfId="40535"/>
    <cellStyle name="Примечание 3 15 4 3" xfId="19485"/>
    <cellStyle name="Примечание 3 15 4 3 2" xfId="33295"/>
    <cellStyle name="Примечание 3 15 4 3 3" xfId="43164"/>
    <cellStyle name="Примечание 3 15 4 4" xfId="28023"/>
    <cellStyle name="Примечание 3 15 4 5" xfId="37898"/>
    <cellStyle name="Примечание 3 15 5" xfId="21750"/>
    <cellStyle name="Примечание 3 15 6" xfId="22487"/>
    <cellStyle name="Примечание 3 15 7" xfId="23975"/>
    <cellStyle name="Примечание 3 15 8" xfId="25427"/>
    <cellStyle name="Примечание 3 15 9" xfId="35302"/>
    <cellStyle name="Примечание 3 16" xfId="12139"/>
    <cellStyle name="Примечание 3 16 2" xfId="15037"/>
    <cellStyle name="Примечание 3 16 2 2" xfId="20320"/>
    <cellStyle name="Примечание 3 16 2 2 2" xfId="23239"/>
    <cellStyle name="Примечание 3 16 2 2 3" xfId="34130"/>
    <cellStyle name="Примечание 3 16 2 2 4" xfId="43998"/>
    <cellStyle name="Примечание 3 16 2 3" xfId="23591"/>
    <cellStyle name="Примечание 3 16 2 4" xfId="28857"/>
    <cellStyle name="Примечание 3 16 2 5" xfId="38732"/>
    <cellStyle name="Примечание 3 16 3" xfId="14476"/>
    <cellStyle name="Примечание 3 16 3 2" xfId="16950"/>
    <cellStyle name="Примечание 3 16 3 2 2" xfId="30764"/>
    <cellStyle name="Примечание 3 16 3 2 3" xfId="40639"/>
    <cellStyle name="Примечание 3 16 3 3" xfId="19759"/>
    <cellStyle name="Примечание 3 16 3 3 2" xfId="33569"/>
    <cellStyle name="Примечание 3 16 3 3 3" xfId="43437"/>
    <cellStyle name="Примечание 3 16 3 4" xfId="28296"/>
    <cellStyle name="Примечание 3 16 3 5" xfId="38171"/>
    <cellStyle name="Примечание 3 16 4" xfId="21518"/>
    <cellStyle name="Примечание 3 16 5" xfId="21886"/>
    <cellStyle name="Примечание 3 16 6" xfId="22711"/>
    <cellStyle name="Примечание 3 16 7" xfId="24215"/>
    <cellStyle name="Примечание 3 16 8" xfId="26013"/>
    <cellStyle name="Примечание 3 16 9" xfId="35888"/>
    <cellStyle name="Примечание 3 17" xfId="12219"/>
    <cellStyle name="Примечание 3 17 2" xfId="15117"/>
    <cellStyle name="Примечание 3 17 2 2" xfId="20400"/>
    <cellStyle name="Примечание 3 17 2 2 2" xfId="23255"/>
    <cellStyle name="Примечание 3 17 2 2 3" xfId="34210"/>
    <cellStyle name="Примечание 3 17 2 2 4" xfId="44078"/>
    <cellStyle name="Примечание 3 17 2 3" xfId="23671"/>
    <cellStyle name="Примечание 3 17 2 4" xfId="28937"/>
    <cellStyle name="Примечание 3 17 2 5" xfId="38812"/>
    <cellStyle name="Примечание 3 17 3" xfId="14419"/>
    <cellStyle name="Примечание 3 17 3 2" xfId="16932"/>
    <cellStyle name="Примечание 3 17 3 2 2" xfId="30747"/>
    <cellStyle name="Примечание 3 17 3 2 3" xfId="40622"/>
    <cellStyle name="Примечание 3 17 3 3" xfId="19702"/>
    <cellStyle name="Примечание 3 17 3 3 2" xfId="33512"/>
    <cellStyle name="Примечание 3 17 3 3 3" xfId="43381"/>
    <cellStyle name="Примечание 3 17 3 4" xfId="28240"/>
    <cellStyle name="Примечание 3 17 3 5" xfId="38115"/>
    <cellStyle name="Примечание 3 17 4" xfId="21598"/>
    <cellStyle name="Примечание 3 17 5" xfId="21934"/>
    <cellStyle name="Примечание 3 17 6" xfId="22791"/>
    <cellStyle name="Примечание 3 17 7" xfId="24295"/>
    <cellStyle name="Примечание 3 17 8" xfId="26093"/>
    <cellStyle name="Примечание 3 17 9" xfId="35968"/>
    <cellStyle name="Примечание 3 18" xfId="11821"/>
    <cellStyle name="Примечание 3 18 2" xfId="14719"/>
    <cellStyle name="Примечание 3 18 2 2" xfId="20002"/>
    <cellStyle name="Примечание 3 18 2 2 2" xfId="33812"/>
    <cellStyle name="Примечание 3 18 2 2 3" xfId="43680"/>
    <cellStyle name="Примечание 3 18 2 3" xfId="28539"/>
    <cellStyle name="Примечание 3 18 2 4" xfId="38414"/>
    <cellStyle name="Примечание 3 18 3" xfId="13050"/>
    <cellStyle name="Примечание 3 18 3 2" xfId="16001"/>
    <cellStyle name="Примечание 3 18 3 2 2" xfId="29820"/>
    <cellStyle name="Примечание 3 18 3 2 3" xfId="39695"/>
    <cellStyle name="Примечание 3 18 3 3" xfId="18382"/>
    <cellStyle name="Примечание 3 18 3 3 2" xfId="32192"/>
    <cellStyle name="Примечание 3 18 3 3 3" xfId="42065"/>
    <cellStyle name="Примечание 3 18 3 4" xfId="26924"/>
    <cellStyle name="Примечание 3 18 3 5" xfId="36799"/>
    <cellStyle name="Примечание 3 18 4" xfId="15952"/>
    <cellStyle name="Примечание 3 18 4 2" xfId="23268"/>
    <cellStyle name="Примечание 3 18 4 3" xfId="29771"/>
    <cellStyle name="Примечание 3 18 4 4" xfId="39646"/>
    <cellStyle name="Примечание 3 18 5" xfId="25695"/>
    <cellStyle name="Примечание 3 18 6" xfId="35570"/>
    <cellStyle name="Примечание 3 19" xfId="13546"/>
    <cellStyle name="Примечание 3 19 2" xfId="16244"/>
    <cellStyle name="Примечание 3 19 2 2" xfId="30061"/>
    <cellStyle name="Примечание 3 19 2 3" xfId="39936"/>
    <cellStyle name="Примечание 3 19 3" xfId="18875"/>
    <cellStyle name="Примечание 3 19 3 2" xfId="32685"/>
    <cellStyle name="Примечание 3 19 3 3" xfId="42556"/>
    <cellStyle name="Примечание 3 19 4" xfId="27415"/>
    <cellStyle name="Примечание 3 19 5" xfId="37290"/>
    <cellStyle name="Примечание 3 2" xfId="2220"/>
    <cellStyle name="Примечание 3 2 10" xfId="2862"/>
    <cellStyle name="Примечание 3 2 10 2" xfId="12834"/>
    <cellStyle name="Примечание 3 2 10 2 2" xfId="18166"/>
    <cellStyle name="Примечание 3 2 10 2 2 2" xfId="31976"/>
    <cellStyle name="Примечание 3 2 10 2 2 3" xfId="41849"/>
    <cellStyle name="Примечание 3 2 10 2 3" xfId="26708"/>
    <cellStyle name="Примечание 3 2 10 2 4" xfId="36583"/>
    <cellStyle name="Примечание 3 2 10 3" xfId="14057"/>
    <cellStyle name="Примечание 3 2 10 3 2" xfId="16700"/>
    <cellStyle name="Примечание 3 2 10 3 2 2" xfId="30515"/>
    <cellStyle name="Примечание 3 2 10 3 2 3" xfId="40390"/>
    <cellStyle name="Примечание 3 2 10 3 3" xfId="19340"/>
    <cellStyle name="Примечание 3 2 10 3 3 2" xfId="33150"/>
    <cellStyle name="Примечание 3 2 10 3 3 3" xfId="43019"/>
    <cellStyle name="Примечание 3 2 10 3 4" xfId="27878"/>
    <cellStyle name="Примечание 3 2 10 3 5" xfId="37753"/>
    <cellStyle name="Примечание 3 2 10 4" xfId="15555"/>
    <cellStyle name="Примечание 3 2 10 4 2" xfId="29374"/>
    <cellStyle name="Примечание 3 2 10 4 3" xfId="39249"/>
    <cellStyle name="Примечание 3 2 10 5" xfId="25282"/>
    <cellStyle name="Примечание 3 2 10 6" xfId="35157"/>
    <cellStyle name="Примечание 3 2 11" xfId="2910"/>
    <cellStyle name="Примечание 3 2 11 2" xfId="12880"/>
    <cellStyle name="Примечание 3 2 11 2 2" xfId="18212"/>
    <cellStyle name="Примечание 3 2 11 2 2 2" xfId="32022"/>
    <cellStyle name="Примечание 3 2 11 2 2 3" xfId="41895"/>
    <cellStyle name="Примечание 3 2 11 2 3" xfId="26754"/>
    <cellStyle name="Примечание 3 2 11 2 4" xfId="36629"/>
    <cellStyle name="Примечание 3 2 11 3" xfId="14103"/>
    <cellStyle name="Примечание 3 2 11 3 2" xfId="16746"/>
    <cellStyle name="Примечание 3 2 11 3 2 2" xfId="30561"/>
    <cellStyle name="Примечание 3 2 11 3 2 3" xfId="40436"/>
    <cellStyle name="Примечание 3 2 11 3 3" xfId="19386"/>
    <cellStyle name="Примечание 3 2 11 3 3 2" xfId="33196"/>
    <cellStyle name="Примечание 3 2 11 3 3 3" xfId="43065"/>
    <cellStyle name="Примечание 3 2 11 3 4" xfId="27924"/>
    <cellStyle name="Примечание 3 2 11 3 5" xfId="37799"/>
    <cellStyle name="Примечание 3 2 11 4" xfId="15601"/>
    <cellStyle name="Примечание 3 2 11 4 2" xfId="29420"/>
    <cellStyle name="Примечание 3 2 11 4 3" xfId="39295"/>
    <cellStyle name="Примечание 3 2 11 5" xfId="25328"/>
    <cellStyle name="Примечание 3 2 11 6" xfId="35203"/>
    <cellStyle name="Примечание 3 2 12" xfId="2964"/>
    <cellStyle name="Примечание 3 2 12 2" xfId="12933"/>
    <cellStyle name="Примечание 3 2 12 2 2" xfId="18265"/>
    <cellStyle name="Примечание 3 2 12 2 2 2" xfId="32075"/>
    <cellStyle name="Примечание 3 2 12 2 2 3" xfId="41948"/>
    <cellStyle name="Примечание 3 2 12 2 3" xfId="26807"/>
    <cellStyle name="Примечание 3 2 12 2 4" xfId="36682"/>
    <cellStyle name="Примечание 3 2 12 3" xfId="14156"/>
    <cellStyle name="Примечание 3 2 12 3 2" xfId="16799"/>
    <cellStyle name="Примечание 3 2 12 3 2 2" xfId="30614"/>
    <cellStyle name="Примечание 3 2 12 3 2 3" xfId="40489"/>
    <cellStyle name="Примечание 3 2 12 3 3" xfId="19439"/>
    <cellStyle name="Примечание 3 2 12 3 3 2" xfId="33249"/>
    <cellStyle name="Примечание 3 2 12 3 3 3" xfId="43118"/>
    <cellStyle name="Примечание 3 2 12 3 4" xfId="27977"/>
    <cellStyle name="Примечание 3 2 12 3 5" xfId="37852"/>
    <cellStyle name="Примечание 3 2 12 4" xfId="15654"/>
    <cellStyle name="Примечание 3 2 12 4 2" xfId="29473"/>
    <cellStyle name="Примечание 3 2 12 4 3" xfId="39348"/>
    <cellStyle name="Примечание 3 2 12 5" xfId="25381"/>
    <cellStyle name="Примечание 3 2 12 6" xfId="35256"/>
    <cellStyle name="Примечание 3 2 13" xfId="3013"/>
    <cellStyle name="Примечание 3 2 13 2" xfId="12980"/>
    <cellStyle name="Примечание 3 2 13 2 2" xfId="18312"/>
    <cellStyle name="Примечание 3 2 13 2 2 2" xfId="32122"/>
    <cellStyle name="Примечание 3 2 13 2 2 3" xfId="41995"/>
    <cellStyle name="Примечание 3 2 13 2 3" xfId="26854"/>
    <cellStyle name="Примечание 3 2 13 2 4" xfId="36729"/>
    <cellStyle name="Примечание 3 2 13 3" xfId="14203"/>
    <cellStyle name="Примечание 3 2 13 3 2" xfId="16846"/>
    <cellStyle name="Примечание 3 2 13 3 2 2" xfId="30661"/>
    <cellStyle name="Примечание 3 2 13 3 2 3" xfId="40536"/>
    <cellStyle name="Примечание 3 2 13 3 3" xfId="19486"/>
    <cellStyle name="Примечание 3 2 13 3 3 2" xfId="33296"/>
    <cellStyle name="Примечание 3 2 13 3 3 3" xfId="43165"/>
    <cellStyle name="Примечание 3 2 13 3 4" xfId="28024"/>
    <cellStyle name="Примечание 3 2 13 3 5" xfId="37899"/>
    <cellStyle name="Примечание 3 2 13 4" xfId="15691"/>
    <cellStyle name="Примечание 3 2 13 4 2" xfId="29510"/>
    <cellStyle name="Примечание 3 2 13 4 3" xfId="39385"/>
    <cellStyle name="Примечание 3 2 13 5" xfId="25428"/>
    <cellStyle name="Примечание 3 2 13 6" xfId="35303"/>
    <cellStyle name="Примечание 3 2 14" xfId="11822"/>
    <cellStyle name="Примечание 3 2 14 2" xfId="14720"/>
    <cellStyle name="Примечание 3 2 14 2 2" xfId="20003"/>
    <cellStyle name="Примечание 3 2 14 2 2 2" xfId="33813"/>
    <cellStyle name="Примечание 3 2 14 2 2 3" xfId="43681"/>
    <cellStyle name="Примечание 3 2 14 2 3" xfId="28540"/>
    <cellStyle name="Примечание 3 2 14 2 4" xfId="38415"/>
    <cellStyle name="Примечание 3 2 14 3" xfId="14252"/>
    <cellStyle name="Примечание 3 2 14 3 2" xfId="16895"/>
    <cellStyle name="Примечание 3 2 14 3 2 2" xfId="30710"/>
    <cellStyle name="Примечание 3 2 14 3 2 3" xfId="40585"/>
    <cellStyle name="Примечание 3 2 14 3 3" xfId="19535"/>
    <cellStyle name="Примечание 3 2 14 3 3 2" xfId="33345"/>
    <cellStyle name="Примечание 3 2 14 3 3 3" xfId="43214"/>
    <cellStyle name="Примечание 3 2 14 3 4" xfId="28073"/>
    <cellStyle name="Примечание 3 2 14 3 5" xfId="37948"/>
    <cellStyle name="Примечание 3 2 14 4" xfId="15953"/>
    <cellStyle name="Примечание 3 2 14 4 2" xfId="24575"/>
    <cellStyle name="Примечание 3 2 14 4 3" xfId="29772"/>
    <cellStyle name="Примечание 3 2 14 4 4" xfId="39647"/>
    <cellStyle name="Примечание 3 2 14 5" xfId="25696"/>
    <cellStyle name="Примечание 3 2 14 6" xfId="35571"/>
    <cellStyle name="Примечание 3 2 15" xfId="12390"/>
    <cellStyle name="Примечание 3 2 15 2" xfId="17722"/>
    <cellStyle name="Примечание 3 2 15 2 2" xfId="31532"/>
    <cellStyle name="Примечание 3 2 15 2 3" xfId="41405"/>
    <cellStyle name="Примечание 3 2 15 3" xfId="26264"/>
    <cellStyle name="Примечание 3 2 15 4" xfId="36139"/>
    <cellStyle name="Примечание 3 2 16" xfId="13547"/>
    <cellStyle name="Примечание 3 2 16 2" xfId="16245"/>
    <cellStyle name="Примечание 3 2 16 2 2" xfId="30062"/>
    <cellStyle name="Примечание 3 2 16 2 3" xfId="39937"/>
    <cellStyle name="Примечание 3 2 16 3" xfId="18876"/>
    <cellStyle name="Примечание 3 2 16 3 2" xfId="32686"/>
    <cellStyle name="Примечание 3 2 16 3 3" xfId="42557"/>
    <cellStyle name="Примечание 3 2 16 4" xfId="27416"/>
    <cellStyle name="Примечание 3 2 16 5" xfId="37291"/>
    <cellStyle name="Примечание 3 2 17" xfId="13497"/>
    <cellStyle name="Примечание 3 2 17 2" xfId="18826"/>
    <cellStyle name="Примечание 3 2 17 2 2" xfId="32636"/>
    <cellStyle name="Примечание 3 2 17 2 3" xfId="42507"/>
    <cellStyle name="Примечание 3 2 17 3" xfId="27366"/>
    <cellStyle name="Примечание 3 2 17 4" xfId="37241"/>
    <cellStyle name="Примечание 3 2 18" xfId="17398"/>
    <cellStyle name="Примечание 3 2 18 2" xfId="31209"/>
    <cellStyle name="Примечание 3 2 18 3" xfId="41083"/>
    <cellStyle name="Примечание 3 2 19" xfId="24834"/>
    <cellStyle name="Примечание 3 2 2" xfId="2593"/>
    <cellStyle name="Примечание 3 2 2 2" xfId="10854"/>
    <cellStyle name="Примечание 3 2 2 3" xfId="12579"/>
    <cellStyle name="Примечание 3 2 2 3 2" xfId="17911"/>
    <cellStyle name="Примечание 3 2 2 3 2 2" xfId="31721"/>
    <cellStyle name="Примечание 3 2 2 3 2 3" xfId="41594"/>
    <cellStyle name="Примечание 3 2 2 3 3" xfId="26453"/>
    <cellStyle name="Примечание 3 2 2 3 4" xfId="36328"/>
    <cellStyle name="Примечание 3 2 2 4" xfId="13801"/>
    <cellStyle name="Примечание 3 2 2 4 2" xfId="16444"/>
    <cellStyle name="Примечание 3 2 2 4 2 2" xfId="30260"/>
    <cellStyle name="Примечание 3 2 2 4 2 3" xfId="40135"/>
    <cellStyle name="Примечание 3 2 2 4 3" xfId="19084"/>
    <cellStyle name="Примечание 3 2 2 4 3 2" xfId="32894"/>
    <cellStyle name="Примечание 3 2 2 4 3 3" xfId="42764"/>
    <cellStyle name="Примечание 3 2 2 4 4" xfId="27623"/>
    <cellStyle name="Примечание 3 2 2 4 5" xfId="37498"/>
    <cellStyle name="Примечание 3 2 2 5" xfId="15299"/>
    <cellStyle name="Примечание 3 2 2 5 2" xfId="29119"/>
    <cellStyle name="Примечание 3 2 2 5 3" xfId="38994"/>
    <cellStyle name="Примечание 3 2 2 6" xfId="25027"/>
    <cellStyle name="Примечание 3 2 2 7" xfId="34902"/>
    <cellStyle name="Примечание 3 2 20" xfId="34449"/>
    <cellStyle name="Примечание 3 2 21" xfId="34699"/>
    <cellStyle name="Примечание 3 2 3" xfId="2447"/>
    <cellStyle name="Примечание 3 2 3 2" xfId="12452"/>
    <cellStyle name="Примечание 3 2 3 2 2" xfId="17784"/>
    <cellStyle name="Примечание 3 2 3 2 2 2" xfId="31594"/>
    <cellStyle name="Примечание 3 2 3 2 2 3" xfId="41467"/>
    <cellStyle name="Примечание 3 2 3 2 3" xfId="26326"/>
    <cellStyle name="Примечание 3 2 3 2 4" xfId="36201"/>
    <cellStyle name="Примечание 3 2 3 3" xfId="13674"/>
    <cellStyle name="Примечание 3 2 3 3 2" xfId="16317"/>
    <cellStyle name="Примечание 3 2 3 3 2 2" xfId="30133"/>
    <cellStyle name="Примечание 3 2 3 3 2 3" xfId="40008"/>
    <cellStyle name="Примечание 3 2 3 3 3" xfId="18957"/>
    <cellStyle name="Примечание 3 2 3 3 3 2" xfId="32767"/>
    <cellStyle name="Примечание 3 2 3 3 3 3" xfId="42637"/>
    <cellStyle name="Примечание 3 2 3 3 4" xfId="27496"/>
    <cellStyle name="Примечание 3 2 3 3 5" xfId="37371"/>
    <cellStyle name="Примечание 3 2 3 4" xfId="15172"/>
    <cellStyle name="Примечание 3 2 3 4 2" xfId="28992"/>
    <cellStyle name="Примечание 3 2 3 4 3" xfId="38867"/>
    <cellStyle name="Примечание 3 2 3 5" xfId="24900"/>
    <cellStyle name="Примечание 3 2 3 6" xfId="34775"/>
    <cellStyle name="Примечание 3 2 4" xfId="2528"/>
    <cellStyle name="Примечание 3 2 4 2" xfId="12514"/>
    <cellStyle name="Примечание 3 2 4 2 2" xfId="17846"/>
    <cellStyle name="Примечание 3 2 4 2 2 2" xfId="31656"/>
    <cellStyle name="Примечание 3 2 4 2 2 3" xfId="41529"/>
    <cellStyle name="Примечание 3 2 4 2 3" xfId="26388"/>
    <cellStyle name="Примечание 3 2 4 2 4" xfId="36263"/>
    <cellStyle name="Примечание 3 2 4 3" xfId="13736"/>
    <cellStyle name="Примечание 3 2 4 3 2" xfId="16379"/>
    <cellStyle name="Примечание 3 2 4 3 2 2" xfId="30195"/>
    <cellStyle name="Примечание 3 2 4 3 2 3" xfId="40070"/>
    <cellStyle name="Примечание 3 2 4 3 3" xfId="19019"/>
    <cellStyle name="Примечание 3 2 4 3 3 2" xfId="32829"/>
    <cellStyle name="Примечание 3 2 4 3 3 3" xfId="42699"/>
    <cellStyle name="Примечание 3 2 4 3 4" xfId="27558"/>
    <cellStyle name="Примечание 3 2 4 3 5" xfId="37433"/>
    <cellStyle name="Примечание 3 2 4 4" xfId="15234"/>
    <cellStyle name="Примечание 3 2 4 4 2" xfId="29054"/>
    <cellStyle name="Примечание 3 2 4 4 3" xfId="38929"/>
    <cellStyle name="Примечание 3 2 4 5" xfId="24962"/>
    <cellStyle name="Примечание 3 2 4 6" xfId="34837"/>
    <cellStyle name="Примечание 3 2 5" xfId="2705"/>
    <cellStyle name="Примечание 3 2 5 2" xfId="12681"/>
    <cellStyle name="Примечание 3 2 5 2 2" xfId="18013"/>
    <cellStyle name="Примечание 3 2 5 2 2 2" xfId="31823"/>
    <cellStyle name="Примечание 3 2 5 2 2 3" xfId="41696"/>
    <cellStyle name="Примечание 3 2 5 2 3" xfId="26555"/>
    <cellStyle name="Примечание 3 2 5 2 4" xfId="36430"/>
    <cellStyle name="Примечание 3 2 5 3" xfId="13904"/>
    <cellStyle name="Примечание 3 2 5 3 2" xfId="16547"/>
    <cellStyle name="Примечание 3 2 5 3 2 2" xfId="30362"/>
    <cellStyle name="Примечание 3 2 5 3 2 3" xfId="40237"/>
    <cellStyle name="Примечание 3 2 5 3 3" xfId="19187"/>
    <cellStyle name="Примечание 3 2 5 3 3 2" xfId="32997"/>
    <cellStyle name="Примечание 3 2 5 3 3 3" xfId="42866"/>
    <cellStyle name="Примечание 3 2 5 3 4" xfId="27725"/>
    <cellStyle name="Примечание 3 2 5 3 5" xfId="37600"/>
    <cellStyle name="Примечание 3 2 5 4" xfId="15402"/>
    <cellStyle name="Примечание 3 2 5 4 2" xfId="29221"/>
    <cellStyle name="Примечание 3 2 5 4 3" xfId="39096"/>
    <cellStyle name="Примечание 3 2 5 5" xfId="25129"/>
    <cellStyle name="Примечание 3 2 5 6" xfId="35004"/>
    <cellStyle name="Примечание 3 2 6" xfId="2628"/>
    <cellStyle name="Примечание 3 2 6 2" xfId="12614"/>
    <cellStyle name="Примечание 3 2 6 2 2" xfId="17946"/>
    <cellStyle name="Примечание 3 2 6 2 2 2" xfId="31756"/>
    <cellStyle name="Примечание 3 2 6 2 2 3" xfId="41629"/>
    <cellStyle name="Примечание 3 2 6 2 3" xfId="26488"/>
    <cellStyle name="Примечание 3 2 6 2 4" xfId="36363"/>
    <cellStyle name="Примечание 3 2 6 3" xfId="13836"/>
    <cellStyle name="Примечание 3 2 6 3 2" xfId="16479"/>
    <cellStyle name="Примечание 3 2 6 3 2 2" xfId="30295"/>
    <cellStyle name="Примечание 3 2 6 3 2 3" xfId="40170"/>
    <cellStyle name="Примечание 3 2 6 3 3" xfId="19119"/>
    <cellStyle name="Примечание 3 2 6 3 3 2" xfId="32929"/>
    <cellStyle name="Примечание 3 2 6 3 3 3" xfId="42799"/>
    <cellStyle name="Примечание 3 2 6 3 4" xfId="27658"/>
    <cellStyle name="Примечание 3 2 6 3 5" xfId="37533"/>
    <cellStyle name="Примечание 3 2 6 4" xfId="15334"/>
    <cellStyle name="Примечание 3 2 6 4 2" xfId="29154"/>
    <cellStyle name="Примечание 3 2 6 4 3" xfId="39029"/>
    <cellStyle name="Примечание 3 2 6 5" xfId="25062"/>
    <cellStyle name="Примечание 3 2 6 6" xfId="34937"/>
    <cellStyle name="Примечание 3 2 7" xfId="2756"/>
    <cellStyle name="Примечание 3 2 7 2" xfId="12732"/>
    <cellStyle name="Примечание 3 2 7 2 2" xfId="18064"/>
    <cellStyle name="Примечание 3 2 7 2 2 2" xfId="31874"/>
    <cellStyle name="Примечание 3 2 7 2 2 3" xfId="41747"/>
    <cellStyle name="Примечание 3 2 7 2 3" xfId="26606"/>
    <cellStyle name="Примечание 3 2 7 2 4" xfId="36481"/>
    <cellStyle name="Примечание 3 2 7 3" xfId="13955"/>
    <cellStyle name="Примечание 3 2 7 3 2" xfId="16598"/>
    <cellStyle name="Примечание 3 2 7 3 2 2" xfId="30413"/>
    <cellStyle name="Примечание 3 2 7 3 2 3" xfId="40288"/>
    <cellStyle name="Примечание 3 2 7 3 3" xfId="19238"/>
    <cellStyle name="Примечание 3 2 7 3 3 2" xfId="33048"/>
    <cellStyle name="Примечание 3 2 7 3 3 3" xfId="42917"/>
    <cellStyle name="Примечание 3 2 7 3 4" xfId="27776"/>
    <cellStyle name="Примечание 3 2 7 3 5" xfId="37651"/>
    <cellStyle name="Примечание 3 2 7 4" xfId="15453"/>
    <cellStyle name="Примечание 3 2 7 4 2" xfId="29272"/>
    <cellStyle name="Примечание 3 2 7 4 3" xfId="39147"/>
    <cellStyle name="Примечание 3 2 7 5" xfId="25180"/>
    <cellStyle name="Примечание 3 2 7 6" xfId="35055"/>
    <cellStyle name="Примечание 3 2 8" xfId="2678"/>
    <cellStyle name="Примечание 3 2 8 2" xfId="12664"/>
    <cellStyle name="Примечание 3 2 8 2 2" xfId="17996"/>
    <cellStyle name="Примечание 3 2 8 2 2 2" xfId="31806"/>
    <cellStyle name="Примечание 3 2 8 2 2 3" xfId="41679"/>
    <cellStyle name="Примечание 3 2 8 2 3" xfId="26538"/>
    <cellStyle name="Примечание 3 2 8 2 4" xfId="36413"/>
    <cellStyle name="Примечание 3 2 8 3" xfId="13886"/>
    <cellStyle name="Примечание 3 2 8 3 2" xfId="16529"/>
    <cellStyle name="Примечание 3 2 8 3 2 2" xfId="30345"/>
    <cellStyle name="Примечание 3 2 8 3 2 3" xfId="40220"/>
    <cellStyle name="Примечание 3 2 8 3 3" xfId="19169"/>
    <cellStyle name="Примечание 3 2 8 3 3 2" xfId="32979"/>
    <cellStyle name="Примечание 3 2 8 3 3 3" xfId="42849"/>
    <cellStyle name="Примечание 3 2 8 3 4" xfId="27708"/>
    <cellStyle name="Примечание 3 2 8 3 5" xfId="37583"/>
    <cellStyle name="Примечание 3 2 8 4" xfId="15384"/>
    <cellStyle name="Примечание 3 2 8 4 2" xfId="29204"/>
    <cellStyle name="Примечание 3 2 8 4 3" xfId="39079"/>
    <cellStyle name="Примечание 3 2 8 5" xfId="25112"/>
    <cellStyle name="Примечание 3 2 8 6" xfId="34987"/>
    <cellStyle name="Примечание 3 2 9" xfId="2806"/>
    <cellStyle name="Примечание 3 2 9 2" xfId="12781"/>
    <cellStyle name="Примечание 3 2 9 2 2" xfId="18113"/>
    <cellStyle name="Примечание 3 2 9 2 2 2" xfId="31923"/>
    <cellStyle name="Примечание 3 2 9 2 2 3" xfId="41796"/>
    <cellStyle name="Примечание 3 2 9 2 3" xfId="26655"/>
    <cellStyle name="Примечание 3 2 9 2 4" xfId="36530"/>
    <cellStyle name="Примечание 3 2 9 3" xfId="14004"/>
    <cellStyle name="Примечание 3 2 9 3 2" xfId="16647"/>
    <cellStyle name="Примечание 3 2 9 3 2 2" xfId="30462"/>
    <cellStyle name="Примечание 3 2 9 3 2 3" xfId="40337"/>
    <cellStyle name="Примечание 3 2 9 3 3" xfId="19287"/>
    <cellStyle name="Примечание 3 2 9 3 3 2" xfId="33097"/>
    <cellStyle name="Примечание 3 2 9 3 3 3" xfId="42966"/>
    <cellStyle name="Примечание 3 2 9 3 4" xfId="27825"/>
    <cellStyle name="Примечание 3 2 9 3 5" xfId="37700"/>
    <cellStyle name="Примечание 3 2 9 4" xfId="15502"/>
    <cellStyle name="Примечание 3 2 9 4 2" xfId="29321"/>
    <cellStyle name="Примечание 3 2 9 4 3" xfId="39196"/>
    <cellStyle name="Примечание 3 2 9 5" xfId="25229"/>
    <cellStyle name="Примечание 3 2 9 6" xfId="35104"/>
    <cellStyle name="Примечание 3 20" xfId="13496"/>
    <cellStyle name="Примечание 3 20 2" xfId="18825"/>
    <cellStyle name="Примечание 3 20 2 2" xfId="32635"/>
    <cellStyle name="Примечание 3 20 2 3" xfId="42506"/>
    <cellStyle name="Примечание 3 20 3" xfId="27365"/>
    <cellStyle name="Примечание 3 20 4" xfId="37240"/>
    <cellStyle name="Примечание 3 21" xfId="17397"/>
    <cellStyle name="Примечание 3 21 2" xfId="21121"/>
    <cellStyle name="Примечание 3 21 3" xfId="31208"/>
    <cellStyle name="Примечание 3 21 4" xfId="41082"/>
    <cellStyle name="Примечание 3 22" xfId="23895"/>
    <cellStyle name="Примечание 3 23" xfId="24833"/>
    <cellStyle name="Примечание 3 24" xfId="34448"/>
    <cellStyle name="Примечание 3 25" xfId="34698"/>
    <cellStyle name="Примечание 3 3" xfId="2221"/>
    <cellStyle name="Примечание 3 3 10" xfId="2863"/>
    <cellStyle name="Примечание 3 3 10 2" xfId="12835"/>
    <cellStyle name="Примечание 3 3 10 2 2" xfId="18167"/>
    <cellStyle name="Примечание 3 3 10 2 2 2" xfId="31977"/>
    <cellStyle name="Примечание 3 3 10 2 2 3" xfId="41850"/>
    <cellStyle name="Примечание 3 3 10 2 3" xfId="26709"/>
    <cellStyle name="Примечание 3 3 10 2 4" xfId="36584"/>
    <cellStyle name="Примечание 3 3 10 3" xfId="14058"/>
    <cellStyle name="Примечание 3 3 10 3 2" xfId="16701"/>
    <cellStyle name="Примечание 3 3 10 3 2 2" xfId="30516"/>
    <cellStyle name="Примечание 3 3 10 3 2 3" xfId="40391"/>
    <cellStyle name="Примечание 3 3 10 3 3" xfId="19341"/>
    <cellStyle name="Примечание 3 3 10 3 3 2" xfId="33151"/>
    <cellStyle name="Примечание 3 3 10 3 3 3" xfId="43020"/>
    <cellStyle name="Примечание 3 3 10 3 4" xfId="27879"/>
    <cellStyle name="Примечание 3 3 10 3 5" xfId="37754"/>
    <cellStyle name="Примечание 3 3 10 4" xfId="15556"/>
    <cellStyle name="Примечание 3 3 10 4 2" xfId="29375"/>
    <cellStyle name="Примечание 3 3 10 4 3" xfId="39250"/>
    <cellStyle name="Примечание 3 3 10 5" xfId="25283"/>
    <cellStyle name="Примечание 3 3 10 6" xfId="35158"/>
    <cellStyle name="Примечание 3 3 11" xfId="2911"/>
    <cellStyle name="Примечание 3 3 11 2" xfId="12881"/>
    <cellStyle name="Примечание 3 3 11 2 2" xfId="18213"/>
    <cellStyle name="Примечание 3 3 11 2 2 2" xfId="32023"/>
    <cellStyle name="Примечание 3 3 11 2 2 3" xfId="41896"/>
    <cellStyle name="Примечание 3 3 11 2 3" xfId="26755"/>
    <cellStyle name="Примечание 3 3 11 2 4" xfId="36630"/>
    <cellStyle name="Примечание 3 3 11 3" xfId="14104"/>
    <cellStyle name="Примечание 3 3 11 3 2" xfId="16747"/>
    <cellStyle name="Примечание 3 3 11 3 2 2" xfId="30562"/>
    <cellStyle name="Примечание 3 3 11 3 2 3" xfId="40437"/>
    <cellStyle name="Примечание 3 3 11 3 3" xfId="19387"/>
    <cellStyle name="Примечание 3 3 11 3 3 2" xfId="33197"/>
    <cellStyle name="Примечание 3 3 11 3 3 3" xfId="43066"/>
    <cellStyle name="Примечание 3 3 11 3 4" xfId="27925"/>
    <cellStyle name="Примечание 3 3 11 3 5" xfId="37800"/>
    <cellStyle name="Примечание 3 3 11 4" xfId="15602"/>
    <cellStyle name="Примечание 3 3 11 4 2" xfId="29421"/>
    <cellStyle name="Примечание 3 3 11 4 3" xfId="39296"/>
    <cellStyle name="Примечание 3 3 11 5" xfId="25329"/>
    <cellStyle name="Примечание 3 3 11 6" xfId="35204"/>
    <cellStyle name="Примечание 3 3 12" xfId="2965"/>
    <cellStyle name="Примечание 3 3 12 2" xfId="12934"/>
    <cellStyle name="Примечание 3 3 12 2 2" xfId="18266"/>
    <cellStyle name="Примечание 3 3 12 2 2 2" xfId="32076"/>
    <cellStyle name="Примечание 3 3 12 2 2 3" xfId="41949"/>
    <cellStyle name="Примечание 3 3 12 2 3" xfId="26808"/>
    <cellStyle name="Примечание 3 3 12 2 4" xfId="36683"/>
    <cellStyle name="Примечание 3 3 12 3" xfId="14157"/>
    <cellStyle name="Примечание 3 3 12 3 2" xfId="16800"/>
    <cellStyle name="Примечание 3 3 12 3 2 2" xfId="30615"/>
    <cellStyle name="Примечание 3 3 12 3 2 3" xfId="40490"/>
    <cellStyle name="Примечание 3 3 12 3 3" xfId="19440"/>
    <cellStyle name="Примечание 3 3 12 3 3 2" xfId="33250"/>
    <cellStyle name="Примечание 3 3 12 3 3 3" xfId="43119"/>
    <cellStyle name="Примечание 3 3 12 3 4" xfId="27978"/>
    <cellStyle name="Примечание 3 3 12 3 5" xfId="37853"/>
    <cellStyle name="Примечание 3 3 12 4" xfId="15655"/>
    <cellStyle name="Примечание 3 3 12 4 2" xfId="29474"/>
    <cellStyle name="Примечание 3 3 12 4 3" xfId="39349"/>
    <cellStyle name="Примечание 3 3 12 5" xfId="25382"/>
    <cellStyle name="Примечание 3 3 12 6" xfId="35257"/>
    <cellStyle name="Примечание 3 3 13" xfId="3014"/>
    <cellStyle name="Примечание 3 3 13 2" xfId="12981"/>
    <cellStyle name="Примечание 3 3 13 2 2" xfId="18313"/>
    <cellStyle name="Примечание 3 3 13 2 2 2" xfId="32123"/>
    <cellStyle name="Примечание 3 3 13 2 2 3" xfId="41996"/>
    <cellStyle name="Примечание 3 3 13 2 3" xfId="26855"/>
    <cellStyle name="Примечание 3 3 13 2 4" xfId="36730"/>
    <cellStyle name="Примечание 3 3 13 3" xfId="14204"/>
    <cellStyle name="Примечание 3 3 13 3 2" xfId="16847"/>
    <cellStyle name="Примечание 3 3 13 3 2 2" xfId="30662"/>
    <cellStyle name="Примечание 3 3 13 3 2 3" xfId="40537"/>
    <cellStyle name="Примечание 3 3 13 3 3" xfId="19487"/>
    <cellStyle name="Примечание 3 3 13 3 3 2" xfId="33297"/>
    <cellStyle name="Примечание 3 3 13 3 3 3" xfId="43166"/>
    <cellStyle name="Примечание 3 3 13 3 4" xfId="28025"/>
    <cellStyle name="Примечание 3 3 13 3 5" xfId="37900"/>
    <cellStyle name="Примечание 3 3 13 4" xfId="15692"/>
    <cellStyle name="Примечание 3 3 13 4 2" xfId="29511"/>
    <cellStyle name="Примечание 3 3 13 4 3" xfId="39386"/>
    <cellStyle name="Примечание 3 3 13 5" xfId="25429"/>
    <cellStyle name="Примечание 3 3 13 6" xfId="35304"/>
    <cellStyle name="Примечание 3 3 14" xfId="11823"/>
    <cellStyle name="Примечание 3 3 14 2" xfId="14721"/>
    <cellStyle name="Примечание 3 3 14 2 2" xfId="20004"/>
    <cellStyle name="Примечание 3 3 14 2 2 2" xfId="33814"/>
    <cellStyle name="Примечание 3 3 14 2 2 3" xfId="43682"/>
    <cellStyle name="Примечание 3 3 14 2 3" xfId="28541"/>
    <cellStyle name="Примечание 3 3 14 2 4" xfId="38416"/>
    <cellStyle name="Примечание 3 3 14 3" xfId="14430"/>
    <cellStyle name="Примечание 3 3 14 3 2" xfId="16942"/>
    <cellStyle name="Примечание 3 3 14 3 2 2" xfId="30756"/>
    <cellStyle name="Примечание 3 3 14 3 2 3" xfId="40631"/>
    <cellStyle name="Примечание 3 3 14 3 3" xfId="19713"/>
    <cellStyle name="Примечание 3 3 14 3 3 2" xfId="33523"/>
    <cellStyle name="Примечание 3 3 14 3 3 3" xfId="43391"/>
    <cellStyle name="Примечание 3 3 14 3 4" xfId="28250"/>
    <cellStyle name="Примечание 3 3 14 3 5" xfId="38125"/>
    <cellStyle name="Примечание 3 3 14 4" xfId="15954"/>
    <cellStyle name="Примечание 3 3 14 4 2" xfId="24576"/>
    <cellStyle name="Примечание 3 3 14 4 3" xfId="29773"/>
    <cellStyle name="Примечание 3 3 14 4 4" xfId="39648"/>
    <cellStyle name="Примечание 3 3 14 5" xfId="25697"/>
    <cellStyle name="Примечание 3 3 14 6" xfId="35572"/>
    <cellStyle name="Примечание 3 3 15" xfId="12391"/>
    <cellStyle name="Примечание 3 3 15 2" xfId="17723"/>
    <cellStyle name="Примечание 3 3 15 2 2" xfId="31533"/>
    <cellStyle name="Примечание 3 3 15 2 3" xfId="41406"/>
    <cellStyle name="Примечание 3 3 15 3" xfId="26265"/>
    <cellStyle name="Примечание 3 3 15 4" xfId="36140"/>
    <cellStyle name="Примечание 3 3 16" xfId="13548"/>
    <cellStyle name="Примечание 3 3 16 2" xfId="16246"/>
    <cellStyle name="Примечание 3 3 16 2 2" xfId="30063"/>
    <cellStyle name="Примечание 3 3 16 2 3" xfId="39938"/>
    <cellStyle name="Примечание 3 3 16 3" xfId="18877"/>
    <cellStyle name="Примечание 3 3 16 3 2" xfId="32687"/>
    <cellStyle name="Примечание 3 3 16 3 3" xfId="42558"/>
    <cellStyle name="Примечание 3 3 16 4" xfId="27417"/>
    <cellStyle name="Примечание 3 3 16 5" xfId="37292"/>
    <cellStyle name="Примечание 3 3 17" xfId="13498"/>
    <cellStyle name="Примечание 3 3 17 2" xfId="18827"/>
    <cellStyle name="Примечание 3 3 17 2 2" xfId="32637"/>
    <cellStyle name="Примечание 3 3 17 2 3" xfId="42508"/>
    <cellStyle name="Примечание 3 3 17 3" xfId="27367"/>
    <cellStyle name="Примечание 3 3 17 4" xfId="37242"/>
    <cellStyle name="Примечание 3 3 18" xfId="17399"/>
    <cellStyle name="Примечание 3 3 18 2" xfId="31210"/>
    <cellStyle name="Примечание 3 3 18 3" xfId="41084"/>
    <cellStyle name="Примечание 3 3 19" xfId="24835"/>
    <cellStyle name="Примечание 3 3 2" xfId="2594"/>
    <cellStyle name="Примечание 3 3 2 2" xfId="10855"/>
    <cellStyle name="Примечание 3 3 2 3" xfId="12580"/>
    <cellStyle name="Примечание 3 3 2 3 2" xfId="17912"/>
    <cellStyle name="Примечание 3 3 2 3 2 2" xfId="31722"/>
    <cellStyle name="Примечание 3 3 2 3 2 3" xfId="41595"/>
    <cellStyle name="Примечание 3 3 2 3 3" xfId="26454"/>
    <cellStyle name="Примечание 3 3 2 3 4" xfId="36329"/>
    <cellStyle name="Примечание 3 3 2 4" xfId="13802"/>
    <cellStyle name="Примечание 3 3 2 4 2" xfId="16445"/>
    <cellStyle name="Примечание 3 3 2 4 2 2" xfId="30261"/>
    <cellStyle name="Примечание 3 3 2 4 2 3" xfId="40136"/>
    <cellStyle name="Примечание 3 3 2 4 3" xfId="19085"/>
    <cellStyle name="Примечание 3 3 2 4 3 2" xfId="32895"/>
    <cellStyle name="Примечание 3 3 2 4 3 3" xfId="42765"/>
    <cellStyle name="Примечание 3 3 2 4 4" xfId="27624"/>
    <cellStyle name="Примечание 3 3 2 4 5" xfId="37499"/>
    <cellStyle name="Примечание 3 3 2 5" xfId="15300"/>
    <cellStyle name="Примечание 3 3 2 5 2" xfId="29120"/>
    <cellStyle name="Примечание 3 3 2 5 3" xfId="38995"/>
    <cellStyle name="Примечание 3 3 2 6" xfId="25028"/>
    <cellStyle name="Примечание 3 3 2 7" xfId="34903"/>
    <cellStyle name="Примечание 3 3 20" xfId="34450"/>
    <cellStyle name="Примечание 3 3 21" xfId="34700"/>
    <cellStyle name="Примечание 3 3 3" xfId="2446"/>
    <cellStyle name="Примечание 3 3 3 2" xfId="12451"/>
    <cellStyle name="Примечание 3 3 3 2 2" xfId="17783"/>
    <cellStyle name="Примечание 3 3 3 2 2 2" xfId="31593"/>
    <cellStyle name="Примечание 3 3 3 2 2 3" xfId="41466"/>
    <cellStyle name="Примечание 3 3 3 2 3" xfId="26325"/>
    <cellStyle name="Примечание 3 3 3 2 4" xfId="36200"/>
    <cellStyle name="Примечание 3 3 3 3" xfId="13673"/>
    <cellStyle name="Примечание 3 3 3 3 2" xfId="16316"/>
    <cellStyle name="Примечание 3 3 3 3 2 2" xfId="30132"/>
    <cellStyle name="Примечание 3 3 3 3 2 3" xfId="40007"/>
    <cellStyle name="Примечание 3 3 3 3 3" xfId="18956"/>
    <cellStyle name="Примечание 3 3 3 3 3 2" xfId="32766"/>
    <cellStyle name="Примечание 3 3 3 3 3 3" xfId="42636"/>
    <cellStyle name="Примечание 3 3 3 3 4" xfId="27495"/>
    <cellStyle name="Примечание 3 3 3 3 5" xfId="37370"/>
    <cellStyle name="Примечание 3 3 3 4" xfId="15171"/>
    <cellStyle name="Примечание 3 3 3 4 2" xfId="28991"/>
    <cellStyle name="Примечание 3 3 3 4 3" xfId="38866"/>
    <cellStyle name="Примечание 3 3 3 5" xfId="24899"/>
    <cellStyle name="Примечание 3 3 3 6" xfId="34774"/>
    <cellStyle name="Примечание 3 3 4" xfId="2529"/>
    <cellStyle name="Примечание 3 3 4 2" xfId="12515"/>
    <cellStyle name="Примечание 3 3 4 2 2" xfId="17847"/>
    <cellStyle name="Примечание 3 3 4 2 2 2" xfId="31657"/>
    <cellStyle name="Примечание 3 3 4 2 2 3" xfId="41530"/>
    <cellStyle name="Примечание 3 3 4 2 3" xfId="26389"/>
    <cellStyle name="Примечание 3 3 4 2 4" xfId="36264"/>
    <cellStyle name="Примечание 3 3 4 3" xfId="13737"/>
    <cellStyle name="Примечание 3 3 4 3 2" xfId="16380"/>
    <cellStyle name="Примечание 3 3 4 3 2 2" xfId="30196"/>
    <cellStyle name="Примечание 3 3 4 3 2 3" xfId="40071"/>
    <cellStyle name="Примечание 3 3 4 3 3" xfId="19020"/>
    <cellStyle name="Примечание 3 3 4 3 3 2" xfId="32830"/>
    <cellStyle name="Примечание 3 3 4 3 3 3" xfId="42700"/>
    <cellStyle name="Примечание 3 3 4 3 4" xfId="27559"/>
    <cellStyle name="Примечание 3 3 4 3 5" xfId="37434"/>
    <cellStyle name="Примечание 3 3 4 4" xfId="15235"/>
    <cellStyle name="Примечание 3 3 4 4 2" xfId="29055"/>
    <cellStyle name="Примечание 3 3 4 4 3" xfId="38930"/>
    <cellStyle name="Примечание 3 3 4 5" xfId="24963"/>
    <cellStyle name="Примечание 3 3 4 6" xfId="34838"/>
    <cellStyle name="Примечание 3 3 5" xfId="2706"/>
    <cellStyle name="Примечание 3 3 5 2" xfId="12682"/>
    <cellStyle name="Примечание 3 3 5 2 2" xfId="18014"/>
    <cellStyle name="Примечание 3 3 5 2 2 2" xfId="31824"/>
    <cellStyle name="Примечание 3 3 5 2 2 3" xfId="41697"/>
    <cellStyle name="Примечание 3 3 5 2 3" xfId="26556"/>
    <cellStyle name="Примечание 3 3 5 2 4" xfId="36431"/>
    <cellStyle name="Примечание 3 3 5 3" xfId="13905"/>
    <cellStyle name="Примечание 3 3 5 3 2" xfId="16548"/>
    <cellStyle name="Примечание 3 3 5 3 2 2" xfId="30363"/>
    <cellStyle name="Примечание 3 3 5 3 2 3" xfId="40238"/>
    <cellStyle name="Примечание 3 3 5 3 3" xfId="19188"/>
    <cellStyle name="Примечание 3 3 5 3 3 2" xfId="32998"/>
    <cellStyle name="Примечание 3 3 5 3 3 3" xfId="42867"/>
    <cellStyle name="Примечание 3 3 5 3 4" xfId="27726"/>
    <cellStyle name="Примечание 3 3 5 3 5" xfId="37601"/>
    <cellStyle name="Примечание 3 3 5 4" xfId="15403"/>
    <cellStyle name="Примечание 3 3 5 4 2" xfId="29222"/>
    <cellStyle name="Примечание 3 3 5 4 3" xfId="39097"/>
    <cellStyle name="Примечание 3 3 5 5" xfId="25130"/>
    <cellStyle name="Примечание 3 3 5 6" xfId="35005"/>
    <cellStyle name="Примечание 3 3 6" xfId="2629"/>
    <cellStyle name="Примечание 3 3 6 2" xfId="12615"/>
    <cellStyle name="Примечание 3 3 6 2 2" xfId="17947"/>
    <cellStyle name="Примечание 3 3 6 2 2 2" xfId="31757"/>
    <cellStyle name="Примечание 3 3 6 2 2 3" xfId="41630"/>
    <cellStyle name="Примечание 3 3 6 2 3" xfId="26489"/>
    <cellStyle name="Примечание 3 3 6 2 4" xfId="36364"/>
    <cellStyle name="Примечание 3 3 6 3" xfId="13837"/>
    <cellStyle name="Примечание 3 3 6 3 2" xfId="16480"/>
    <cellStyle name="Примечание 3 3 6 3 2 2" xfId="30296"/>
    <cellStyle name="Примечание 3 3 6 3 2 3" xfId="40171"/>
    <cellStyle name="Примечание 3 3 6 3 3" xfId="19120"/>
    <cellStyle name="Примечание 3 3 6 3 3 2" xfId="32930"/>
    <cellStyle name="Примечание 3 3 6 3 3 3" xfId="42800"/>
    <cellStyle name="Примечание 3 3 6 3 4" xfId="27659"/>
    <cellStyle name="Примечание 3 3 6 3 5" xfId="37534"/>
    <cellStyle name="Примечание 3 3 6 4" xfId="15335"/>
    <cellStyle name="Примечание 3 3 6 4 2" xfId="29155"/>
    <cellStyle name="Примечание 3 3 6 4 3" xfId="39030"/>
    <cellStyle name="Примечание 3 3 6 5" xfId="25063"/>
    <cellStyle name="Примечание 3 3 6 6" xfId="34938"/>
    <cellStyle name="Примечание 3 3 7" xfId="2757"/>
    <cellStyle name="Примечание 3 3 7 2" xfId="12733"/>
    <cellStyle name="Примечание 3 3 7 2 2" xfId="18065"/>
    <cellStyle name="Примечание 3 3 7 2 2 2" xfId="31875"/>
    <cellStyle name="Примечание 3 3 7 2 2 3" xfId="41748"/>
    <cellStyle name="Примечание 3 3 7 2 3" xfId="26607"/>
    <cellStyle name="Примечание 3 3 7 2 4" xfId="36482"/>
    <cellStyle name="Примечание 3 3 7 3" xfId="13956"/>
    <cellStyle name="Примечание 3 3 7 3 2" xfId="16599"/>
    <cellStyle name="Примечание 3 3 7 3 2 2" xfId="30414"/>
    <cellStyle name="Примечание 3 3 7 3 2 3" xfId="40289"/>
    <cellStyle name="Примечание 3 3 7 3 3" xfId="19239"/>
    <cellStyle name="Примечание 3 3 7 3 3 2" xfId="33049"/>
    <cellStyle name="Примечание 3 3 7 3 3 3" xfId="42918"/>
    <cellStyle name="Примечание 3 3 7 3 4" xfId="27777"/>
    <cellStyle name="Примечание 3 3 7 3 5" xfId="37652"/>
    <cellStyle name="Примечание 3 3 7 4" xfId="15454"/>
    <cellStyle name="Примечание 3 3 7 4 2" xfId="29273"/>
    <cellStyle name="Примечание 3 3 7 4 3" xfId="39148"/>
    <cellStyle name="Примечание 3 3 7 5" xfId="25181"/>
    <cellStyle name="Примечание 3 3 7 6" xfId="35056"/>
    <cellStyle name="Примечание 3 3 8" xfId="2679"/>
    <cellStyle name="Примечание 3 3 8 2" xfId="12665"/>
    <cellStyle name="Примечание 3 3 8 2 2" xfId="17997"/>
    <cellStyle name="Примечание 3 3 8 2 2 2" xfId="31807"/>
    <cellStyle name="Примечание 3 3 8 2 2 3" xfId="41680"/>
    <cellStyle name="Примечание 3 3 8 2 3" xfId="26539"/>
    <cellStyle name="Примечание 3 3 8 2 4" xfId="36414"/>
    <cellStyle name="Примечание 3 3 8 3" xfId="13887"/>
    <cellStyle name="Примечание 3 3 8 3 2" xfId="16530"/>
    <cellStyle name="Примечание 3 3 8 3 2 2" xfId="30346"/>
    <cellStyle name="Примечание 3 3 8 3 2 3" xfId="40221"/>
    <cellStyle name="Примечание 3 3 8 3 3" xfId="19170"/>
    <cellStyle name="Примечание 3 3 8 3 3 2" xfId="32980"/>
    <cellStyle name="Примечание 3 3 8 3 3 3" xfId="42850"/>
    <cellStyle name="Примечание 3 3 8 3 4" xfId="27709"/>
    <cellStyle name="Примечание 3 3 8 3 5" xfId="37584"/>
    <cellStyle name="Примечание 3 3 8 4" xfId="15385"/>
    <cellStyle name="Примечание 3 3 8 4 2" xfId="29205"/>
    <cellStyle name="Примечание 3 3 8 4 3" xfId="39080"/>
    <cellStyle name="Примечание 3 3 8 5" xfId="25113"/>
    <cellStyle name="Примечание 3 3 8 6" xfId="34988"/>
    <cellStyle name="Примечание 3 3 9" xfId="2807"/>
    <cellStyle name="Примечание 3 3 9 2" xfId="12782"/>
    <cellStyle name="Примечание 3 3 9 2 2" xfId="18114"/>
    <cellStyle name="Примечание 3 3 9 2 2 2" xfId="31924"/>
    <cellStyle name="Примечание 3 3 9 2 2 3" xfId="41797"/>
    <cellStyle name="Примечание 3 3 9 2 3" xfId="26656"/>
    <cellStyle name="Примечание 3 3 9 2 4" xfId="36531"/>
    <cellStyle name="Примечание 3 3 9 3" xfId="14005"/>
    <cellStyle name="Примечание 3 3 9 3 2" xfId="16648"/>
    <cellStyle name="Примечание 3 3 9 3 2 2" xfId="30463"/>
    <cellStyle name="Примечание 3 3 9 3 2 3" xfId="40338"/>
    <cellStyle name="Примечание 3 3 9 3 3" xfId="19288"/>
    <cellStyle name="Примечание 3 3 9 3 3 2" xfId="33098"/>
    <cellStyle name="Примечание 3 3 9 3 3 3" xfId="42967"/>
    <cellStyle name="Примечание 3 3 9 3 4" xfId="27826"/>
    <cellStyle name="Примечание 3 3 9 3 5" xfId="37701"/>
    <cellStyle name="Примечание 3 3 9 4" xfId="15503"/>
    <cellStyle name="Примечание 3 3 9 4 2" xfId="29322"/>
    <cellStyle name="Примечание 3 3 9 4 3" xfId="39197"/>
    <cellStyle name="Примечание 3 3 9 5" xfId="25230"/>
    <cellStyle name="Примечание 3 3 9 6" xfId="35105"/>
    <cellStyle name="Примечание 3 4" xfId="2592"/>
    <cellStyle name="Примечание 3 4 2" xfId="10848"/>
    <cellStyle name="Примечание 3 4 3" xfId="12578"/>
    <cellStyle name="Примечание 3 4 3 2" xfId="17910"/>
    <cellStyle name="Примечание 3 4 3 2 2" xfId="31720"/>
    <cellStyle name="Примечание 3 4 3 2 3" xfId="41593"/>
    <cellStyle name="Примечание 3 4 3 3" xfId="26452"/>
    <cellStyle name="Примечание 3 4 3 4" xfId="36327"/>
    <cellStyle name="Примечание 3 4 4" xfId="13800"/>
    <cellStyle name="Примечание 3 4 4 2" xfId="16443"/>
    <cellStyle name="Примечание 3 4 4 2 2" xfId="30259"/>
    <cellStyle name="Примечание 3 4 4 2 3" xfId="40134"/>
    <cellStyle name="Примечание 3 4 4 3" xfId="19083"/>
    <cellStyle name="Примечание 3 4 4 3 2" xfId="32893"/>
    <cellStyle name="Примечание 3 4 4 3 3" xfId="42763"/>
    <cellStyle name="Примечание 3 4 4 4" xfId="27622"/>
    <cellStyle name="Примечание 3 4 4 5" xfId="37497"/>
    <cellStyle name="Примечание 3 4 5" xfId="15298"/>
    <cellStyle name="Примечание 3 4 5 2" xfId="29118"/>
    <cellStyle name="Примечание 3 4 5 3" xfId="38993"/>
    <cellStyle name="Примечание 3 4 6" xfId="25026"/>
    <cellStyle name="Примечание 3 4 7" xfId="34901"/>
    <cellStyle name="Примечание 3 5" xfId="2448"/>
    <cellStyle name="Примечание 3 5 2" xfId="10856"/>
    <cellStyle name="Примечание 3 5 3" xfId="12453"/>
    <cellStyle name="Примечание 3 5 3 2" xfId="17785"/>
    <cellStyle name="Примечание 3 5 3 2 2" xfId="31595"/>
    <cellStyle name="Примечание 3 5 3 2 3" xfId="41468"/>
    <cellStyle name="Примечание 3 5 3 3" xfId="26327"/>
    <cellStyle name="Примечание 3 5 3 4" xfId="36202"/>
    <cellStyle name="Примечание 3 5 4" xfId="13675"/>
    <cellStyle name="Примечание 3 5 4 2" xfId="16318"/>
    <cellStyle name="Примечание 3 5 4 2 2" xfId="30134"/>
    <cellStyle name="Примечание 3 5 4 2 3" xfId="40009"/>
    <cellStyle name="Примечание 3 5 4 3" xfId="18958"/>
    <cellStyle name="Примечание 3 5 4 3 2" xfId="32768"/>
    <cellStyle name="Примечание 3 5 4 3 3" xfId="42638"/>
    <cellStyle name="Примечание 3 5 4 4" xfId="27497"/>
    <cellStyle name="Примечание 3 5 4 5" xfId="37372"/>
    <cellStyle name="Примечание 3 5 5" xfId="15173"/>
    <cellStyle name="Примечание 3 5 5 2" xfId="28993"/>
    <cellStyle name="Примечание 3 5 5 3" xfId="38868"/>
    <cellStyle name="Примечание 3 5 6" xfId="24901"/>
    <cellStyle name="Примечание 3 5 7" xfId="34776"/>
    <cellStyle name="Примечание 3 6" xfId="2527"/>
    <cellStyle name="Примечание 3 6 2" xfId="10857"/>
    <cellStyle name="Примечание 3 6 3" xfId="12513"/>
    <cellStyle name="Примечание 3 6 3 2" xfId="17845"/>
    <cellStyle name="Примечание 3 6 3 2 2" xfId="31655"/>
    <cellStyle name="Примечание 3 6 3 2 3" xfId="41528"/>
    <cellStyle name="Примечание 3 6 3 3" xfId="26387"/>
    <cellStyle name="Примечание 3 6 3 4" xfId="36262"/>
    <cellStyle name="Примечание 3 6 4" xfId="13735"/>
    <cellStyle name="Примечание 3 6 4 2" xfId="16378"/>
    <cellStyle name="Примечание 3 6 4 2 2" xfId="30194"/>
    <cellStyle name="Примечание 3 6 4 2 3" xfId="40069"/>
    <cellStyle name="Примечание 3 6 4 3" xfId="19018"/>
    <cellStyle name="Примечание 3 6 4 3 2" xfId="32828"/>
    <cellStyle name="Примечание 3 6 4 3 3" xfId="42698"/>
    <cellStyle name="Примечание 3 6 4 4" xfId="27557"/>
    <cellStyle name="Примечание 3 6 4 5" xfId="37432"/>
    <cellStyle name="Примечание 3 6 5" xfId="15233"/>
    <cellStyle name="Примечание 3 6 5 2" xfId="29053"/>
    <cellStyle name="Примечание 3 6 5 3" xfId="38928"/>
    <cellStyle name="Примечание 3 6 6" xfId="24961"/>
    <cellStyle name="Примечание 3 6 7" xfId="34836"/>
    <cellStyle name="Примечание 3 7" xfId="2704"/>
    <cellStyle name="Примечание 3 7 2" xfId="10858"/>
    <cellStyle name="Примечание 3 7 3" xfId="12680"/>
    <cellStyle name="Примечание 3 7 3 2" xfId="18012"/>
    <cellStyle name="Примечание 3 7 3 2 2" xfId="31822"/>
    <cellStyle name="Примечание 3 7 3 2 3" xfId="41695"/>
    <cellStyle name="Примечание 3 7 3 3" xfId="26554"/>
    <cellStyle name="Примечание 3 7 3 4" xfId="36429"/>
    <cellStyle name="Примечание 3 7 4" xfId="13903"/>
    <cellStyle name="Примечание 3 7 4 2" xfId="16546"/>
    <cellStyle name="Примечание 3 7 4 2 2" xfId="30361"/>
    <cellStyle name="Примечание 3 7 4 2 3" xfId="40236"/>
    <cellStyle name="Примечание 3 7 4 3" xfId="19186"/>
    <cellStyle name="Примечание 3 7 4 3 2" xfId="32996"/>
    <cellStyle name="Примечание 3 7 4 3 3" xfId="42865"/>
    <cellStyle name="Примечание 3 7 4 4" xfId="27724"/>
    <cellStyle name="Примечание 3 7 4 5" xfId="37599"/>
    <cellStyle name="Примечание 3 7 5" xfId="15401"/>
    <cellStyle name="Примечание 3 7 5 2" xfId="29220"/>
    <cellStyle name="Примечание 3 7 5 3" xfId="39095"/>
    <cellStyle name="Примечание 3 7 6" xfId="25128"/>
    <cellStyle name="Примечание 3 7 7" xfId="35003"/>
    <cellStyle name="Примечание 3 8" xfId="2627"/>
    <cellStyle name="Примечание 3 8 2" xfId="10859"/>
    <cellStyle name="Примечание 3 8 3" xfId="12613"/>
    <cellStyle name="Примечание 3 8 3 2" xfId="17945"/>
    <cellStyle name="Примечание 3 8 3 2 2" xfId="31755"/>
    <cellStyle name="Примечание 3 8 3 2 3" xfId="41628"/>
    <cellStyle name="Примечание 3 8 3 3" xfId="26487"/>
    <cellStyle name="Примечание 3 8 3 4" xfId="36362"/>
    <cellStyle name="Примечание 3 8 4" xfId="13835"/>
    <cellStyle name="Примечание 3 8 4 2" xfId="16478"/>
    <cellStyle name="Примечание 3 8 4 2 2" xfId="30294"/>
    <cellStyle name="Примечание 3 8 4 2 3" xfId="40169"/>
    <cellStyle name="Примечание 3 8 4 3" xfId="19118"/>
    <cellStyle name="Примечание 3 8 4 3 2" xfId="32928"/>
    <cellStyle name="Примечание 3 8 4 3 3" xfId="42798"/>
    <cellStyle name="Примечание 3 8 4 4" xfId="27657"/>
    <cellStyle name="Примечание 3 8 4 5" xfId="37532"/>
    <cellStyle name="Примечание 3 8 5" xfId="15333"/>
    <cellStyle name="Примечание 3 8 5 2" xfId="29153"/>
    <cellStyle name="Примечание 3 8 5 3" xfId="39028"/>
    <cellStyle name="Примечание 3 8 6" xfId="25061"/>
    <cellStyle name="Примечание 3 8 7" xfId="34936"/>
    <cellStyle name="Примечание 3 9" xfId="2755"/>
    <cellStyle name="Примечание 3 9 2" xfId="10860"/>
    <cellStyle name="Примечание 3 9 3" xfId="12731"/>
    <cellStyle name="Примечание 3 9 3 2" xfId="18063"/>
    <cellStyle name="Примечание 3 9 3 2 2" xfId="31873"/>
    <cellStyle name="Примечание 3 9 3 2 3" xfId="41746"/>
    <cellStyle name="Примечание 3 9 3 3" xfId="26605"/>
    <cellStyle name="Примечание 3 9 3 4" xfId="36480"/>
    <cellStyle name="Примечание 3 9 4" xfId="13954"/>
    <cellStyle name="Примечание 3 9 4 2" xfId="16597"/>
    <cellStyle name="Примечание 3 9 4 2 2" xfId="30412"/>
    <cellStyle name="Примечание 3 9 4 2 3" xfId="40287"/>
    <cellStyle name="Примечание 3 9 4 3" xfId="19237"/>
    <cellStyle name="Примечание 3 9 4 3 2" xfId="33047"/>
    <cellStyle name="Примечание 3 9 4 3 3" xfId="42916"/>
    <cellStyle name="Примечание 3 9 4 4" xfId="27775"/>
    <cellStyle name="Примечание 3 9 4 5" xfId="37650"/>
    <cellStyle name="Примечание 3 9 5" xfId="15452"/>
    <cellStyle name="Примечание 3 9 5 2" xfId="29271"/>
    <cellStyle name="Примечание 3 9 5 3" xfId="39146"/>
    <cellStyle name="Примечание 3 9 6" xfId="25179"/>
    <cellStyle name="Примечание 3 9 7" xfId="35054"/>
    <cellStyle name="Примечание 4" xfId="2222"/>
    <cellStyle name="Примечание 4 10" xfId="2680"/>
    <cellStyle name="Примечание 4 10 2" xfId="10862"/>
    <cellStyle name="Примечание 4 10 3" xfId="12666"/>
    <cellStyle name="Примечание 4 10 3 2" xfId="17998"/>
    <cellStyle name="Примечание 4 10 3 2 2" xfId="31808"/>
    <cellStyle name="Примечание 4 10 3 2 3" xfId="41681"/>
    <cellStyle name="Примечание 4 10 3 3" xfId="26540"/>
    <cellStyle name="Примечание 4 10 3 4" xfId="36415"/>
    <cellStyle name="Примечание 4 10 4" xfId="13888"/>
    <cellStyle name="Примечание 4 10 4 2" xfId="16531"/>
    <cellStyle name="Примечание 4 10 4 2 2" xfId="30347"/>
    <cellStyle name="Примечание 4 10 4 2 3" xfId="40222"/>
    <cellStyle name="Примечание 4 10 4 3" xfId="19171"/>
    <cellStyle name="Примечание 4 10 4 3 2" xfId="32981"/>
    <cellStyle name="Примечание 4 10 4 3 3" xfId="42851"/>
    <cellStyle name="Примечание 4 10 4 4" xfId="27710"/>
    <cellStyle name="Примечание 4 10 4 5" xfId="37585"/>
    <cellStyle name="Примечание 4 10 5" xfId="15386"/>
    <cellStyle name="Примечание 4 10 5 2" xfId="29206"/>
    <cellStyle name="Примечание 4 10 5 3" xfId="39081"/>
    <cellStyle name="Примечание 4 10 6" xfId="25114"/>
    <cellStyle name="Примечание 4 10 7" xfId="34989"/>
    <cellStyle name="Примечание 4 11" xfId="2808"/>
    <cellStyle name="Примечание 4 11 2" xfId="10863"/>
    <cellStyle name="Примечание 4 11 3" xfId="12783"/>
    <cellStyle name="Примечание 4 11 3 2" xfId="18115"/>
    <cellStyle name="Примечание 4 11 3 2 2" xfId="31925"/>
    <cellStyle name="Примечание 4 11 3 2 3" xfId="41798"/>
    <cellStyle name="Примечание 4 11 3 3" xfId="26657"/>
    <cellStyle name="Примечание 4 11 3 4" xfId="36532"/>
    <cellStyle name="Примечание 4 11 4" xfId="14006"/>
    <cellStyle name="Примечание 4 11 4 2" xfId="16649"/>
    <cellStyle name="Примечание 4 11 4 2 2" xfId="30464"/>
    <cellStyle name="Примечание 4 11 4 2 3" xfId="40339"/>
    <cellStyle name="Примечание 4 11 4 3" xfId="19289"/>
    <cellStyle name="Примечание 4 11 4 3 2" xfId="33099"/>
    <cellStyle name="Примечание 4 11 4 3 3" xfId="42968"/>
    <cellStyle name="Примечание 4 11 4 4" xfId="27827"/>
    <cellStyle name="Примечание 4 11 4 5" xfId="37702"/>
    <cellStyle name="Примечание 4 11 5" xfId="15504"/>
    <cellStyle name="Примечание 4 11 5 2" xfId="29323"/>
    <cellStyle name="Примечание 4 11 5 3" xfId="39198"/>
    <cellStyle name="Примечание 4 11 6" xfId="25231"/>
    <cellStyle name="Примечание 4 11 7" xfId="35106"/>
    <cellStyle name="Примечание 4 12" xfId="2864"/>
    <cellStyle name="Примечание 4 12 2" xfId="10864"/>
    <cellStyle name="Примечание 4 12 3" xfId="12836"/>
    <cellStyle name="Примечание 4 12 3 2" xfId="18168"/>
    <cellStyle name="Примечание 4 12 3 2 2" xfId="31978"/>
    <cellStyle name="Примечание 4 12 3 2 3" xfId="41851"/>
    <cellStyle name="Примечание 4 12 3 3" xfId="26710"/>
    <cellStyle name="Примечание 4 12 3 4" xfId="36585"/>
    <cellStyle name="Примечание 4 12 4" xfId="14059"/>
    <cellStyle name="Примечание 4 12 4 2" xfId="16702"/>
    <cellStyle name="Примечание 4 12 4 2 2" xfId="30517"/>
    <cellStyle name="Примечание 4 12 4 2 3" xfId="40392"/>
    <cellStyle name="Примечание 4 12 4 3" xfId="19342"/>
    <cellStyle name="Примечание 4 12 4 3 2" xfId="33152"/>
    <cellStyle name="Примечание 4 12 4 3 3" xfId="43021"/>
    <cellStyle name="Примечание 4 12 4 4" xfId="27880"/>
    <cellStyle name="Примечание 4 12 4 5" xfId="37755"/>
    <cellStyle name="Примечание 4 12 5" xfId="15557"/>
    <cellStyle name="Примечание 4 12 5 2" xfId="29376"/>
    <cellStyle name="Примечание 4 12 5 3" xfId="39251"/>
    <cellStyle name="Примечание 4 12 6" xfId="25284"/>
    <cellStyle name="Примечание 4 12 7" xfId="35159"/>
    <cellStyle name="Примечание 4 13" xfId="2912"/>
    <cellStyle name="Примечание 4 13 2" xfId="10865"/>
    <cellStyle name="Примечание 4 13 3" xfId="12882"/>
    <cellStyle name="Примечание 4 13 3 2" xfId="18214"/>
    <cellStyle name="Примечание 4 13 3 2 2" xfId="32024"/>
    <cellStyle name="Примечание 4 13 3 2 3" xfId="41897"/>
    <cellStyle name="Примечание 4 13 3 3" xfId="26756"/>
    <cellStyle name="Примечание 4 13 3 4" xfId="36631"/>
    <cellStyle name="Примечание 4 13 4" xfId="14105"/>
    <cellStyle name="Примечание 4 13 4 2" xfId="16748"/>
    <cellStyle name="Примечание 4 13 4 2 2" xfId="30563"/>
    <cellStyle name="Примечание 4 13 4 2 3" xfId="40438"/>
    <cellStyle name="Примечание 4 13 4 3" xfId="19388"/>
    <cellStyle name="Примечание 4 13 4 3 2" xfId="33198"/>
    <cellStyle name="Примечание 4 13 4 3 3" xfId="43067"/>
    <cellStyle name="Примечание 4 13 4 4" xfId="27926"/>
    <cellStyle name="Примечание 4 13 4 5" xfId="37801"/>
    <cellStyle name="Примечание 4 13 5" xfId="15603"/>
    <cellStyle name="Примечание 4 13 5 2" xfId="29422"/>
    <cellStyle name="Примечание 4 13 5 3" xfId="39297"/>
    <cellStyle name="Примечание 4 13 6" xfId="25330"/>
    <cellStyle name="Примечание 4 13 7" xfId="35205"/>
    <cellStyle name="Примечание 4 14" xfId="2966"/>
    <cellStyle name="Примечание 4 14 2" xfId="10866"/>
    <cellStyle name="Примечание 4 14 3" xfId="12935"/>
    <cellStyle name="Примечание 4 14 3 2" xfId="18267"/>
    <cellStyle name="Примечание 4 14 3 2 2" xfId="32077"/>
    <cellStyle name="Примечание 4 14 3 2 3" xfId="41950"/>
    <cellStyle name="Примечание 4 14 3 3" xfId="26809"/>
    <cellStyle name="Примечание 4 14 3 4" xfId="36684"/>
    <cellStyle name="Примечание 4 14 4" xfId="14158"/>
    <cellStyle name="Примечание 4 14 4 2" xfId="16801"/>
    <cellStyle name="Примечание 4 14 4 2 2" xfId="30616"/>
    <cellStyle name="Примечание 4 14 4 2 3" xfId="40491"/>
    <cellStyle name="Примечание 4 14 4 3" xfId="19441"/>
    <cellStyle name="Примечание 4 14 4 3 2" xfId="33251"/>
    <cellStyle name="Примечание 4 14 4 3 3" xfId="43120"/>
    <cellStyle name="Примечание 4 14 4 4" xfId="27979"/>
    <cellStyle name="Примечание 4 14 4 5" xfId="37854"/>
    <cellStyle name="Примечание 4 14 5" xfId="15656"/>
    <cellStyle name="Примечание 4 14 5 2" xfId="29475"/>
    <cellStyle name="Примечание 4 14 5 3" xfId="39350"/>
    <cellStyle name="Примечание 4 14 6" xfId="25383"/>
    <cellStyle name="Примечание 4 14 7" xfId="35258"/>
    <cellStyle name="Примечание 4 15" xfId="3015"/>
    <cellStyle name="Примечание 4 15 2" xfId="12060"/>
    <cellStyle name="Примечание 4 15 2 2" xfId="14958"/>
    <cellStyle name="Примечание 4 15 2 2 2" xfId="20241"/>
    <cellStyle name="Примечание 4 15 2 2 2 2" xfId="23224"/>
    <cellStyle name="Примечание 4 15 2 2 2 3" xfId="34051"/>
    <cellStyle name="Примечание 4 15 2 2 2 4" xfId="43919"/>
    <cellStyle name="Примечание 4 15 2 2 3" xfId="23512"/>
    <cellStyle name="Примечание 4 15 2 2 4" xfId="28778"/>
    <cellStyle name="Примечание 4 15 2 2 5" xfId="38653"/>
    <cellStyle name="Примечание 4 15 2 3" xfId="14400"/>
    <cellStyle name="Примечание 4 15 2 3 2" xfId="16913"/>
    <cellStyle name="Примечание 4 15 2 3 2 2" xfId="30728"/>
    <cellStyle name="Примечание 4 15 2 3 2 3" xfId="40603"/>
    <cellStyle name="Примечание 4 15 2 3 3" xfId="19683"/>
    <cellStyle name="Примечание 4 15 2 3 3 2" xfId="33493"/>
    <cellStyle name="Примечание 4 15 2 3 3 3" xfId="43362"/>
    <cellStyle name="Примечание 4 15 2 3 4" xfId="28221"/>
    <cellStyle name="Примечание 4 15 2 3 5" xfId="38096"/>
    <cellStyle name="Примечание 4 15 2 4" xfId="15983"/>
    <cellStyle name="Примечание 4 15 2 4 2" xfId="21839"/>
    <cellStyle name="Примечание 4 15 2 4 3" xfId="29802"/>
    <cellStyle name="Примечание 4 15 2 4 4" xfId="39677"/>
    <cellStyle name="Примечание 4 15 2 5" xfId="24136"/>
    <cellStyle name="Примечание 4 15 2 6" xfId="25934"/>
    <cellStyle name="Примечание 4 15 2 7" xfId="35809"/>
    <cellStyle name="Примечание 4 15 3" xfId="12982"/>
    <cellStyle name="Примечание 4 15 3 2" xfId="18314"/>
    <cellStyle name="Примечание 4 15 3 2 2" xfId="32124"/>
    <cellStyle name="Примечание 4 15 3 2 3" xfId="41997"/>
    <cellStyle name="Примечание 4 15 3 3" xfId="23496"/>
    <cellStyle name="Примечание 4 15 3 4" xfId="26856"/>
    <cellStyle name="Примечание 4 15 3 5" xfId="36731"/>
    <cellStyle name="Примечание 4 15 4" xfId="14205"/>
    <cellStyle name="Примечание 4 15 4 2" xfId="16848"/>
    <cellStyle name="Примечание 4 15 4 2 2" xfId="30663"/>
    <cellStyle name="Примечание 4 15 4 2 3" xfId="40538"/>
    <cellStyle name="Примечание 4 15 4 3" xfId="19488"/>
    <cellStyle name="Примечание 4 15 4 3 2" xfId="33298"/>
    <cellStyle name="Примечание 4 15 4 3 3" xfId="43167"/>
    <cellStyle name="Примечание 4 15 4 4" xfId="28026"/>
    <cellStyle name="Примечание 4 15 4 5" xfId="37901"/>
    <cellStyle name="Примечание 4 15 5" xfId="21751"/>
    <cellStyle name="Примечание 4 15 6" xfId="22488"/>
    <cellStyle name="Примечание 4 15 7" xfId="23976"/>
    <cellStyle name="Примечание 4 15 8" xfId="25430"/>
    <cellStyle name="Примечание 4 15 9" xfId="35305"/>
    <cellStyle name="Примечание 4 16" xfId="12140"/>
    <cellStyle name="Примечание 4 16 2" xfId="15038"/>
    <cellStyle name="Примечание 4 16 2 2" xfId="20321"/>
    <cellStyle name="Примечание 4 16 2 2 2" xfId="23240"/>
    <cellStyle name="Примечание 4 16 2 2 3" xfId="34131"/>
    <cellStyle name="Примечание 4 16 2 2 4" xfId="43999"/>
    <cellStyle name="Примечание 4 16 2 3" xfId="23592"/>
    <cellStyle name="Примечание 4 16 2 4" xfId="28858"/>
    <cellStyle name="Примечание 4 16 2 5" xfId="38733"/>
    <cellStyle name="Примечание 4 16 3" xfId="14409"/>
    <cellStyle name="Примечание 4 16 3 2" xfId="16922"/>
    <cellStyle name="Примечание 4 16 3 2 2" xfId="30737"/>
    <cellStyle name="Примечание 4 16 3 2 3" xfId="40612"/>
    <cellStyle name="Примечание 4 16 3 3" xfId="19692"/>
    <cellStyle name="Примечание 4 16 3 3 2" xfId="33502"/>
    <cellStyle name="Примечание 4 16 3 3 3" xfId="43371"/>
    <cellStyle name="Примечание 4 16 3 4" xfId="28230"/>
    <cellStyle name="Примечание 4 16 3 5" xfId="38105"/>
    <cellStyle name="Примечание 4 16 4" xfId="21519"/>
    <cellStyle name="Примечание 4 16 5" xfId="21887"/>
    <cellStyle name="Примечание 4 16 6" xfId="22712"/>
    <cellStyle name="Примечание 4 16 7" xfId="24216"/>
    <cellStyle name="Примечание 4 16 8" xfId="26014"/>
    <cellStyle name="Примечание 4 16 9" xfId="35889"/>
    <cellStyle name="Примечание 4 17" xfId="12220"/>
    <cellStyle name="Примечание 4 17 2" xfId="15118"/>
    <cellStyle name="Примечание 4 17 2 2" xfId="20401"/>
    <cellStyle name="Примечание 4 17 2 2 2" xfId="23256"/>
    <cellStyle name="Примечание 4 17 2 2 3" xfId="34211"/>
    <cellStyle name="Примечание 4 17 2 2 4" xfId="44079"/>
    <cellStyle name="Примечание 4 17 2 3" xfId="23672"/>
    <cellStyle name="Примечание 4 17 2 4" xfId="28938"/>
    <cellStyle name="Примечание 4 17 2 5" xfId="38813"/>
    <cellStyle name="Примечание 4 17 3" xfId="14420"/>
    <cellStyle name="Примечание 4 17 3 2" xfId="16933"/>
    <cellStyle name="Примечание 4 17 3 2 2" xfId="30748"/>
    <cellStyle name="Примечание 4 17 3 2 3" xfId="40623"/>
    <cellStyle name="Примечание 4 17 3 3" xfId="19703"/>
    <cellStyle name="Примечание 4 17 3 3 2" xfId="33513"/>
    <cellStyle name="Примечание 4 17 3 3 3" xfId="43382"/>
    <cellStyle name="Примечание 4 17 3 4" xfId="28241"/>
    <cellStyle name="Примечание 4 17 3 5" xfId="38116"/>
    <cellStyle name="Примечание 4 17 4" xfId="21599"/>
    <cellStyle name="Примечание 4 17 5" xfId="21935"/>
    <cellStyle name="Примечание 4 17 6" xfId="22792"/>
    <cellStyle name="Примечание 4 17 7" xfId="24296"/>
    <cellStyle name="Примечание 4 17 8" xfId="26094"/>
    <cellStyle name="Примечание 4 17 9" xfId="35969"/>
    <cellStyle name="Примечание 4 18" xfId="11824"/>
    <cellStyle name="Примечание 4 18 2" xfId="14722"/>
    <cellStyle name="Примечание 4 18 2 2" xfId="20005"/>
    <cellStyle name="Примечание 4 18 2 2 2" xfId="33815"/>
    <cellStyle name="Примечание 4 18 2 2 3" xfId="43683"/>
    <cellStyle name="Примечание 4 18 2 3" xfId="28542"/>
    <cellStyle name="Примечание 4 18 2 4" xfId="38417"/>
    <cellStyle name="Примечание 4 18 3" xfId="13049"/>
    <cellStyle name="Примечание 4 18 3 2" xfId="16000"/>
    <cellStyle name="Примечание 4 18 3 2 2" xfId="29819"/>
    <cellStyle name="Примечание 4 18 3 2 3" xfId="39694"/>
    <cellStyle name="Примечание 4 18 3 3" xfId="18381"/>
    <cellStyle name="Примечание 4 18 3 3 2" xfId="32191"/>
    <cellStyle name="Примечание 4 18 3 3 3" xfId="42064"/>
    <cellStyle name="Примечание 4 18 3 4" xfId="26923"/>
    <cellStyle name="Примечание 4 18 3 5" xfId="36798"/>
    <cellStyle name="Примечание 4 18 4" xfId="15955"/>
    <cellStyle name="Примечание 4 18 4 2" xfId="23267"/>
    <cellStyle name="Примечание 4 18 4 3" xfId="29774"/>
    <cellStyle name="Примечание 4 18 4 4" xfId="39649"/>
    <cellStyle name="Примечание 4 18 5" xfId="25698"/>
    <cellStyle name="Примечание 4 18 6" xfId="35573"/>
    <cellStyle name="Примечание 4 19" xfId="13549"/>
    <cellStyle name="Примечание 4 19 2" xfId="16247"/>
    <cellStyle name="Примечание 4 19 2 2" xfId="30064"/>
    <cellStyle name="Примечание 4 19 2 3" xfId="39939"/>
    <cellStyle name="Примечание 4 19 3" xfId="18878"/>
    <cellStyle name="Примечание 4 19 3 2" xfId="32688"/>
    <cellStyle name="Примечание 4 19 3 3" xfId="42559"/>
    <cellStyle name="Примечание 4 19 4" xfId="27418"/>
    <cellStyle name="Примечание 4 19 5" xfId="37293"/>
    <cellStyle name="Примечание 4 2" xfId="2223"/>
    <cellStyle name="Примечание 4 2 10" xfId="2865"/>
    <cellStyle name="Примечание 4 2 10 2" xfId="12837"/>
    <cellStyle name="Примечание 4 2 10 2 2" xfId="18169"/>
    <cellStyle name="Примечание 4 2 10 2 2 2" xfId="31979"/>
    <cellStyle name="Примечание 4 2 10 2 2 3" xfId="41852"/>
    <cellStyle name="Примечание 4 2 10 2 3" xfId="26711"/>
    <cellStyle name="Примечание 4 2 10 2 4" xfId="36586"/>
    <cellStyle name="Примечание 4 2 10 3" xfId="14060"/>
    <cellStyle name="Примечание 4 2 10 3 2" xfId="16703"/>
    <cellStyle name="Примечание 4 2 10 3 2 2" xfId="30518"/>
    <cellStyle name="Примечание 4 2 10 3 2 3" xfId="40393"/>
    <cellStyle name="Примечание 4 2 10 3 3" xfId="19343"/>
    <cellStyle name="Примечание 4 2 10 3 3 2" xfId="33153"/>
    <cellStyle name="Примечание 4 2 10 3 3 3" xfId="43022"/>
    <cellStyle name="Примечание 4 2 10 3 4" xfId="27881"/>
    <cellStyle name="Примечание 4 2 10 3 5" xfId="37756"/>
    <cellStyle name="Примечание 4 2 10 4" xfId="15558"/>
    <cellStyle name="Примечание 4 2 10 4 2" xfId="29377"/>
    <cellStyle name="Примечание 4 2 10 4 3" xfId="39252"/>
    <cellStyle name="Примечание 4 2 10 5" xfId="25285"/>
    <cellStyle name="Примечание 4 2 10 6" xfId="35160"/>
    <cellStyle name="Примечание 4 2 11" xfId="2913"/>
    <cellStyle name="Примечание 4 2 11 2" xfId="12883"/>
    <cellStyle name="Примечание 4 2 11 2 2" xfId="18215"/>
    <cellStyle name="Примечание 4 2 11 2 2 2" xfId="32025"/>
    <cellStyle name="Примечание 4 2 11 2 2 3" xfId="41898"/>
    <cellStyle name="Примечание 4 2 11 2 3" xfId="26757"/>
    <cellStyle name="Примечание 4 2 11 2 4" xfId="36632"/>
    <cellStyle name="Примечание 4 2 11 3" xfId="14106"/>
    <cellStyle name="Примечание 4 2 11 3 2" xfId="16749"/>
    <cellStyle name="Примечание 4 2 11 3 2 2" xfId="30564"/>
    <cellStyle name="Примечание 4 2 11 3 2 3" xfId="40439"/>
    <cellStyle name="Примечание 4 2 11 3 3" xfId="19389"/>
    <cellStyle name="Примечание 4 2 11 3 3 2" xfId="33199"/>
    <cellStyle name="Примечание 4 2 11 3 3 3" xfId="43068"/>
    <cellStyle name="Примечание 4 2 11 3 4" xfId="27927"/>
    <cellStyle name="Примечание 4 2 11 3 5" xfId="37802"/>
    <cellStyle name="Примечание 4 2 11 4" xfId="15604"/>
    <cellStyle name="Примечание 4 2 11 4 2" xfId="29423"/>
    <cellStyle name="Примечание 4 2 11 4 3" xfId="39298"/>
    <cellStyle name="Примечание 4 2 11 5" xfId="25331"/>
    <cellStyle name="Примечание 4 2 11 6" xfId="35206"/>
    <cellStyle name="Примечание 4 2 12" xfId="2967"/>
    <cellStyle name="Примечание 4 2 12 2" xfId="12936"/>
    <cellStyle name="Примечание 4 2 12 2 2" xfId="18268"/>
    <cellStyle name="Примечание 4 2 12 2 2 2" xfId="32078"/>
    <cellStyle name="Примечание 4 2 12 2 2 3" xfId="41951"/>
    <cellStyle name="Примечание 4 2 12 2 3" xfId="26810"/>
    <cellStyle name="Примечание 4 2 12 2 4" xfId="36685"/>
    <cellStyle name="Примечание 4 2 12 3" xfId="14159"/>
    <cellStyle name="Примечание 4 2 12 3 2" xfId="16802"/>
    <cellStyle name="Примечание 4 2 12 3 2 2" xfId="30617"/>
    <cellStyle name="Примечание 4 2 12 3 2 3" xfId="40492"/>
    <cellStyle name="Примечание 4 2 12 3 3" xfId="19442"/>
    <cellStyle name="Примечание 4 2 12 3 3 2" xfId="33252"/>
    <cellStyle name="Примечание 4 2 12 3 3 3" xfId="43121"/>
    <cellStyle name="Примечание 4 2 12 3 4" xfId="27980"/>
    <cellStyle name="Примечание 4 2 12 3 5" xfId="37855"/>
    <cellStyle name="Примечание 4 2 12 4" xfId="15657"/>
    <cellStyle name="Примечание 4 2 12 4 2" xfId="29476"/>
    <cellStyle name="Примечание 4 2 12 4 3" xfId="39351"/>
    <cellStyle name="Примечание 4 2 12 5" xfId="25384"/>
    <cellStyle name="Примечание 4 2 12 6" xfId="35259"/>
    <cellStyle name="Примечание 4 2 13" xfId="3016"/>
    <cellStyle name="Примечание 4 2 13 2" xfId="12983"/>
    <cellStyle name="Примечание 4 2 13 2 2" xfId="18315"/>
    <cellStyle name="Примечание 4 2 13 2 2 2" xfId="32125"/>
    <cellStyle name="Примечание 4 2 13 2 2 3" xfId="41998"/>
    <cellStyle name="Примечание 4 2 13 2 3" xfId="26857"/>
    <cellStyle name="Примечание 4 2 13 2 4" xfId="36732"/>
    <cellStyle name="Примечание 4 2 13 3" xfId="14206"/>
    <cellStyle name="Примечание 4 2 13 3 2" xfId="16849"/>
    <cellStyle name="Примечание 4 2 13 3 2 2" xfId="30664"/>
    <cellStyle name="Примечание 4 2 13 3 2 3" xfId="40539"/>
    <cellStyle name="Примечание 4 2 13 3 3" xfId="19489"/>
    <cellStyle name="Примечание 4 2 13 3 3 2" xfId="33299"/>
    <cellStyle name="Примечание 4 2 13 3 3 3" xfId="43168"/>
    <cellStyle name="Примечание 4 2 13 3 4" xfId="28027"/>
    <cellStyle name="Примечание 4 2 13 3 5" xfId="37902"/>
    <cellStyle name="Примечание 4 2 13 4" xfId="15693"/>
    <cellStyle name="Примечание 4 2 13 4 2" xfId="29512"/>
    <cellStyle name="Примечание 4 2 13 4 3" xfId="39387"/>
    <cellStyle name="Примечание 4 2 13 5" xfId="25431"/>
    <cellStyle name="Примечание 4 2 13 6" xfId="35306"/>
    <cellStyle name="Примечание 4 2 14" xfId="11825"/>
    <cellStyle name="Примечание 4 2 14 2" xfId="14723"/>
    <cellStyle name="Примечание 4 2 14 2 2" xfId="20006"/>
    <cellStyle name="Примечание 4 2 14 2 2 2" xfId="33816"/>
    <cellStyle name="Примечание 4 2 14 2 2 3" xfId="43684"/>
    <cellStyle name="Примечание 4 2 14 2 3" xfId="28543"/>
    <cellStyle name="Примечание 4 2 14 2 4" xfId="38418"/>
    <cellStyle name="Примечание 4 2 14 3" xfId="14253"/>
    <cellStyle name="Примечание 4 2 14 3 2" xfId="16896"/>
    <cellStyle name="Примечание 4 2 14 3 2 2" xfId="30711"/>
    <cellStyle name="Примечание 4 2 14 3 2 3" xfId="40586"/>
    <cellStyle name="Примечание 4 2 14 3 3" xfId="19536"/>
    <cellStyle name="Примечание 4 2 14 3 3 2" xfId="33346"/>
    <cellStyle name="Примечание 4 2 14 3 3 3" xfId="43215"/>
    <cellStyle name="Примечание 4 2 14 3 4" xfId="28074"/>
    <cellStyle name="Примечание 4 2 14 3 5" xfId="37949"/>
    <cellStyle name="Примечание 4 2 14 4" xfId="15956"/>
    <cellStyle name="Примечание 4 2 14 4 2" xfId="24577"/>
    <cellStyle name="Примечание 4 2 14 4 3" xfId="29775"/>
    <cellStyle name="Примечание 4 2 14 4 4" xfId="39650"/>
    <cellStyle name="Примечание 4 2 14 5" xfId="25699"/>
    <cellStyle name="Примечание 4 2 14 6" xfId="35574"/>
    <cellStyle name="Примечание 4 2 15" xfId="12392"/>
    <cellStyle name="Примечание 4 2 15 2" xfId="17724"/>
    <cellStyle name="Примечание 4 2 15 2 2" xfId="31534"/>
    <cellStyle name="Примечание 4 2 15 2 3" xfId="41407"/>
    <cellStyle name="Примечание 4 2 15 3" xfId="26266"/>
    <cellStyle name="Примечание 4 2 15 4" xfId="36141"/>
    <cellStyle name="Примечание 4 2 16" xfId="13550"/>
    <cellStyle name="Примечание 4 2 16 2" xfId="16248"/>
    <cellStyle name="Примечание 4 2 16 2 2" xfId="30065"/>
    <cellStyle name="Примечание 4 2 16 2 3" xfId="39940"/>
    <cellStyle name="Примечание 4 2 16 3" xfId="18879"/>
    <cellStyle name="Примечание 4 2 16 3 2" xfId="32689"/>
    <cellStyle name="Примечание 4 2 16 3 3" xfId="42560"/>
    <cellStyle name="Примечание 4 2 16 4" xfId="27419"/>
    <cellStyle name="Примечание 4 2 16 5" xfId="37294"/>
    <cellStyle name="Примечание 4 2 17" xfId="13500"/>
    <cellStyle name="Примечание 4 2 17 2" xfId="18829"/>
    <cellStyle name="Примечание 4 2 17 2 2" xfId="32639"/>
    <cellStyle name="Примечание 4 2 17 2 3" xfId="42510"/>
    <cellStyle name="Примечание 4 2 17 3" xfId="27369"/>
    <cellStyle name="Примечание 4 2 17 4" xfId="37244"/>
    <cellStyle name="Примечание 4 2 18" xfId="17401"/>
    <cellStyle name="Примечание 4 2 18 2" xfId="31212"/>
    <cellStyle name="Примечание 4 2 18 3" xfId="41086"/>
    <cellStyle name="Примечание 4 2 19" xfId="24837"/>
    <cellStyle name="Примечание 4 2 2" xfId="2596"/>
    <cellStyle name="Примечание 4 2 2 2" xfId="10867"/>
    <cellStyle name="Примечание 4 2 2 3" xfId="12582"/>
    <cellStyle name="Примечание 4 2 2 3 2" xfId="17914"/>
    <cellStyle name="Примечание 4 2 2 3 2 2" xfId="31724"/>
    <cellStyle name="Примечание 4 2 2 3 2 3" xfId="41597"/>
    <cellStyle name="Примечание 4 2 2 3 3" xfId="26456"/>
    <cellStyle name="Примечание 4 2 2 3 4" xfId="36331"/>
    <cellStyle name="Примечание 4 2 2 4" xfId="13804"/>
    <cellStyle name="Примечание 4 2 2 4 2" xfId="16447"/>
    <cellStyle name="Примечание 4 2 2 4 2 2" xfId="30263"/>
    <cellStyle name="Примечание 4 2 2 4 2 3" xfId="40138"/>
    <cellStyle name="Примечание 4 2 2 4 3" xfId="19087"/>
    <cellStyle name="Примечание 4 2 2 4 3 2" xfId="32897"/>
    <cellStyle name="Примечание 4 2 2 4 3 3" xfId="42767"/>
    <cellStyle name="Примечание 4 2 2 4 4" xfId="27626"/>
    <cellStyle name="Примечание 4 2 2 4 5" xfId="37501"/>
    <cellStyle name="Примечание 4 2 2 5" xfId="15302"/>
    <cellStyle name="Примечание 4 2 2 5 2" xfId="29122"/>
    <cellStyle name="Примечание 4 2 2 5 3" xfId="38997"/>
    <cellStyle name="Примечание 4 2 2 6" xfId="25030"/>
    <cellStyle name="Примечание 4 2 2 7" xfId="34905"/>
    <cellStyle name="Примечание 4 2 20" xfId="34452"/>
    <cellStyle name="Примечание 4 2 21" xfId="34702"/>
    <cellStyle name="Примечание 4 2 3" xfId="2444"/>
    <cellStyle name="Примечание 4 2 3 2" xfId="12449"/>
    <cellStyle name="Примечание 4 2 3 2 2" xfId="17781"/>
    <cellStyle name="Примечание 4 2 3 2 2 2" xfId="31591"/>
    <cellStyle name="Примечание 4 2 3 2 2 3" xfId="41464"/>
    <cellStyle name="Примечание 4 2 3 2 3" xfId="26323"/>
    <cellStyle name="Примечание 4 2 3 2 4" xfId="36198"/>
    <cellStyle name="Примечание 4 2 3 3" xfId="13671"/>
    <cellStyle name="Примечание 4 2 3 3 2" xfId="16314"/>
    <cellStyle name="Примечание 4 2 3 3 2 2" xfId="30130"/>
    <cellStyle name="Примечание 4 2 3 3 2 3" xfId="40005"/>
    <cellStyle name="Примечание 4 2 3 3 3" xfId="18954"/>
    <cellStyle name="Примечание 4 2 3 3 3 2" xfId="32764"/>
    <cellStyle name="Примечание 4 2 3 3 3 3" xfId="42634"/>
    <cellStyle name="Примечание 4 2 3 3 4" xfId="27493"/>
    <cellStyle name="Примечание 4 2 3 3 5" xfId="37368"/>
    <cellStyle name="Примечание 4 2 3 4" xfId="15169"/>
    <cellStyle name="Примечание 4 2 3 4 2" xfId="28989"/>
    <cellStyle name="Примечание 4 2 3 4 3" xfId="38864"/>
    <cellStyle name="Примечание 4 2 3 5" xfId="24897"/>
    <cellStyle name="Примечание 4 2 3 6" xfId="34772"/>
    <cellStyle name="Примечание 4 2 4" xfId="2531"/>
    <cellStyle name="Примечание 4 2 4 2" xfId="12517"/>
    <cellStyle name="Примечание 4 2 4 2 2" xfId="17849"/>
    <cellStyle name="Примечание 4 2 4 2 2 2" xfId="31659"/>
    <cellStyle name="Примечание 4 2 4 2 2 3" xfId="41532"/>
    <cellStyle name="Примечание 4 2 4 2 3" xfId="26391"/>
    <cellStyle name="Примечание 4 2 4 2 4" xfId="36266"/>
    <cellStyle name="Примечание 4 2 4 3" xfId="13739"/>
    <cellStyle name="Примечание 4 2 4 3 2" xfId="16382"/>
    <cellStyle name="Примечание 4 2 4 3 2 2" xfId="30198"/>
    <cellStyle name="Примечание 4 2 4 3 2 3" xfId="40073"/>
    <cellStyle name="Примечание 4 2 4 3 3" xfId="19022"/>
    <cellStyle name="Примечание 4 2 4 3 3 2" xfId="32832"/>
    <cellStyle name="Примечание 4 2 4 3 3 3" xfId="42702"/>
    <cellStyle name="Примечание 4 2 4 3 4" xfId="27561"/>
    <cellStyle name="Примечание 4 2 4 3 5" xfId="37436"/>
    <cellStyle name="Примечание 4 2 4 4" xfId="15237"/>
    <cellStyle name="Примечание 4 2 4 4 2" xfId="29057"/>
    <cellStyle name="Примечание 4 2 4 4 3" xfId="38932"/>
    <cellStyle name="Примечание 4 2 4 5" xfId="24965"/>
    <cellStyle name="Примечание 4 2 4 6" xfId="34840"/>
    <cellStyle name="Примечание 4 2 5" xfId="2708"/>
    <cellStyle name="Примечание 4 2 5 2" xfId="12684"/>
    <cellStyle name="Примечание 4 2 5 2 2" xfId="18016"/>
    <cellStyle name="Примечание 4 2 5 2 2 2" xfId="31826"/>
    <cellStyle name="Примечание 4 2 5 2 2 3" xfId="41699"/>
    <cellStyle name="Примечание 4 2 5 2 3" xfId="26558"/>
    <cellStyle name="Примечание 4 2 5 2 4" xfId="36433"/>
    <cellStyle name="Примечание 4 2 5 3" xfId="13907"/>
    <cellStyle name="Примечание 4 2 5 3 2" xfId="16550"/>
    <cellStyle name="Примечание 4 2 5 3 2 2" xfId="30365"/>
    <cellStyle name="Примечание 4 2 5 3 2 3" xfId="40240"/>
    <cellStyle name="Примечание 4 2 5 3 3" xfId="19190"/>
    <cellStyle name="Примечание 4 2 5 3 3 2" xfId="33000"/>
    <cellStyle name="Примечание 4 2 5 3 3 3" xfId="42869"/>
    <cellStyle name="Примечание 4 2 5 3 4" xfId="27728"/>
    <cellStyle name="Примечание 4 2 5 3 5" xfId="37603"/>
    <cellStyle name="Примечание 4 2 5 4" xfId="15405"/>
    <cellStyle name="Примечание 4 2 5 4 2" xfId="29224"/>
    <cellStyle name="Примечание 4 2 5 4 3" xfId="39099"/>
    <cellStyle name="Примечание 4 2 5 5" xfId="25132"/>
    <cellStyle name="Примечание 4 2 5 6" xfId="35007"/>
    <cellStyle name="Примечание 4 2 6" xfId="2631"/>
    <cellStyle name="Примечание 4 2 6 2" xfId="12617"/>
    <cellStyle name="Примечание 4 2 6 2 2" xfId="17949"/>
    <cellStyle name="Примечание 4 2 6 2 2 2" xfId="31759"/>
    <cellStyle name="Примечание 4 2 6 2 2 3" xfId="41632"/>
    <cellStyle name="Примечание 4 2 6 2 3" xfId="26491"/>
    <cellStyle name="Примечание 4 2 6 2 4" xfId="36366"/>
    <cellStyle name="Примечание 4 2 6 3" xfId="13839"/>
    <cellStyle name="Примечание 4 2 6 3 2" xfId="16482"/>
    <cellStyle name="Примечание 4 2 6 3 2 2" xfId="30298"/>
    <cellStyle name="Примечание 4 2 6 3 2 3" xfId="40173"/>
    <cellStyle name="Примечание 4 2 6 3 3" xfId="19122"/>
    <cellStyle name="Примечание 4 2 6 3 3 2" xfId="32932"/>
    <cellStyle name="Примечание 4 2 6 3 3 3" xfId="42802"/>
    <cellStyle name="Примечание 4 2 6 3 4" xfId="27661"/>
    <cellStyle name="Примечание 4 2 6 3 5" xfId="37536"/>
    <cellStyle name="Примечание 4 2 6 4" xfId="15337"/>
    <cellStyle name="Примечание 4 2 6 4 2" xfId="29157"/>
    <cellStyle name="Примечание 4 2 6 4 3" xfId="39032"/>
    <cellStyle name="Примечание 4 2 6 5" xfId="25065"/>
    <cellStyle name="Примечание 4 2 6 6" xfId="34940"/>
    <cellStyle name="Примечание 4 2 7" xfId="2759"/>
    <cellStyle name="Примечание 4 2 7 2" xfId="12735"/>
    <cellStyle name="Примечание 4 2 7 2 2" xfId="18067"/>
    <cellStyle name="Примечание 4 2 7 2 2 2" xfId="31877"/>
    <cellStyle name="Примечание 4 2 7 2 2 3" xfId="41750"/>
    <cellStyle name="Примечание 4 2 7 2 3" xfId="26609"/>
    <cellStyle name="Примечание 4 2 7 2 4" xfId="36484"/>
    <cellStyle name="Примечание 4 2 7 3" xfId="13958"/>
    <cellStyle name="Примечание 4 2 7 3 2" xfId="16601"/>
    <cellStyle name="Примечание 4 2 7 3 2 2" xfId="30416"/>
    <cellStyle name="Примечание 4 2 7 3 2 3" xfId="40291"/>
    <cellStyle name="Примечание 4 2 7 3 3" xfId="19241"/>
    <cellStyle name="Примечание 4 2 7 3 3 2" xfId="33051"/>
    <cellStyle name="Примечание 4 2 7 3 3 3" xfId="42920"/>
    <cellStyle name="Примечание 4 2 7 3 4" xfId="27779"/>
    <cellStyle name="Примечание 4 2 7 3 5" xfId="37654"/>
    <cellStyle name="Примечание 4 2 7 4" xfId="15456"/>
    <cellStyle name="Примечание 4 2 7 4 2" xfId="29275"/>
    <cellStyle name="Примечание 4 2 7 4 3" xfId="39150"/>
    <cellStyle name="Примечание 4 2 7 5" xfId="25183"/>
    <cellStyle name="Примечание 4 2 7 6" xfId="35058"/>
    <cellStyle name="Примечание 4 2 8" xfId="2681"/>
    <cellStyle name="Примечание 4 2 8 2" xfId="12667"/>
    <cellStyle name="Примечание 4 2 8 2 2" xfId="17999"/>
    <cellStyle name="Примечание 4 2 8 2 2 2" xfId="31809"/>
    <cellStyle name="Примечание 4 2 8 2 2 3" xfId="41682"/>
    <cellStyle name="Примечание 4 2 8 2 3" xfId="26541"/>
    <cellStyle name="Примечание 4 2 8 2 4" xfId="36416"/>
    <cellStyle name="Примечание 4 2 8 3" xfId="13889"/>
    <cellStyle name="Примечание 4 2 8 3 2" xfId="16532"/>
    <cellStyle name="Примечание 4 2 8 3 2 2" xfId="30348"/>
    <cellStyle name="Примечание 4 2 8 3 2 3" xfId="40223"/>
    <cellStyle name="Примечание 4 2 8 3 3" xfId="19172"/>
    <cellStyle name="Примечание 4 2 8 3 3 2" xfId="32982"/>
    <cellStyle name="Примечание 4 2 8 3 3 3" xfId="42852"/>
    <cellStyle name="Примечание 4 2 8 3 4" xfId="27711"/>
    <cellStyle name="Примечание 4 2 8 3 5" xfId="37586"/>
    <cellStyle name="Примечание 4 2 8 4" xfId="15387"/>
    <cellStyle name="Примечание 4 2 8 4 2" xfId="29207"/>
    <cellStyle name="Примечание 4 2 8 4 3" xfId="39082"/>
    <cellStyle name="Примечание 4 2 8 5" xfId="25115"/>
    <cellStyle name="Примечание 4 2 8 6" xfId="34990"/>
    <cellStyle name="Примечание 4 2 9" xfId="2809"/>
    <cellStyle name="Примечание 4 2 9 2" xfId="12784"/>
    <cellStyle name="Примечание 4 2 9 2 2" xfId="18116"/>
    <cellStyle name="Примечание 4 2 9 2 2 2" xfId="31926"/>
    <cellStyle name="Примечание 4 2 9 2 2 3" xfId="41799"/>
    <cellStyle name="Примечание 4 2 9 2 3" xfId="26658"/>
    <cellStyle name="Примечание 4 2 9 2 4" xfId="36533"/>
    <cellStyle name="Примечание 4 2 9 3" xfId="14007"/>
    <cellStyle name="Примечание 4 2 9 3 2" xfId="16650"/>
    <cellStyle name="Примечание 4 2 9 3 2 2" xfId="30465"/>
    <cellStyle name="Примечание 4 2 9 3 2 3" xfId="40340"/>
    <cellStyle name="Примечание 4 2 9 3 3" xfId="19290"/>
    <cellStyle name="Примечание 4 2 9 3 3 2" xfId="33100"/>
    <cellStyle name="Примечание 4 2 9 3 3 3" xfId="42969"/>
    <cellStyle name="Примечание 4 2 9 3 4" xfId="27828"/>
    <cellStyle name="Примечание 4 2 9 3 5" xfId="37703"/>
    <cellStyle name="Примечание 4 2 9 4" xfId="15505"/>
    <cellStyle name="Примечание 4 2 9 4 2" xfId="29324"/>
    <cellStyle name="Примечание 4 2 9 4 3" xfId="39199"/>
    <cellStyle name="Примечание 4 2 9 5" xfId="25232"/>
    <cellStyle name="Примечание 4 2 9 6" xfId="35107"/>
    <cellStyle name="Примечание 4 20" xfId="13499"/>
    <cellStyle name="Примечание 4 20 2" xfId="18828"/>
    <cellStyle name="Примечание 4 20 2 2" xfId="32638"/>
    <cellStyle name="Примечание 4 20 2 3" xfId="42509"/>
    <cellStyle name="Примечание 4 20 3" xfId="27368"/>
    <cellStyle name="Примечание 4 20 4" xfId="37243"/>
    <cellStyle name="Примечание 4 21" xfId="17400"/>
    <cellStyle name="Примечание 4 21 2" xfId="21120"/>
    <cellStyle name="Примечание 4 21 3" xfId="31211"/>
    <cellStyle name="Примечание 4 21 4" xfId="41085"/>
    <cellStyle name="Примечание 4 22" xfId="23896"/>
    <cellStyle name="Примечание 4 23" xfId="24836"/>
    <cellStyle name="Примечание 4 24" xfId="34451"/>
    <cellStyle name="Примечание 4 25" xfId="34701"/>
    <cellStyle name="Примечание 4 3" xfId="2224"/>
    <cellStyle name="Примечание 4 3 10" xfId="2866"/>
    <cellStyle name="Примечание 4 3 10 2" xfId="12838"/>
    <cellStyle name="Примечание 4 3 10 2 2" xfId="18170"/>
    <cellStyle name="Примечание 4 3 10 2 2 2" xfId="31980"/>
    <cellStyle name="Примечание 4 3 10 2 2 3" xfId="41853"/>
    <cellStyle name="Примечание 4 3 10 2 3" xfId="26712"/>
    <cellStyle name="Примечание 4 3 10 2 4" xfId="36587"/>
    <cellStyle name="Примечание 4 3 10 3" xfId="14061"/>
    <cellStyle name="Примечание 4 3 10 3 2" xfId="16704"/>
    <cellStyle name="Примечание 4 3 10 3 2 2" xfId="30519"/>
    <cellStyle name="Примечание 4 3 10 3 2 3" xfId="40394"/>
    <cellStyle name="Примечание 4 3 10 3 3" xfId="19344"/>
    <cellStyle name="Примечание 4 3 10 3 3 2" xfId="33154"/>
    <cellStyle name="Примечание 4 3 10 3 3 3" xfId="43023"/>
    <cellStyle name="Примечание 4 3 10 3 4" xfId="27882"/>
    <cellStyle name="Примечание 4 3 10 3 5" xfId="37757"/>
    <cellStyle name="Примечание 4 3 10 4" xfId="15559"/>
    <cellStyle name="Примечание 4 3 10 4 2" xfId="29378"/>
    <cellStyle name="Примечание 4 3 10 4 3" xfId="39253"/>
    <cellStyle name="Примечание 4 3 10 5" xfId="25286"/>
    <cellStyle name="Примечание 4 3 10 6" xfId="35161"/>
    <cellStyle name="Примечание 4 3 11" xfId="2914"/>
    <cellStyle name="Примечание 4 3 11 2" xfId="12884"/>
    <cellStyle name="Примечание 4 3 11 2 2" xfId="18216"/>
    <cellStyle name="Примечание 4 3 11 2 2 2" xfId="32026"/>
    <cellStyle name="Примечание 4 3 11 2 2 3" xfId="41899"/>
    <cellStyle name="Примечание 4 3 11 2 3" xfId="26758"/>
    <cellStyle name="Примечание 4 3 11 2 4" xfId="36633"/>
    <cellStyle name="Примечание 4 3 11 3" xfId="14107"/>
    <cellStyle name="Примечание 4 3 11 3 2" xfId="16750"/>
    <cellStyle name="Примечание 4 3 11 3 2 2" xfId="30565"/>
    <cellStyle name="Примечание 4 3 11 3 2 3" xfId="40440"/>
    <cellStyle name="Примечание 4 3 11 3 3" xfId="19390"/>
    <cellStyle name="Примечание 4 3 11 3 3 2" xfId="33200"/>
    <cellStyle name="Примечание 4 3 11 3 3 3" xfId="43069"/>
    <cellStyle name="Примечание 4 3 11 3 4" xfId="27928"/>
    <cellStyle name="Примечание 4 3 11 3 5" xfId="37803"/>
    <cellStyle name="Примечание 4 3 11 4" xfId="15605"/>
    <cellStyle name="Примечание 4 3 11 4 2" xfId="29424"/>
    <cellStyle name="Примечание 4 3 11 4 3" xfId="39299"/>
    <cellStyle name="Примечание 4 3 11 5" xfId="25332"/>
    <cellStyle name="Примечание 4 3 11 6" xfId="35207"/>
    <cellStyle name="Примечание 4 3 12" xfId="2968"/>
    <cellStyle name="Примечание 4 3 12 2" xfId="12937"/>
    <cellStyle name="Примечание 4 3 12 2 2" xfId="18269"/>
    <cellStyle name="Примечание 4 3 12 2 2 2" xfId="32079"/>
    <cellStyle name="Примечание 4 3 12 2 2 3" xfId="41952"/>
    <cellStyle name="Примечание 4 3 12 2 3" xfId="26811"/>
    <cellStyle name="Примечание 4 3 12 2 4" xfId="36686"/>
    <cellStyle name="Примечание 4 3 12 3" xfId="14160"/>
    <cellStyle name="Примечание 4 3 12 3 2" xfId="16803"/>
    <cellStyle name="Примечание 4 3 12 3 2 2" xfId="30618"/>
    <cellStyle name="Примечание 4 3 12 3 2 3" xfId="40493"/>
    <cellStyle name="Примечание 4 3 12 3 3" xfId="19443"/>
    <cellStyle name="Примечание 4 3 12 3 3 2" xfId="33253"/>
    <cellStyle name="Примечание 4 3 12 3 3 3" xfId="43122"/>
    <cellStyle name="Примечание 4 3 12 3 4" xfId="27981"/>
    <cellStyle name="Примечание 4 3 12 3 5" xfId="37856"/>
    <cellStyle name="Примечание 4 3 12 4" xfId="15658"/>
    <cellStyle name="Примечание 4 3 12 4 2" xfId="29477"/>
    <cellStyle name="Примечание 4 3 12 4 3" xfId="39352"/>
    <cellStyle name="Примечание 4 3 12 5" xfId="25385"/>
    <cellStyle name="Примечание 4 3 12 6" xfId="35260"/>
    <cellStyle name="Примечание 4 3 13" xfId="3017"/>
    <cellStyle name="Примечание 4 3 13 2" xfId="12984"/>
    <cellStyle name="Примечание 4 3 13 2 2" xfId="18316"/>
    <cellStyle name="Примечание 4 3 13 2 2 2" xfId="32126"/>
    <cellStyle name="Примечание 4 3 13 2 2 3" xfId="41999"/>
    <cellStyle name="Примечание 4 3 13 2 3" xfId="26858"/>
    <cellStyle name="Примечание 4 3 13 2 4" xfId="36733"/>
    <cellStyle name="Примечание 4 3 13 3" xfId="14207"/>
    <cellStyle name="Примечание 4 3 13 3 2" xfId="16850"/>
    <cellStyle name="Примечание 4 3 13 3 2 2" xfId="30665"/>
    <cellStyle name="Примечание 4 3 13 3 2 3" xfId="40540"/>
    <cellStyle name="Примечание 4 3 13 3 3" xfId="19490"/>
    <cellStyle name="Примечание 4 3 13 3 3 2" xfId="33300"/>
    <cellStyle name="Примечание 4 3 13 3 3 3" xfId="43169"/>
    <cellStyle name="Примечание 4 3 13 3 4" xfId="28028"/>
    <cellStyle name="Примечание 4 3 13 3 5" xfId="37903"/>
    <cellStyle name="Примечание 4 3 13 4" xfId="15694"/>
    <cellStyle name="Примечание 4 3 13 4 2" xfId="29513"/>
    <cellStyle name="Примечание 4 3 13 4 3" xfId="39388"/>
    <cellStyle name="Примечание 4 3 13 5" xfId="25432"/>
    <cellStyle name="Примечание 4 3 13 6" xfId="35307"/>
    <cellStyle name="Примечание 4 3 14" xfId="11826"/>
    <cellStyle name="Примечание 4 3 14 2" xfId="14724"/>
    <cellStyle name="Примечание 4 3 14 2 2" xfId="20007"/>
    <cellStyle name="Примечание 4 3 14 2 2 2" xfId="33817"/>
    <cellStyle name="Примечание 4 3 14 2 2 3" xfId="43685"/>
    <cellStyle name="Примечание 4 3 14 2 3" xfId="28544"/>
    <cellStyle name="Примечание 4 3 14 2 4" xfId="38419"/>
    <cellStyle name="Примечание 4 3 14 3" xfId="14246"/>
    <cellStyle name="Примечание 4 3 14 3 2" xfId="16889"/>
    <cellStyle name="Примечание 4 3 14 3 2 2" xfId="30704"/>
    <cellStyle name="Примечание 4 3 14 3 2 3" xfId="40579"/>
    <cellStyle name="Примечание 4 3 14 3 3" xfId="19529"/>
    <cellStyle name="Примечание 4 3 14 3 3 2" xfId="33339"/>
    <cellStyle name="Примечание 4 3 14 3 3 3" xfId="43208"/>
    <cellStyle name="Примечание 4 3 14 3 4" xfId="28067"/>
    <cellStyle name="Примечание 4 3 14 3 5" xfId="37942"/>
    <cellStyle name="Примечание 4 3 14 4" xfId="15957"/>
    <cellStyle name="Примечание 4 3 14 4 2" xfId="24578"/>
    <cellStyle name="Примечание 4 3 14 4 3" xfId="29776"/>
    <cellStyle name="Примечание 4 3 14 4 4" xfId="39651"/>
    <cellStyle name="Примечание 4 3 14 5" xfId="25700"/>
    <cellStyle name="Примечание 4 3 14 6" xfId="35575"/>
    <cellStyle name="Примечание 4 3 15" xfId="12393"/>
    <cellStyle name="Примечание 4 3 15 2" xfId="17725"/>
    <cellStyle name="Примечание 4 3 15 2 2" xfId="31535"/>
    <cellStyle name="Примечание 4 3 15 2 3" xfId="41408"/>
    <cellStyle name="Примечание 4 3 15 3" xfId="26267"/>
    <cellStyle name="Примечание 4 3 15 4" xfId="36142"/>
    <cellStyle name="Примечание 4 3 16" xfId="13551"/>
    <cellStyle name="Примечание 4 3 16 2" xfId="16249"/>
    <cellStyle name="Примечание 4 3 16 2 2" xfId="30066"/>
    <cellStyle name="Примечание 4 3 16 2 3" xfId="39941"/>
    <cellStyle name="Примечание 4 3 16 3" xfId="18880"/>
    <cellStyle name="Примечание 4 3 16 3 2" xfId="32690"/>
    <cellStyle name="Примечание 4 3 16 3 3" xfId="42561"/>
    <cellStyle name="Примечание 4 3 16 4" xfId="27420"/>
    <cellStyle name="Примечание 4 3 16 5" xfId="37295"/>
    <cellStyle name="Примечание 4 3 17" xfId="13501"/>
    <cellStyle name="Примечание 4 3 17 2" xfId="18830"/>
    <cellStyle name="Примечание 4 3 17 2 2" xfId="32640"/>
    <cellStyle name="Примечание 4 3 17 2 3" xfId="42511"/>
    <cellStyle name="Примечание 4 3 17 3" xfId="27370"/>
    <cellStyle name="Примечание 4 3 17 4" xfId="37245"/>
    <cellStyle name="Примечание 4 3 18" xfId="17402"/>
    <cellStyle name="Примечание 4 3 18 2" xfId="31213"/>
    <cellStyle name="Примечание 4 3 18 3" xfId="41087"/>
    <cellStyle name="Примечание 4 3 19" xfId="24838"/>
    <cellStyle name="Примечание 4 3 2" xfId="2597"/>
    <cellStyle name="Примечание 4 3 2 2" xfId="10868"/>
    <cellStyle name="Примечание 4 3 2 3" xfId="12583"/>
    <cellStyle name="Примечание 4 3 2 3 2" xfId="17915"/>
    <cellStyle name="Примечание 4 3 2 3 2 2" xfId="31725"/>
    <cellStyle name="Примечание 4 3 2 3 2 3" xfId="41598"/>
    <cellStyle name="Примечание 4 3 2 3 3" xfId="26457"/>
    <cellStyle name="Примечание 4 3 2 3 4" xfId="36332"/>
    <cellStyle name="Примечание 4 3 2 4" xfId="13805"/>
    <cellStyle name="Примечание 4 3 2 4 2" xfId="16448"/>
    <cellStyle name="Примечание 4 3 2 4 2 2" xfId="30264"/>
    <cellStyle name="Примечание 4 3 2 4 2 3" xfId="40139"/>
    <cellStyle name="Примечание 4 3 2 4 3" xfId="19088"/>
    <cellStyle name="Примечание 4 3 2 4 3 2" xfId="32898"/>
    <cellStyle name="Примечание 4 3 2 4 3 3" xfId="42768"/>
    <cellStyle name="Примечание 4 3 2 4 4" xfId="27627"/>
    <cellStyle name="Примечание 4 3 2 4 5" xfId="37502"/>
    <cellStyle name="Примечание 4 3 2 5" xfId="15303"/>
    <cellStyle name="Примечание 4 3 2 5 2" xfId="29123"/>
    <cellStyle name="Примечание 4 3 2 5 3" xfId="38998"/>
    <cellStyle name="Примечание 4 3 2 6" xfId="25031"/>
    <cellStyle name="Примечание 4 3 2 7" xfId="34906"/>
    <cellStyle name="Примечание 4 3 20" xfId="34453"/>
    <cellStyle name="Примечание 4 3 21" xfId="34703"/>
    <cellStyle name="Примечание 4 3 3" xfId="2443"/>
    <cellStyle name="Примечание 4 3 3 2" xfId="12448"/>
    <cellStyle name="Примечание 4 3 3 2 2" xfId="17780"/>
    <cellStyle name="Примечание 4 3 3 2 2 2" xfId="31590"/>
    <cellStyle name="Примечание 4 3 3 2 2 3" xfId="41463"/>
    <cellStyle name="Примечание 4 3 3 2 3" xfId="26322"/>
    <cellStyle name="Примечание 4 3 3 2 4" xfId="36197"/>
    <cellStyle name="Примечание 4 3 3 3" xfId="13670"/>
    <cellStyle name="Примечание 4 3 3 3 2" xfId="16313"/>
    <cellStyle name="Примечание 4 3 3 3 2 2" xfId="30129"/>
    <cellStyle name="Примечание 4 3 3 3 2 3" xfId="40004"/>
    <cellStyle name="Примечание 4 3 3 3 3" xfId="18953"/>
    <cellStyle name="Примечание 4 3 3 3 3 2" xfId="32763"/>
    <cellStyle name="Примечание 4 3 3 3 3 3" xfId="42633"/>
    <cellStyle name="Примечание 4 3 3 3 4" xfId="27492"/>
    <cellStyle name="Примечание 4 3 3 3 5" xfId="37367"/>
    <cellStyle name="Примечание 4 3 3 4" xfId="15168"/>
    <cellStyle name="Примечание 4 3 3 4 2" xfId="28988"/>
    <cellStyle name="Примечание 4 3 3 4 3" xfId="38863"/>
    <cellStyle name="Примечание 4 3 3 5" xfId="24896"/>
    <cellStyle name="Примечание 4 3 3 6" xfId="34771"/>
    <cellStyle name="Примечание 4 3 4" xfId="2532"/>
    <cellStyle name="Примечание 4 3 4 2" xfId="12518"/>
    <cellStyle name="Примечание 4 3 4 2 2" xfId="17850"/>
    <cellStyle name="Примечание 4 3 4 2 2 2" xfId="31660"/>
    <cellStyle name="Примечание 4 3 4 2 2 3" xfId="41533"/>
    <cellStyle name="Примечание 4 3 4 2 3" xfId="26392"/>
    <cellStyle name="Примечание 4 3 4 2 4" xfId="36267"/>
    <cellStyle name="Примечание 4 3 4 3" xfId="13740"/>
    <cellStyle name="Примечание 4 3 4 3 2" xfId="16383"/>
    <cellStyle name="Примечание 4 3 4 3 2 2" xfId="30199"/>
    <cellStyle name="Примечание 4 3 4 3 2 3" xfId="40074"/>
    <cellStyle name="Примечание 4 3 4 3 3" xfId="19023"/>
    <cellStyle name="Примечание 4 3 4 3 3 2" xfId="32833"/>
    <cellStyle name="Примечание 4 3 4 3 3 3" xfId="42703"/>
    <cellStyle name="Примечание 4 3 4 3 4" xfId="27562"/>
    <cellStyle name="Примечание 4 3 4 3 5" xfId="37437"/>
    <cellStyle name="Примечание 4 3 4 4" xfId="15238"/>
    <cellStyle name="Примечание 4 3 4 4 2" xfId="29058"/>
    <cellStyle name="Примечание 4 3 4 4 3" xfId="38933"/>
    <cellStyle name="Примечание 4 3 4 5" xfId="24966"/>
    <cellStyle name="Примечание 4 3 4 6" xfId="34841"/>
    <cellStyle name="Примечание 4 3 5" xfId="2709"/>
    <cellStyle name="Примечание 4 3 5 2" xfId="12685"/>
    <cellStyle name="Примечание 4 3 5 2 2" xfId="18017"/>
    <cellStyle name="Примечание 4 3 5 2 2 2" xfId="31827"/>
    <cellStyle name="Примечание 4 3 5 2 2 3" xfId="41700"/>
    <cellStyle name="Примечание 4 3 5 2 3" xfId="26559"/>
    <cellStyle name="Примечание 4 3 5 2 4" xfId="36434"/>
    <cellStyle name="Примечание 4 3 5 3" xfId="13908"/>
    <cellStyle name="Примечание 4 3 5 3 2" xfId="16551"/>
    <cellStyle name="Примечание 4 3 5 3 2 2" xfId="30366"/>
    <cellStyle name="Примечание 4 3 5 3 2 3" xfId="40241"/>
    <cellStyle name="Примечание 4 3 5 3 3" xfId="19191"/>
    <cellStyle name="Примечание 4 3 5 3 3 2" xfId="33001"/>
    <cellStyle name="Примечание 4 3 5 3 3 3" xfId="42870"/>
    <cellStyle name="Примечание 4 3 5 3 4" xfId="27729"/>
    <cellStyle name="Примечание 4 3 5 3 5" xfId="37604"/>
    <cellStyle name="Примечание 4 3 5 4" xfId="15406"/>
    <cellStyle name="Примечание 4 3 5 4 2" xfId="29225"/>
    <cellStyle name="Примечание 4 3 5 4 3" xfId="39100"/>
    <cellStyle name="Примечание 4 3 5 5" xfId="25133"/>
    <cellStyle name="Примечание 4 3 5 6" xfId="35008"/>
    <cellStyle name="Примечание 4 3 6" xfId="2632"/>
    <cellStyle name="Примечание 4 3 6 2" xfId="12618"/>
    <cellStyle name="Примечание 4 3 6 2 2" xfId="17950"/>
    <cellStyle name="Примечание 4 3 6 2 2 2" xfId="31760"/>
    <cellStyle name="Примечание 4 3 6 2 2 3" xfId="41633"/>
    <cellStyle name="Примечание 4 3 6 2 3" xfId="26492"/>
    <cellStyle name="Примечание 4 3 6 2 4" xfId="36367"/>
    <cellStyle name="Примечание 4 3 6 3" xfId="13840"/>
    <cellStyle name="Примечание 4 3 6 3 2" xfId="16483"/>
    <cellStyle name="Примечание 4 3 6 3 2 2" xfId="30299"/>
    <cellStyle name="Примечание 4 3 6 3 2 3" xfId="40174"/>
    <cellStyle name="Примечание 4 3 6 3 3" xfId="19123"/>
    <cellStyle name="Примечание 4 3 6 3 3 2" xfId="32933"/>
    <cellStyle name="Примечание 4 3 6 3 3 3" xfId="42803"/>
    <cellStyle name="Примечание 4 3 6 3 4" xfId="27662"/>
    <cellStyle name="Примечание 4 3 6 3 5" xfId="37537"/>
    <cellStyle name="Примечание 4 3 6 4" xfId="15338"/>
    <cellStyle name="Примечание 4 3 6 4 2" xfId="29158"/>
    <cellStyle name="Примечание 4 3 6 4 3" xfId="39033"/>
    <cellStyle name="Примечание 4 3 6 5" xfId="25066"/>
    <cellStyle name="Примечание 4 3 6 6" xfId="34941"/>
    <cellStyle name="Примечание 4 3 7" xfId="2760"/>
    <cellStyle name="Примечание 4 3 7 2" xfId="12736"/>
    <cellStyle name="Примечание 4 3 7 2 2" xfId="18068"/>
    <cellStyle name="Примечание 4 3 7 2 2 2" xfId="31878"/>
    <cellStyle name="Примечание 4 3 7 2 2 3" xfId="41751"/>
    <cellStyle name="Примечание 4 3 7 2 3" xfId="26610"/>
    <cellStyle name="Примечание 4 3 7 2 4" xfId="36485"/>
    <cellStyle name="Примечание 4 3 7 3" xfId="13959"/>
    <cellStyle name="Примечание 4 3 7 3 2" xfId="16602"/>
    <cellStyle name="Примечание 4 3 7 3 2 2" xfId="30417"/>
    <cellStyle name="Примечание 4 3 7 3 2 3" xfId="40292"/>
    <cellStyle name="Примечание 4 3 7 3 3" xfId="19242"/>
    <cellStyle name="Примечание 4 3 7 3 3 2" xfId="33052"/>
    <cellStyle name="Примечание 4 3 7 3 3 3" xfId="42921"/>
    <cellStyle name="Примечание 4 3 7 3 4" xfId="27780"/>
    <cellStyle name="Примечание 4 3 7 3 5" xfId="37655"/>
    <cellStyle name="Примечание 4 3 7 4" xfId="15457"/>
    <cellStyle name="Примечание 4 3 7 4 2" xfId="29276"/>
    <cellStyle name="Примечание 4 3 7 4 3" xfId="39151"/>
    <cellStyle name="Примечание 4 3 7 5" xfId="25184"/>
    <cellStyle name="Примечание 4 3 7 6" xfId="35059"/>
    <cellStyle name="Примечание 4 3 8" xfId="2682"/>
    <cellStyle name="Примечание 4 3 8 2" xfId="12668"/>
    <cellStyle name="Примечание 4 3 8 2 2" xfId="18000"/>
    <cellStyle name="Примечание 4 3 8 2 2 2" xfId="31810"/>
    <cellStyle name="Примечание 4 3 8 2 2 3" xfId="41683"/>
    <cellStyle name="Примечание 4 3 8 2 3" xfId="26542"/>
    <cellStyle name="Примечание 4 3 8 2 4" xfId="36417"/>
    <cellStyle name="Примечание 4 3 8 3" xfId="13890"/>
    <cellStyle name="Примечание 4 3 8 3 2" xfId="16533"/>
    <cellStyle name="Примечание 4 3 8 3 2 2" xfId="30349"/>
    <cellStyle name="Примечание 4 3 8 3 2 3" xfId="40224"/>
    <cellStyle name="Примечание 4 3 8 3 3" xfId="19173"/>
    <cellStyle name="Примечание 4 3 8 3 3 2" xfId="32983"/>
    <cellStyle name="Примечание 4 3 8 3 3 3" xfId="42853"/>
    <cellStyle name="Примечание 4 3 8 3 4" xfId="27712"/>
    <cellStyle name="Примечание 4 3 8 3 5" xfId="37587"/>
    <cellStyle name="Примечание 4 3 8 4" xfId="15388"/>
    <cellStyle name="Примечание 4 3 8 4 2" xfId="29208"/>
    <cellStyle name="Примечание 4 3 8 4 3" xfId="39083"/>
    <cellStyle name="Примечание 4 3 8 5" xfId="25116"/>
    <cellStyle name="Примечание 4 3 8 6" xfId="34991"/>
    <cellStyle name="Примечание 4 3 9" xfId="2810"/>
    <cellStyle name="Примечание 4 3 9 2" xfId="12785"/>
    <cellStyle name="Примечание 4 3 9 2 2" xfId="18117"/>
    <cellStyle name="Примечание 4 3 9 2 2 2" xfId="31927"/>
    <cellStyle name="Примечание 4 3 9 2 2 3" xfId="41800"/>
    <cellStyle name="Примечание 4 3 9 2 3" xfId="26659"/>
    <cellStyle name="Примечание 4 3 9 2 4" xfId="36534"/>
    <cellStyle name="Примечание 4 3 9 3" xfId="14008"/>
    <cellStyle name="Примечание 4 3 9 3 2" xfId="16651"/>
    <cellStyle name="Примечание 4 3 9 3 2 2" xfId="30466"/>
    <cellStyle name="Примечание 4 3 9 3 2 3" xfId="40341"/>
    <cellStyle name="Примечание 4 3 9 3 3" xfId="19291"/>
    <cellStyle name="Примечание 4 3 9 3 3 2" xfId="33101"/>
    <cellStyle name="Примечание 4 3 9 3 3 3" xfId="42970"/>
    <cellStyle name="Примечание 4 3 9 3 4" xfId="27829"/>
    <cellStyle name="Примечание 4 3 9 3 5" xfId="37704"/>
    <cellStyle name="Примечание 4 3 9 4" xfId="15506"/>
    <cellStyle name="Примечание 4 3 9 4 2" xfId="29325"/>
    <cellStyle name="Примечание 4 3 9 4 3" xfId="39200"/>
    <cellStyle name="Примечание 4 3 9 5" xfId="25233"/>
    <cellStyle name="Примечание 4 3 9 6" xfId="35108"/>
    <cellStyle name="Примечание 4 4" xfId="2595"/>
    <cellStyle name="Примечание 4 4 2" xfId="10861"/>
    <cellStyle name="Примечание 4 4 3" xfId="12581"/>
    <cellStyle name="Примечание 4 4 3 2" xfId="17913"/>
    <cellStyle name="Примечание 4 4 3 2 2" xfId="31723"/>
    <cellStyle name="Примечание 4 4 3 2 3" xfId="41596"/>
    <cellStyle name="Примечание 4 4 3 3" xfId="26455"/>
    <cellStyle name="Примечание 4 4 3 4" xfId="36330"/>
    <cellStyle name="Примечание 4 4 4" xfId="13803"/>
    <cellStyle name="Примечание 4 4 4 2" xfId="16446"/>
    <cellStyle name="Примечание 4 4 4 2 2" xfId="30262"/>
    <cellStyle name="Примечание 4 4 4 2 3" xfId="40137"/>
    <cellStyle name="Примечание 4 4 4 3" xfId="19086"/>
    <cellStyle name="Примечание 4 4 4 3 2" xfId="32896"/>
    <cellStyle name="Примечание 4 4 4 3 3" xfId="42766"/>
    <cellStyle name="Примечание 4 4 4 4" xfId="27625"/>
    <cellStyle name="Примечание 4 4 4 5" xfId="37500"/>
    <cellStyle name="Примечание 4 4 5" xfId="15301"/>
    <cellStyle name="Примечание 4 4 5 2" xfId="29121"/>
    <cellStyle name="Примечание 4 4 5 3" xfId="38996"/>
    <cellStyle name="Примечание 4 4 6" xfId="25029"/>
    <cellStyle name="Примечание 4 4 7" xfId="34904"/>
    <cellStyle name="Примечание 4 5" xfId="2445"/>
    <cellStyle name="Примечание 4 5 2" xfId="10869"/>
    <cellStyle name="Примечание 4 5 3" xfId="12450"/>
    <cellStyle name="Примечание 4 5 3 2" xfId="17782"/>
    <cellStyle name="Примечание 4 5 3 2 2" xfId="31592"/>
    <cellStyle name="Примечание 4 5 3 2 3" xfId="41465"/>
    <cellStyle name="Примечание 4 5 3 3" xfId="26324"/>
    <cellStyle name="Примечание 4 5 3 4" xfId="36199"/>
    <cellStyle name="Примечание 4 5 4" xfId="13672"/>
    <cellStyle name="Примечание 4 5 4 2" xfId="16315"/>
    <cellStyle name="Примечание 4 5 4 2 2" xfId="30131"/>
    <cellStyle name="Примечание 4 5 4 2 3" xfId="40006"/>
    <cellStyle name="Примечание 4 5 4 3" xfId="18955"/>
    <cellStyle name="Примечание 4 5 4 3 2" xfId="32765"/>
    <cellStyle name="Примечание 4 5 4 3 3" xfId="42635"/>
    <cellStyle name="Примечание 4 5 4 4" xfId="27494"/>
    <cellStyle name="Примечание 4 5 4 5" xfId="37369"/>
    <cellStyle name="Примечание 4 5 5" xfId="15170"/>
    <cellStyle name="Примечание 4 5 5 2" xfId="28990"/>
    <cellStyle name="Примечание 4 5 5 3" xfId="38865"/>
    <cellStyle name="Примечание 4 5 6" xfId="24898"/>
    <cellStyle name="Примечание 4 5 7" xfId="34773"/>
    <cellStyle name="Примечание 4 6" xfId="2530"/>
    <cellStyle name="Примечание 4 6 2" xfId="10870"/>
    <cellStyle name="Примечание 4 6 3" xfId="12516"/>
    <cellStyle name="Примечание 4 6 3 2" xfId="17848"/>
    <cellStyle name="Примечание 4 6 3 2 2" xfId="31658"/>
    <cellStyle name="Примечание 4 6 3 2 3" xfId="41531"/>
    <cellStyle name="Примечание 4 6 3 3" xfId="26390"/>
    <cellStyle name="Примечание 4 6 3 4" xfId="36265"/>
    <cellStyle name="Примечание 4 6 4" xfId="13738"/>
    <cellStyle name="Примечание 4 6 4 2" xfId="16381"/>
    <cellStyle name="Примечание 4 6 4 2 2" xfId="30197"/>
    <cellStyle name="Примечание 4 6 4 2 3" xfId="40072"/>
    <cellStyle name="Примечание 4 6 4 3" xfId="19021"/>
    <cellStyle name="Примечание 4 6 4 3 2" xfId="32831"/>
    <cellStyle name="Примечание 4 6 4 3 3" xfId="42701"/>
    <cellStyle name="Примечание 4 6 4 4" xfId="27560"/>
    <cellStyle name="Примечание 4 6 4 5" xfId="37435"/>
    <cellStyle name="Примечание 4 6 5" xfId="15236"/>
    <cellStyle name="Примечание 4 6 5 2" xfId="29056"/>
    <cellStyle name="Примечание 4 6 5 3" xfId="38931"/>
    <cellStyle name="Примечание 4 6 6" xfId="24964"/>
    <cellStyle name="Примечание 4 6 7" xfId="34839"/>
    <cellStyle name="Примечание 4 7" xfId="2707"/>
    <cellStyle name="Примечание 4 7 2" xfId="10871"/>
    <cellStyle name="Примечание 4 7 3" xfId="12683"/>
    <cellStyle name="Примечание 4 7 3 2" xfId="18015"/>
    <cellStyle name="Примечание 4 7 3 2 2" xfId="31825"/>
    <cellStyle name="Примечание 4 7 3 2 3" xfId="41698"/>
    <cellStyle name="Примечание 4 7 3 3" xfId="26557"/>
    <cellStyle name="Примечание 4 7 3 4" xfId="36432"/>
    <cellStyle name="Примечание 4 7 4" xfId="13906"/>
    <cellStyle name="Примечание 4 7 4 2" xfId="16549"/>
    <cellStyle name="Примечание 4 7 4 2 2" xfId="30364"/>
    <cellStyle name="Примечание 4 7 4 2 3" xfId="40239"/>
    <cellStyle name="Примечание 4 7 4 3" xfId="19189"/>
    <cellStyle name="Примечание 4 7 4 3 2" xfId="32999"/>
    <cellStyle name="Примечание 4 7 4 3 3" xfId="42868"/>
    <cellStyle name="Примечание 4 7 4 4" xfId="27727"/>
    <cellStyle name="Примечание 4 7 4 5" xfId="37602"/>
    <cellStyle name="Примечание 4 7 5" xfId="15404"/>
    <cellStyle name="Примечание 4 7 5 2" xfId="29223"/>
    <cellStyle name="Примечание 4 7 5 3" xfId="39098"/>
    <cellStyle name="Примечание 4 7 6" xfId="25131"/>
    <cellStyle name="Примечание 4 7 7" xfId="35006"/>
    <cellStyle name="Примечание 4 8" xfId="2630"/>
    <cellStyle name="Примечание 4 8 2" xfId="10872"/>
    <cellStyle name="Примечание 4 8 3" xfId="12616"/>
    <cellStyle name="Примечание 4 8 3 2" xfId="17948"/>
    <cellStyle name="Примечание 4 8 3 2 2" xfId="31758"/>
    <cellStyle name="Примечание 4 8 3 2 3" xfId="41631"/>
    <cellStyle name="Примечание 4 8 3 3" xfId="26490"/>
    <cellStyle name="Примечание 4 8 3 4" xfId="36365"/>
    <cellStyle name="Примечание 4 8 4" xfId="13838"/>
    <cellStyle name="Примечание 4 8 4 2" xfId="16481"/>
    <cellStyle name="Примечание 4 8 4 2 2" xfId="30297"/>
    <cellStyle name="Примечание 4 8 4 2 3" xfId="40172"/>
    <cellStyle name="Примечание 4 8 4 3" xfId="19121"/>
    <cellStyle name="Примечание 4 8 4 3 2" xfId="32931"/>
    <cellStyle name="Примечание 4 8 4 3 3" xfId="42801"/>
    <cellStyle name="Примечание 4 8 4 4" xfId="27660"/>
    <cellStyle name="Примечание 4 8 4 5" xfId="37535"/>
    <cellStyle name="Примечание 4 8 5" xfId="15336"/>
    <cellStyle name="Примечание 4 8 5 2" xfId="29156"/>
    <cellStyle name="Примечание 4 8 5 3" xfId="39031"/>
    <cellStyle name="Примечание 4 8 6" xfId="25064"/>
    <cellStyle name="Примечание 4 8 7" xfId="34939"/>
    <cellStyle name="Примечание 4 9" xfId="2758"/>
    <cellStyle name="Примечание 4 9 2" xfId="10873"/>
    <cellStyle name="Примечание 4 9 3" xfId="12734"/>
    <cellStyle name="Примечание 4 9 3 2" xfId="18066"/>
    <cellStyle name="Примечание 4 9 3 2 2" xfId="31876"/>
    <cellStyle name="Примечание 4 9 3 2 3" xfId="41749"/>
    <cellStyle name="Примечание 4 9 3 3" xfId="26608"/>
    <cellStyle name="Примечание 4 9 3 4" xfId="36483"/>
    <cellStyle name="Примечание 4 9 4" xfId="13957"/>
    <cellStyle name="Примечание 4 9 4 2" xfId="16600"/>
    <cellStyle name="Примечание 4 9 4 2 2" xfId="30415"/>
    <cellStyle name="Примечание 4 9 4 2 3" xfId="40290"/>
    <cellStyle name="Примечание 4 9 4 3" xfId="19240"/>
    <cellStyle name="Примечание 4 9 4 3 2" xfId="33050"/>
    <cellStyle name="Примечание 4 9 4 3 3" xfId="42919"/>
    <cellStyle name="Примечание 4 9 4 4" xfId="27778"/>
    <cellStyle name="Примечание 4 9 4 5" xfId="37653"/>
    <cellStyle name="Примечание 4 9 5" xfId="15455"/>
    <cellStyle name="Примечание 4 9 5 2" xfId="29274"/>
    <cellStyle name="Примечание 4 9 5 3" xfId="39149"/>
    <cellStyle name="Примечание 4 9 6" xfId="25182"/>
    <cellStyle name="Примечание 4 9 7" xfId="35057"/>
    <cellStyle name="Примечание 5" xfId="2225"/>
    <cellStyle name="Примечание 5 10" xfId="2683"/>
    <cellStyle name="Примечание 5 10 2" xfId="10875"/>
    <cellStyle name="Примечание 5 10 3" xfId="12669"/>
    <cellStyle name="Примечание 5 10 3 2" xfId="18001"/>
    <cellStyle name="Примечание 5 10 3 2 2" xfId="31811"/>
    <cellStyle name="Примечание 5 10 3 2 3" xfId="41684"/>
    <cellStyle name="Примечание 5 10 3 3" xfId="26543"/>
    <cellStyle name="Примечание 5 10 3 4" xfId="36418"/>
    <cellStyle name="Примечание 5 10 4" xfId="13891"/>
    <cellStyle name="Примечание 5 10 4 2" xfId="16534"/>
    <cellStyle name="Примечание 5 10 4 2 2" xfId="30350"/>
    <cellStyle name="Примечание 5 10 4 2 3" xfId="40225"/>
    <cellStyle name="Примечание 5 10 4 3" xfId="19174"/>
    <cellStyle name="Примечание 5 10 4 3 2" xfId="32984"/>
    <cellStyle name="Примечание 5 10 4 3 3" xfId="42854"/>
    <cellStyle name="Примечание 5 10 4 4" xfId="27713"/>
    <cellStyle name="Примечание 5 10 4 5" xfId="37588"/>
    <cellStyle name="Примечание 5 10 5" xfId="15389"/>
    <cellStyle name="Примечание 5 10 5 2" xfId="29209"/>
    <cellStyle name="Примечание 5 10 5 3" xfId="39084"/>
    <cellStyle name="Примечание 5 10 6" xfId="25117"/>
    <cellStyle name="Примечание 5 10 7" xfId="34992"/>
    <cellStyle name="Примечание 5 11" xfId="2811"/>
    <cellStyle name="Примечание 5 11 2" xfId="10876"/>
    <cellStyle name="Примечание 5 11 3" xfId="12786"/>
    <cellStyle name="Примечание 5 11 3 2" xfId="18118"/>
    <cellStyle name="Примечание 5 11 3 2 2" xfId="31928"/>
    <cellStyle name="Примечание 5 11 3 2 3" xfId="41801"/>
    <cellStyle name="Примечание 5 11 3 3" xfId="26660"/>
    <cellStyle name="Примечание 5 11 3 4" xfId="36535"/>
    <cellStyle name="Примечание 5 11 4" xfId="14009"/>
    <cellStyle name="Примечание 5 11 4 2" xfId="16652"/>
    <cellStyle name="Примечание 5 11 4 2 2" xfId="30467"/>
    <cellStyle name="Примечание 5 11 4 2 3" xfId="40342"/>
    <cellStyle name="Примечание 5 11 4 3" xfId="19292"/>
    <cellStyle name="Примечание 5 11 4 3 2" xfId="33102"/>
    <cellStyle name="Примечание 5 11 4 3 3" xfId="42971"/>
    <cellStyle name="Примечание 5 11 4 4" xfId="27830"/>
    <cellStyle name="Примечание 5 11 4 5" xfId="37705"/>
    <cellStyle name="Примечание 5 11 5" xfId="15507"/>
    <cellStyle name="Примечание 5 11 5 2" xfId="29326"/>
    <cellStyle name="Примечание 5 11 5 3" xfId="39201"/>
    <cellStyle name="Примечание 5 11 6" xfId="25234"/>
    <cellStyle name="Примечание 5 11 7" xfId="35109"/>
    <cellStyle name="Примечание 5 12" xfId="2867"/>
    <cellStyle name="Примечание 5 12 2" xfId="10877"/>
    <cellStyle name="Примечание 5 12 3" xfId="12839"/>
    <cellStyle name="Примечание 5 12 3 2" xfId="18171"/>
    <cellStyle name="Примечание 5 12 3 2 2" xfId="31981"/>
    <cellStyle name="Примечание 5 12 3 2 3" xfId="41854"/>
    <cellStyle name="Примечание 5 12 3 3" xfId="26713"/>
    <cellStyle name="Примечание 5 12 3 4" xfId="36588"/>
    <cellStyle name="Примечание 5 12 4" xfId="14062"/>
    <cellStyle name="Примечание 5 12 4 2" xfId="16705"/>
    <cellStyle name="Примечание 5 12 4 2 2" xfId="30520"/>
    <cellStyle name="Примечание 5 12 4 2 3" xfId="40395"/>
    <cellStyle name="Примечание 5 12 4 3" xfId="19345"/>
    <cellStyle name="Примечание 5 12 4 3 2" xfId="33155"/>
    <cellStyle name="Примечание 5 12 4 3 3" xfId="43024"/>
    <cellStyle name="Примечание 5 12 4 4" xfId="27883"/>
    <cellStyle name="Примечание 5 12 4 5" xfId="37758"/>
    <cellStyle name="Примечание 5 12 5" xfId="15560"/>
    <cellStyle name="Примечание 5 12 5 2" xfId="29379"/>
    <cellStyle name="Примечание 5 12 5 3" xfId="39254"/>
    <cellStyle name="Примечание 5 12 6" xfId="25287"/>
    <cellStyle name="Примечание 5 12 7" xfId="35162"/>
    <cellStyle name="Примечание 5 13" xfId="2915"/>
    <cellStyle name="Примечание 5 13 2" xfId="10878"/>
    <cellStyle name="Примечание 5 13 3" xfId="12885"/>
    <cellStyle name="Примечание 5 13 3 2" xfId="18217"/>
    <cellStyle name="Примечание 5 13 3 2 2" xfId="32027"/>
    <cellStyle name="Примечание 5 13 3 2 3" xfId="41900"/>
    <cellStyle name="Примечание 5 13 3 3" xfId="26759"/>
    <cellStyle name="Примечание 5 13 3 4" xfId="36634"/>
    <cellStyle name="Примечание 5 13 4" xfId="14108"/>
    <cellStyle name="Примечание 5 13 4 2" xfId="16751"/>
    <cellStyle name="Примечание 5 13 4 2 2" xfId="30566"/>
    <cellStyle name="Примечание 5 13 4 2 3" xfId="40441"/>
    <cellStyle name="Примечание 5 13 4 3" xfId="19391"/>
    <cellStyle name="Примечание 5 13 4 3 2" xfId="33201"/>
    <cellStyle name="Примечание 5 13 4 3 3" xfId="43070"/>
    <cellStyle name="Примечание 5 13 4 4" xfId="27929"/>
    <cellStyle name="Примечание 5 13 4 5" xfId="37804"/>
    <cellStyle name="Примечание 5 13 5" xfId="15606"/>
    <cellStyle name="Примечание 5 13 5 2" xfId="29425"/>
    <cellStyle name="Примечание 5 13 5 3" xfId="39300"/>
    <cellStyle name="Примечание 5 13 6" xfId="25333"/>
    <cellStyle name="Примечание 5 13 7" xfId="35208"/>
    <cellStyle name="Примечание 5 14" xfId="2969"/>
    <cellStyle name="Примечание 5 14 2" xfId="10879"/>
    <cellStyle name="Примечание 5 14 3" xfId="12938"/>
    <cellStyle name="Примечание 5 14 3 2" xfId="18270"/>
    <cellStyle name="Примечание 5 14 3 2 2" xfId="32080"/>
    <cellStyle name="Примечание 5 14 3 2 3" xfId="41953"/>
    <cellStyle name="Примечание 5 14 3 3" xfId="26812"/>
    <cellStyle name="Примечание 5 14 3 4" xfId="36687"/>
    <cellStyle name="Примечание 5 14 4" xfId="14161"/>
    <cellStyle name="Примечание 5 14 4 2" xfId="16804"/>
    <cellStyle name="Примечание 5 14 4 2 2" xfId="30619"/>
    <cellStyle name="Примечание 5 14 4 2 3" xfId="40494"/>
    <cellStyle name="Примечание 5 14 4 3" xfId="19444"/>
    <cellStyle name="Примечание 5 14 4 3 2" xfId="33254"/>
    <cellStyle name="Примечание 5 14 4 3 3" xfId="43123"/>
    <cellStyle name="Примечание 5 14 4 4" xfId="27982"/>
    <cellStyle name="Примечание 5 14 4 5" xfId="37857"/>
    <cellStyle name="Примечание 5 14 5" xfId="15659"/>
    <cellStyle name="Примечание 5 14 5 2" xfId="29478"/>
    <cellStyle name="Примечание 5 14 5 3" xfId="39353"/>
    <cellStyle name="Примечание 5 14 6" xfId="25386"/>
    <cellStyle name="Примечание 5 14 7" xfId="35261"/>
    <cellStyle name="Примечание 5 15" xfId="3018"/>
    <cellStyle name="Примечание 5 15 2" xfId="12061"/>
    <cellStyle name="Примечание 5 15 2 2" xfId="14959"/>
    <cellStyle name="Примечание 5 15 2 2 2" xfId="20242"/>
    <cellStyle name="Примечание 5 15 2 2 2 2" xfId="23225"/>
    <cellStyle name="Примечание 5 15 2 2 2 3" xfId="34052"/>
    <cellStyle name="Примечание 5 15 2 2 2 4" xfId="43920"/>
    <cellStyle name="Примечание 5 15 2 2 3" xfId="23513"/>
    <cellStyle name="Примечание 5 15 2 2 4" xfId="28779"/>
    <cellStyle name="Примечание 5 15 2 2 5" xfId="38654"/>
    <cellStyle name="Примечание 5 15 2 3" xfId="14401"/>
    <cellStyle name="Примечание 5 15 2 3 2" xfId="16914"/>
    <cellStyle name="Примечание 5 15 2 3 2 2" xfId="30729"/>
    <cellStyle name="Примечание 5 15 2 3 2 3" xfId="40604"/>
    <cellStyle name="Примечание 5 15 2 3 3" xfId="19684"/>
    <cellStyle name="Примечание 5 15 2 3 3 2" xfId="33494"/>
    <cellStyle name="Примечание 5 15 2 3 3 3" xfId="43363"/>
    <cellStyle name="Примечание 5 15 2 3 4" xfId="28222"/>
    <cellStyle name="Примечание 5 15 2 3 5" xfId="38097"/>
    <cellStyle name="Примечание 5 15 2 4" xfId="15984"/>
    <cellStyle name="Примечание 5 15 2 4 2" xfId="21840"/>
    <cellStyle name="Примечание 5 15 2 4 3" xfId="29803"/>
    <cellStyle name="Примечание 5 15 2 4 4" xfId="39678"/>
    <cellStyle name="Примечание 5 15 2 5" xfId="24137"/>
    <cellStyle name="Примечание 5 15 2 6" xfId="25935"/>
    <cellStyle name="Примечание 5 15 2 7" xfId="35810"/>
    <cellStyle name="Примечание 5 15 3" xfId="12985"/>
    <cellStyle name="Примечание 5 15 3 2" xfId="18317"/>
    <cellStyle name="Примечание 5 15 3 2 2" xfId="32127"/>
    <cellStyle name="Примечание 5 15 3 2 3" xfId="42000"/>
    <cellStyle name="Примечание 5 15 3 3" xfId="23497"/>
    <cellStyle name="Примечание 5 15 3 4" xfId="26859"/>
    <cellStyle name="Примечание 5 15 3 5" xfId="36734"/>
    <cellStyle name="Примечание 5 15 4" xfId="14208"/>
    <cellStyle name="Примечание 5 15 4 2" xfId="16851"/>
    <cellStyle name="Примечание 5 15 4 2 2" xfId="30666"/>
    <cellStyle name="Примечание 5 15 4 2 3" xfId="40541"/>
    <cellStyle name="Примечание 5 15 4 3" xfId="19491"/>
    <cellStyle name="Примечание 5 15 4 3 2" xfId="33301"/>
    <cellStyle name="Примечание 5 15 4 3 3" xfId="43170"/>
    <cellStyle name="Примечание 5 15 4 4" xfId="28029"/>
    <cellStyle name="Примечание 5 15 4 5" xfId="37904"/>
    <cellStyle name="Примечание 5 15 5" xfId="21752"/>
    <cellStyle name="Примечание 5 15 6" xfId="22489"/>
    <cellStyle name="Примечание 5 15 7" xfId="23977"/>
    <cellStyle name="Примечание 5 15 8" xfId="25433"/>
    <cellStyle name="Примечание 5 15 9" xfId="35308"/>
    <cellStyle name="Примечание 5 16" xfId="12141"/>
    <cellStyle name="Примечание 5 16 2" xfId="15039"/>
    <cellStyle name="Примечание 5 16 2 2" xfId="20322"/>
    <cellStyle name="Примечание 5 16 2 2 2" xfId="23241"/>
    <cellStyle name="Примечание 5 16 2 2 3" xfId="34132"/>
    <cellStyle name="Примечание 5 16 2 2 4" xfId="44000"/>
    <cellStyle name="Примечание 5 16 2 3" xfId="23593"/>
    <cellStyle name="Примечание 5 16 2 4" xfId="28859"/>
    <cellStyle name="Примечание 5 16 2 5" xfId="38734"/>
    <cellStyle name="Примечание 5 16 3" xfId="14410"/>
    <cellStyle name="Примечание 5 16 3 2" xfId="16923"/>
    <cellStyle name="Примечание 5 16 3 2 2" xfId="30738"/>
    <cellStyle name="Примечание 5 16 3 2 3" xfId="40613"/>
    <cellStyle name="Примечание 5 16 3 3" xfId="19693"/>
    <cellStyle name="Примечание 5 16 3 3 2" xfId="33503"/>
    <cellStyle name="Примечание 5 16 3 3 3" xfId="43372"/>
    <cellStyle name="Примечание 5 16 3 4" xfId="28231"/>
    <cellStyle name="Примечание 5 16 3 5" xfId="38106"/>
    <cellStyle name="Примечание 5 16 4" xfId="21520"/>
    <cellStyle name="Примечание 5 16 5" xfId="21888"/>
    <cellStyle name="Примечание 5 16 6" xfId="22713"/>
    <cellStyle name="Примечание 5 16 7" xfId="24217"/>
    <cellStyle name="Примечание 5 16 8" xfId="26015"/>
    <cellStyle name="Примечание 5 16 9" xfId="35890"/>
    <cellStyle name="Примечание 5 17" xfId="12221"/>
    <cellStyle name="Примечание 5 17 2" xfId="15119"/>
    <cellStyle name="Примечание 5 17 2 2" xfId="20402"/>
    <cellStyle name="Примечание 5 17 2 2 2" xfId="23257"/>
    <cellStyle name="Примечание 5 17 2 2 3" xfId="34212"/>
    <cellStyle name="Примечание 5 17 2 2 4" xfId="44080"/>
    <cellStyle name="Примечание 5 17 2 3" xfId="23673"/>
    <cellStyle name="Примечание 5 17 2 4" xfId="28939"/>
    <cellStyle name="Примечание 5 17 2 5" xfId="38814"/>
    <cellStyle name="Примечание 5 17 3" xfId="14421"/>
    <cellStyle name="Примечание 5 17 3 2" xfId="16934"/>
    <cellStyle name="Примечание 5 17 3 2 2" xfId="30749"/>
    <cellStyle name="Примечание 5 17 3 2 3" xfId="40624"/>
    <cellStyle name="Примечание 5 17 3 3" xfId="19704"/>
    <cellStyle name="Примечание 5 17 3 3 2" xfId="33514"/>
    <cellStyle name="Примечание 5 17 3 3 3" xfId="43383"/>
    <cellStyle name="Примечание 5 17 3 4" xfId="28242"/>
    <cellStyle name="Примечание 5 17 3 5" xfId="38117"/>
    <cellStyle name="Примечание 5 17 4" xfId="21600"/>
    <cellStyle name="Примечание 5 17 5" xfId="21936"/>
    <cellStyle name="Примечание 5 17 6" xfId="22793"/>
    <cellStyle name="Примечание 5 17 7" xfId="24297"/>
    <cellStyle name="Примечание 5 17 8" xfId="26095"/>
    <cellStyle name="Примечание 5 17 9" xfId="35970"/>
    <cellStyle name="Примечание 5 18" xfId="11827"/>
    <cellStyle name="Примечание 5 18 2" xfId="14725"/>
    <cellStyle name="Примечание 5 18 2 2" xfId="20008"/>
    <cellStyle name="Примечание 5 18 2 2 2" xfId="33818"/>
    <cellStyle name="Примечание 5 18 2 2 3" xfId="43686"/>
    <cellStyle name="Примечание 5 18 2 3" xfId="28545"/>
    <cellStyle name="Примечание 5 18 2 4" xfId="38420"/>
    <cellStyle name="Примечание 5 18 3" xfId="14254"/>
    <cellStyle name="Примечание 5 18 3 2" xfId="16897"/>
    <cellStyle name="Примечание 5 18 3 2 2" xfId="30712"/>
    <cellStyle name="Примечание 5 18 3 2 3" xfId="40587"/>
    <cellStyle name="Примечание 5 18 3 3" xfId="19537"/>
    <cellStyle name="Примечание 5 18 3 3 2" xfId="33347"/>
    <cellStyle name="Примечание 5 18 3 3 3" xfId="43216"/>
    <cellStyle name="Примечание 5 18 3 4" xfId="28075"/>
    <cellStyle name="Примечание 5 18 3 5" xfId="37950"/>
    <cellStyle name="Примечание 5 18 4" xfId="15958"/>
    <cellStyle name="Примечание 5 18 4 2" xfId="23266"/>
    <cellStyle name="Примечание 5 18 4 3" xfId="29777"/>
    <cellStyle name="Примечание 5 18 4 4" xfId="39652"/>
    <cellStyle name="Примечание 5 18 5" xfId="25701"/>
    <cellStyle name="Примечание 5 18 6" xfId="35576"/>
    <cellStyle name="Примечание 5 19" xfId="13552"/>
    <cellStyle name="Примечание 5 19 2" xfId="16250"/>
    <cellStyle name="Примечание 5 19 2 2" xfId="30067"/>
    <cellStyle name="Примечание 5 19 2 3" xfId="39942"/>
    <cellStyle name="Примечание 5 19 3" xfId="18881"/>
    <cellStyle name="Примечание 5 19 3 2" xfId="32691"/>
    <cellStyle name="Примечание 5 19 3 3" xfId="42562"/>
    <cellStyle name="Примечание 5 19 4" xfId="27421"/>
    <cellStyle name="Примечание 5 19 5" xfId="37296"/>
    <cellStyle name="Примечание 5 2" xfId="2226"/>
    <cellStyle name="Примечание 5 2 10" xfId="2868"/>
    <cellStyle name="Примечание 5 2 10 2" xfId="12840"/>
    <cellStyle name="Примечание 5 2 10 2 2" xfId="18172"/>
    <cellStyle name="Примечание 5 2 10 2 2 2" xfId="31982"/>
    <cellStyle name="Примечание 5 2 10 2 2 3" xfId="41855"/>
    <cellStyle name="Примечание 5 2 10 2 3" xfId="26714"/>
    <cellStyle name="Примечание 5 2 10 2 4" xfId="36589"/>
    <cellStyle name="Примечание 5 2 10 3" xfId="14063"/>
    <cellStyle name="Примечание 5 2 10 3 2" xfId="16706"/>
    <cellStyle name="Примечание 5 2 10 3 2 2" xfId="30521"/>
    <cellStyle name="Примечание 5 2 10 3 2 3" xfId="40396"/>
    <cellStyle name="Примечание 5 2 10 3 3" xfId="19346"/>
    <cellStyle name="Примечание 5 2 10 3 3 2" xfId="33156"/>
    <cellStyle name="Примечание 5 2 10 3 3 3" xfId="43025"/>
    <cellStyle name="Примечание 5 2 10 3 4" xfId="27884"/>
    <cellStyle name="Примечание 5 2 10 3 5" xfId="37759"/>
    <cellStyle name="Примечание 5 2 10 4" xfId="15561"/>
    <cellStyle name="Примечание 5 2 10 4 2" xfId="29380"/>
    <cellStyle name="Примечание 5 2 10 4 3" xfId="39255"/>
    <cellStyle name="Примечание 5 2 10 5" xfId="25288"/>
    <cellStyle name="Примечание 5 2 10 6" xfId="35163"/>
    <cellStyle name="Примечание 5 2 11" xfId="2916"/>
    <cellStyle name="Примечание 5 2 11 2" xfId="12886"/>
    <cellStyle name="Примечание 5 2 11 2 2" xfId="18218"/>
    <cellStyle name="Примечание 5 2 11 2 2 2" xfId="32028"/>
    <cellStyle name="Примечание 5 2 11 2 2 3" xfId="41901"/>
    <cellStyle name="Примечание 5 2 11 2 3" xfId="26760"/>
    <cellStyle name="Примечание 5 2 11 2 4" xfId="36635"/>
    <cellStyle name="Примечание 5 2 11 3" xfId="14109"/>
    <cellStyle name="Примечание 5 2 11 3 2" xfId="16752"/>
    <cellStyle name="Примечание 5 2 11 3 2 2" xfId="30567"/>
    <cellStyle name="Примечание 5 2 11 3 2 3" xfId="40442"/>
    <cellStyle name="Примечание 5 2 11 3 3" xfId="19392"/>
    <cellStyle name="Примечание 5 2 11 3 3 2" xfId="33202"/>
    <cellStyle name="Примечание 5 2 11 3 3 3" xfId="43071"/>
    <cellStyle name="Примечание 5 2 11 3 4" xfId="27930"/>
    <cellStyle name="Примечание 5 2 11 3 5" xfId="37805"/>
    <cellStyle name="Примечание 5 2 11 4" xfId="15607"/>
    <cellStyle name="Примечание 5 2 11 4 2" xfId="29426"/>
    <cellStyle name="Примечание 5 2 11 4 3" xfId="39301"/>
    <cellStyle name="Примечание 5 2 11 5" xfId="25334"/>
    <cellStyle name="Примечание 5 2 11 6" xfId="35209"/>
    <cellStyle name="Примечание 5 2 12" xfId="2970"/>
    <cellStyle name="Примечание 5 2 12 2" xfId="12939"/>
    <cellStyle name="Примечание 5 2 12 2 2" xfId="18271"/>
    <cellStyle name="Примечание 5 2 12 2 2 2" xfId="32081"/>
    <cellStyle name="Примечание 5 2 12 2 2 3" xfId="41954"/>
    <cellStyle name="Примечание 5 2 12 2 3" xfId="26813"/>
    <cellStyle name="Примечание 5 2 12 2 4" xfId="36688"/>
    <cellStyle name="Примечание 5 2 12 3" xfId="14162"/>
    <cellStyle name="Примечание 5 2 12 3 2" xfId="16805"/>
    <cellStyle name="Примечание 5 2 12 3 2 2" xfId="30620"/>
    <cellStyle name="Примечание 5 2 12 3 2 3" xfId="40495"/>
    <cellStyle name="Примечание 5 2 12 3 3" xfId="19445"/>
    <cellStyle name="Примечание 5 2 12 3 3 2" xfId="33255"/>
    <cellStyle name="Примечание 5 2 12 3 3 3" xfId="43124"/>
    <cellStyle name="Примечание 5 2 12 3 4" xfId="27983"/>
    <cellStyle name="Примечание 5 2 12 3 5" xfId="37858"/>
    <cellStyle name="Примечание 5 2 12 4" xfId="15660"/>
    <cellStyle name="Примечание 5 2 12 4 2" xfId="29479"/>
    <cellStyle name="Примечание 5 2 12 4 3" xfId="39354"/>
    <cellStyle name="Примечание 5 2 12 5" xfId="25387"/>
    <cellStyle name="Примечание 5 2 12 6" xfId="35262"/>
    <cellStyle name="Примечание 5 2 13" xfId="3019"/>
    <cellStyle name="Примечание 5 2 13 2" xfId="12986"/>
    <cellStyle name="Примечание 5 2 13 2 2" xfId="18318"/>
    <cellStyle name="Примечание 5 2 13 2 2 2" xfId="32128"/>
    <cellStyle name="Примечание 5 2 13 2 2 3" xfId="42001"/>
    <cellStyle name="Примечание 5 2 13 2 3" xfId="26860"/>
    <cellStyle name="Примечание 5 2 13 2 4" xfId="36735"/>
    <cellStyle name="Примечание 5 2 13 3" xfId="14209"/>
    <cellStyle name="Примечание 5 2 13 3 2" xfId="16852"/>
    <cellStyle name="Примечание 5 2 13 3 2 2" xfId="30667"/>
    <cellStyle name="Примечание 5 2 13 3 2 3" xfId="40542"/>
    <cellStyle name="Примечание 5 2 13 3 3" xfId="19492"/>
    <cellStyle name="Примечание 5 2 13 3 3 2" xfId="33302"/>
    <cellStyle name="Примечание 5 2 13 3 3 3" xfId="43171"/>
    <cellStyle name="Примечание 5 2 13 3 4" xfId="28030"/>
    <cellStyle name="Примечание 5 2 13 3 5" xfId="37905"/>
    <cellStyle name="Примечание 5 2 13 4" xfId="15695"/>
    <cellStyle name="Примечание 5 2 13 4 2" xfId="29514"/>
    <cellStyle name="Примечание 5 2 13 4 3" xfId="39389"/>
    <cellStyle name="Примечание 5 2 13 5" xfId="25434"/>
    <cellStyle name="Примечание 5 2 13 6" xfId="35309"/>
    <cellStyle name="Примечание 5 2 14" xfId="11828"/>
    <cellStyle name="Примечание 5 2 14 2" xfId="14726"/>
    <cellStyle name="Примечание 5 2 14 2 2" xfId="20009"/>
    <cellStyle name="Примечание 5 2 14 2 2 2" xfId="33819"/>
    <cellStyle name="Примечание 5 2 14 2 2 3" xfId="43687"/>
    <cellStyle name="Примечание 5 2 14 2 3" xfId="28546"/>
    <cellStyle name="Примечание 5 2 14 2 4" xfId="38421"/>
    <cellStyle name="Примечание 5 2 14 3" xfId="14255"/>
    <cellStyle name="Примечание 5 2 14 3 2" xfId="16898"/>
    <cellStyle name="Примечание 5 2 14 3 2 2" xfId="30713"/>
    <cellStyle name="Примечание 5 2 14 3 2 3" xfId="40588"/>
    <cellStyle name="Примечание 5 2 14 3 3" xfId="19538"/>
    <cellStyle name="Примечание 5 2 14 3 3 2" xfId="33348"/>
    <cellStyle name="Примечание 5 2 14 3 3 3" xfId="43217"/>
    <cellStyle name="Примечание 5 2 14 3 4" xfId="28076"/>
    <cellStyle name="Примечание 5 2 14 3 5" xfId="37951"/>
    <cellStyle name="Примечание 5 2 14 4" xfId="15959"/>
    <cellStyle name="Примечание 5 2 14 4 2" xfId="24579"/>
    <cellStyle name="Примечание 5 2 14 4 3" xfId="29778"/>
    <cellStyle name="Примечание 5 2 14 4 4" xfId="39653"/>
    <cellStyle name="Примечание 5 2 14 5" xfId="25702"/>
    <cellStyle name="Примечание 5 2 14 6" xfId="35577"/>
    <cellStyle name="Примечание 5 2 15" xfId="12394"/>
    <cellStyle name="Примечание 5 2 15 2" xfId="17726"/>
    <cellStyle name="Примечание 5 2 15 2 2" xfId="31536"/>
    <cellStyle name="Примечание 5 2 15 2 3" xfId="41409"/>
    <cellStyle name="Примечание 5 2 15 3" xfId="26268"/>
    <cellStyle name="Примечание 5 2 15 4" xfId="36143"/>
    <cellStyle name="Примечание 5 2 16" xfId="13553"/>
    <cellStyle name="Примечание 5 2 16 2" xfId="16251"/>
    <cellStyle name="Примечание 5 2 16 2 2" xfId="30068"/>
    <cellStyle name="Примечание 5 2 16 2 3" xfId="39943"/>
    <cellStyle name="Примечание 5 2 16 3" xfId="18882"/>
    <cellStyle name="Примечание 5 2 16 3 2" xfId="32692"/>
    <cellStyle name="Примечание 5 2 16 3 3" xfId="42563"/>
    <cellStyle name="Примечание 5 2 16 4" xfId="27422"/>
    <cellStyle name="Примечание 5 2 16 5" xfId="37297"/>
    <cellStyle name="Примечание 5 2 17" xfId="13503"/>
    <cellStyle name="Примечание 5 2 17 2" xfId="18832"/>
    <cellStyle name="Примечание 5 2 17 2 2" xfId="32642"/>
    <cellStyle name="Примечание 5 2 17 2 3" xfId="42513"/>
    <cellStyle name="Примечание 5 2 17 3" xfId="27372"/>
    <cellStyle name="Примечание 5 2 17 4" xfId="37247"/>
    <cellStyle name="Примечание 5 2 18" xfId="17404"/>
    <cellStyle name="Примечание 5 2 18 2" xfId="31215"/>
    <cellStyle name="Примечание 5 2 18 3" xfId="41089"/>
    <cellStyle name="Примечание 5 2 19" xfId="24840"/>
    <cellStyle name="Примечание 5 2 2" xfId="2599"/>
    <cellStyle name="Примечание 5 2 2 2" xfId="10880"/>
    <cellStyle name="Примечание 5 2 2 3" xfId="12585"/>
    <cellStyle name="Примечание 5 2 2 3 2" xfId="17917"/>
    <cellStyle name="Примечание 5 2 2 3 2 2" xfId="31727"/>
    <cellStyle name="Примечание 5 2 2 3 2 3" xfId="41600"/>
    <cellStyle name="Примечание 5 2 2 3 3" xfId="26459"/>
    <cellStyle name="Примечание 5 2 2 3 4" xfId="36334"/>
    <cellStyle name="Примечание 5 2 2 4" xfId="13807"/>
    <cellStyle name="Примечание 5 2 2 4 2" xfId="16450"/>
    <cellStyle name="Примечание 5 2 2 4 2 2" xfId="30266"/>
    <cellStyle name="Примечание 5 2 2 4 2 3" xfId="40141"/>
    <cellStyle name="Примечание 5 2 2 4 3" xfId="19090"/>
    <cellStyle name="Примечание 5 2 2 4 3 2" xfId="32900"/>
    <cellStyle name="Примечание 5 2 2 4 3 3" xfId="42770"/>
    <cellStyle name="Примечание 5 2 2 4 4" xfId="27629"/>
    <cellStyle name="Примечание 5 2 2 4 5" xfId="37504"/>
    <cellStyle name="Примечание 5 2 2 5" xfId="15305"/>
    <cellStyle name="Примечание 5 2 2 5 2" xfId="29125"/>
    <cellStyle name="Примечание 5 2 2 5 3" xfId="39000"/>
    <cellStyle name="Примечание 5 2 2 6" xfId="25033"/>
    <cellStyle name="Примечание 5 2 2 7" xfId="34908"/>
    <cellStyle name="Примечание 5 2 20" xfId="34455"/>
    <cellStyle name="Примечание 5 2 21" xfId="34705"/>
    <cellStyle name="Примечание 5 2 3" xfId="2441"/>
    <cellStyle name="Примечание 5 2 3 2" xfId="12446"/>
    <cellStyle name="Примечание 5 2 3 2 2" xfId="17778"/>
    <cellStyle name="Примечание 5 2 3 2 2 2" xfId="31588"/>
    <cellStyle name="Примечание 5 2 3 2 2 3" xfId="41461"/>
    <cellStyle name="Примечание 5 2 3 2 3" xfId="26320"/>
    <cellStyle name="Примечание 5 2 3 2 4" xfId="36195"/>
    <cellStyle name="Примечание 5 2 3 3" xfId="13668"/>
    <cellStyle name="Примечание 5 2 3 3 2" xfId="16311"/>
    <cellStyle name="Примечание 5 2 3 3 2 2" xfId="30127"/>
    <cellStyle name="Примечание 5 2 3 3 2 3" xfId="40002"/>
    <cellStyle name="Примечание 5 2 3 3 3" xfId="18951"/>
    <cellStyle name="Примечание 5 2 3 3 3 2" xfId="32761"/>
    <cellStyle name="Примечание 5 2 3 3 3 3" xfId="42631"/>
    <cellStyle name="Примечание 5 2 3 3 4" xfId="27490"/>
    <cellStyle name="Примечание 5 2 3 3 5" xfId="37365"/>
    <cellStyle name="Примечание 5 2 3 4" xfId="15166"/>
    <cellStyle name="Примечание 5 2 3 4 2" xfId="28986"/>
    <cellStyle name="Примечание 5 2 3 4 3" xfId="38861"/>
    <cellStyle name="Примечание 5 2 3 5" xfId="24894"/>
    <cellStyle name="Примечание 5 2 3 6" xfId="34769"/>
    <cellStyle name="Примечание 5 2 4" xfId="2534"/>
    <cellStyle name="Примечание 5 2 4 2" xfId="12520"/>
    <cellStyle name="Примечание 5 2 4 2 2" xfId="17852"/>
    <cellStyle name="Примечание 5 2 4 2 2 2" xfId="31662"/>
    <cellStyle name="Примечание 5 2 4 2 2 3" xfId="41535"/>
    <cellStyle name="Примечание 5 2 4 2 3" xfId="26394"/>
    <cellStyle name="Примечание 5 2 4 2 4" xfId="36269"/>
    <cellStyle name="Примечание 5 2 4 3" xfId="13742"/>
    <cellStyle name="Примечание 5 2 4 3 2" xfId="16385"/>
    <cellStyle name="Примечание 5 2 4 3 2 2" xfId="30201"/>
    <cellStyle name="Примечание 5 2 4 3 2 3" xfId="40076"/>
    <cellStyle name="Примечание 5 2 4 3 3" xfId="19025"/>
    <cellStyle name="Примечание 5 2 4 3 3 2" xfId="32835"/>
    <cellStyle name="Примечание 5 2 4 3 3 3" xfId="42705"/>
    <cellStyle name="Примечание 5 2 4 3 4" xfId="27564"/>
    <cellStyle name="Примечание 5 2 4 3 5" xfId="37439"/>
    <cellStyle name="Примечание 5 2 4 4" xfId="15240"/>
    <cellStyle name="Примечание 5 2 4 4 2" xfId="29060"/>
    <cellStyle name="Примечание 5 2 4 4 3" xfId="38935"/>
    <cellStyle name="Примечание 5 2 4 5" xfId="24968"/>
    <cellStyle name="Примечание 5 2 4 6" xfId="34843"/>
    <cellStyle name="Примечание 5 2 5" xfId="2711"/>
    <cellStyle name="Примечание 5 2 5 2" xfId="12687"/>
    <cellStyle name="Примечание 5 2 5 2 2" xfId="18019"/>
    <cellStyle name="Примечание 5 2 5 2 2 2" xfId="31829"/>
    <cellStyle name="Примечание 5 2 5 2 2 3" xfId="41702"/>
    <cellStyle name="Примечание 5 2 5 2 3" xfId="26561"/>
    <cellStyle name="Примечание 5 2 5 2 4" xfId="36436"/>
    <cellStyle name="Примечание 5 2 5 3" xfId="13910"/>
    <cellStyle name="Примечание 5 2 5 3 2" xfId="16553"/>
    <cellStyle name="Примечание 5 2 5 3 2 2" xfId="30368"/>
    <cellStyle name="Примечание 5 2 5 3 2 3" xfId="40243"/>
    <cellStyle name="Примечание 5 2 5 3 3" xfId="19193"/>
    <cellStyle name="Примечание 5 2 5 3 3 2" xfId="33003"/>
    <cellStyle name="Примечание 5 2 5 3 3 3" xfId="42872"/>
    <cellStyle name="Примечание 5 2 5 3 4" xfId="27731"/>
    <cellStyle name="Примечание 5 2 5 3 5" xfId="37606"/>
    <cellStyle name="Примечание 5 2 5 4" xfId="15408"/>
    <cellStyle name="Примечание 5 2 5 4 2" xfId="29227"/>
    <cellStyle name="Примечание 5 2 5 4 3" xfId="39102"/>
    <cellStyle name="Примечание 5 2 5 5" xfId="25135"/>
    <cellStyle name="Примечание 5 2 5 6" xfId="35010"/>
    <cellStyle name="Примечание 5 2 6" xfId="2634"/>
    <cellStyle name="Примечание 5 2 6 2" xfId="12620"/>
    <cellStyle name="Примечание 5 2 6 2 2" xfId="17952"/>
    <cellStyle name="Примечание 5 2 6 2 2 2" xfId="31762"/>
    <cellStyle name="Примечание 5 2 6 2 2 3" xfId="41635"/>
    <cellStyle name="Примечание 5 2 6 2 3" xfId="26494"/>
    <cellStyle name="Примечание 5 2 6 2 4" xfId="36369"/>
    <cellStyle name="Примечание 5 2 6 3" xfId="13842"/>
    <cellStyle name="Примечание 5 2 6 3 2" xfId="16485"/>
    <cellStyle name="Примечание 5 2 6 3 2 2" xfId="30301"/>
    <cellStyle name="Примечание 5 2 6 3 2 3" xfId="40176"/>
    <cellStyle name="Примечание 5 2 6 3 3" xfId="19125"/>
    <cellStyle name="Примечание 5 2 6 3 3 2" xfId="32935"/>
    <cellStyle name="Примечание 5 2 6 3 3 3" xfId="42805"/>
    <cellStyle name="Примечание 5 2 6 3 4" xfId="27664"/>
    <cellStyle name="Примечание 5 2 6 3 5" xfId="37539"/>
    <cellStyle name="Примечание 5 2 6 4" xfId="15340"/>
    <cellStyle name="Примечание 5 2 6 4 2" xfId="29160"/>
    <cellStyle name="Примечание 5 2 6 4 3" xfId="39035"/>
    <cellStyle name="Примечание 5 2 6 5" xfId="25068"/>
    <cellStyle name="Примечание 5 2 6 6" xfId="34943"/>
    <cellStyle name="Примечание 5 2 7" xfId="2762"/>
    <cellStyle name="Примечание 5 2 7 2" xfId="12738"/>
    <cellStyle name="Примечание 5 2 7 2 2" xfId="18070"/>
    <cellStyle name="Примечание 5 2 7 2 2 2" xfId="31880"/>
    <cellStyle name="Примечание 5 2 7 2 2 3" xfId="41753"/>
    <cellStyle name="Примечание 5 2 7 2 3" xfId="26612"/>
    <cellStyle name="Примечание 5 2 7 2 4" xfId="36487"/>
    <cellStyle name="Примечание 5 2 7 3" xfId="13961"/>
    <cellStyle name="Примечание 5 2 7 3 2" xfId="16604"/>
    <cellStyle name="Примечание 5 2 7 3 2 2" xfId="30419"/>
    <cellStyle name="Примечание 5 2 7 3 2 3" xfId="40294"/>
    <cellStyle name="Примечание 5 2 7 3 3" xfId="19244"/>
    <cellStyle name="Примечание 5 2 7 3 3 2" xfId="33054"/>
    <cellStyle name="Примечание 5 2 7 3 3 3" xfId="42923"/>
    <cellStyle name="Примечание 5 2 7 3 4" xfId="27782"/>
    <cellStyle name="Примечание 5 2 7 3 5" xfId="37657"/>
    <cellStyle name="Примечание 5 2 7 4" xfId="15459"/>
    <cellStyle name="Примечание 5 2 7 4 2" xfId="29278"/>
    <cellStyle name="Примечание 5 2 7 4 3" xfId="39153"/>
    <cellStyle name="Примечание 5 2 7 5" xfId="25186"/>
    <cellStyle name="Примечание 5 2 7 6" xfId="35061"/>
    <cellStyle name="Примечание 5 2 8" xfId="2684"/>
    <cellStyle name="Примечание 5 2 8 2" xfId="12670"/>
    <cellStyle name="Примечание 5 2 8 2 2" xfId="18002"/>
    <cellStyle name="Примечание 5 2 8 2 2 2" xfId="31812"/>
    <cellStyle name="Примечание 5 2 8 2 2 3" xfId="41685"/>
    <cellStyle name="Примечание 5 2 8 2 3" xfId="26544"/>
    <cellStyle name="Примечание 5 2 8 2 4" xfId="36419"/>
    <cellStyle name="Примечание 5 2 8 3" xfId="13892"/>
    <cellStyle name="Примечание 5 2 8 3 2" xfId="16535"/>
    <cellStyle name="Примечание 5 2 8 3 2 2" xfId="30351"/>
    <cellStyle name="Примечание 5 2 8 3 2 3" xfId="40226"/>
    <cellStyle name="Примечание 5 2 8 3 3" xfId="19175"/>
    <cellStyle name="Примечание 5 2 8 3 3 2" xfId="32985"/>
    <cellStyle name="Примечание 5 2 8 3 3 3" xfId="42855"/>
    <cellStyle name="Примечание 5 2 8 3 4" xfId="27714"/>
    <cellStyle name="Примечание 5 2 8 3 5" xfId="37589"/>
    <cellStyle name="Примечание 5 2 8 4" xfId="15390"/>
    <cellStyle name="Примечание 5 2 8 4 2" xfId="29210"/>
    <cellStyle name="Примечание 5 2 8 4 3" xfId="39085"/>
    <cellStyle name="Примечание 5 2 8 5" xfId="25118"/>
    <cellStyle name="Примечание 5 2 8 6" xfId="34993"/>
    <cellStyle name="Примечание 5 2 9" xfId="2812"/>
    <cellStyle name="Примечание 5 2 9 2" xfId="12787"/>
    <cellStyle name="Примечание 5 2 9 2 2" xfId="18119"/>
    <cellStyle name="Примечание 5 2 9 2 2 2" xfId="31929"/>
    <cellStyle name="Примечание 5 2 9 2 2 3" xfId="41802"/>
    <cellStyle name="Примечание 5 2 9 2 3" xfId="26661"/>
    <cellStyle name="Примечание 5 2 9 2 4" xfId="36536"/>
    <cellStyle name="Примечание 5 2 9 3" xfId="14010"/>
    <cellStyle name="Примечание 5 2 9 3 2" xfId="16653"/>
    <cellStyle name="Примечание 5 2 9 3 2 2" xfId="30468"/>
    <cellStyle name="Примечание 5 2 9 3 2 3" xfId="40343"/>
    <cellStyle name="Примечание 5 2 9 3 3" xfId="19293"/>
    <cellStyle name="Примечание 5 2 9 3 3 2" xfId="33103"/>
    <cellStyle name="Примечание 5 2 9 3 3 3" xfId="42972"/>
    <cellStyle name="Примечание 5 2 9 3 4" xfId="27831"/>
    <cellStyle name="Примечание 5 2 9 3 5" xfId="37706"/>
    <cellStyle name="Примечание 5 2 9 4" xfId="15508"/>
    <cellStyle name="Примечание 5 2 9 4 2" xfId="29327"/>
    <cellStyle name="Примечание 5 2 9 4 3" xfId="39202"/>
    <cellStyle name="Примечание 5 2 9 5" xfId="25235"/>
    <cellStyle name="Примечание 5 2 9 6" xfId="35110"/>
    <cellStyle name="Примечание 5 20" xfId="13502"/>
    <cellStyle name="Примечание 5 20 2" xfId="18831"/>
    <cellStyle name="Примечание 5 20 2 2" xfId="32641"/>
    <cellStyle name="Примечание 5 20 2 3" xfId="42512"/>
    <cellStyle name="Примечание 5 20 3" xfId="27371"/>
    <cellStyle name="Примечание 5 20 4" xfId="37246"/>
    <cellStyle name="Примечание 5 21" xfId="17403"/>
    <cellStyle name="Примечание 5 21 2" xfId="21119"/>
    <cellStyle name="Примечание 5 21 3" xfId="31214"/>
    <cellStyle name="Примечание 5 21 4" xfId="41088"/>
    <cellStyle name="Примечание 5 22" xfId="23897"/>
    <cellStyle name="Примечание 5 23" xfId="24839"/>
    <cellStyle name="Примечание 5 24" xfId="34454"/>
    <cellStyle name="Примечание 5 25" xfId="34704"/>
    <cellStyle name="Примечание 5 3" xfId="2227"/>
    <cellStyle name="Примечание 5 3 10" xfId="2869"/>
    <cellStyle name="Примечание 5 3 10 2" xfId="12841"/>
    <cellStyle name="Примечание 5 3 10 2 2" xfId="18173"/>
    <cellStyle name="Примечание 5 3 10 2 2 2" xfId="31983"/>
    <cellStyle name="Примечание 5 3 10 2 2 3" xfId="41856"/>
    <cellStyle name="Примечание 5 3 10 2 3" xfId="26715"/>
    <cellStyle name="Примечание 5 3 10 2 4" xfId="36590"/>
    <cellStyle name="Примечание 5 3 10 3" xfId="14064"/>
    <cellStyle name="Примечание 5 3 10 3 2" xfId="16707"/>
    <cellStyle name="Примечание 5 3 10 3 2 2" xfId="30522"/>
    <cellStyle name="Примечание 5 3 10 3 2 3" xfId="40397"/>
    <cellStyle name="Примечание 5 3 10 3 3" xfId="19347"/>
    <cellStyle name="Примечание 5 3 10 3 3 2" xfId="33157"/>
    <cellStyle name="Примечание 5 3 10 3 3 3" xfId="43026"/>
    <cellStyle name="Примечание 5 3 10 3 4" xfId="27885"/>
    <cellStyle name="Примечание 5 3 10 3 5" xfId="37760"/>
    <cellStyle name="Примечание 5 3 10 4" xfId="15562"/>
    <cellStyle name="Примечание 5 3 10 4 2" xfId="29381"/>
    <cellStyle name="Примечание 5 3 10 4 3" xfId="39256"/>
    <cellStyle name="Примечание 5 3 10 5" xfId="25289"/>
    <cellStyle name="Примечание 5 3 10 6" xfId="35164"/>
    <cellStyle name="Примечание 5 3 11" xfId="2917"/>
    <cellStyle name="Примечание 5 3 11 2" xfId="12887"/>
    <cellStyle name="Примечание 5 3 11 2 2" xfId="18219"/>
    <cellStyle name="Примечание 5 3 11 2 2 2" xfId="32029"/>
    <cellStyle name="Примечание 5 3 11 2 2 3" xfId="41902"/>
    <cellStyle name="Примечание 5 3 11 2 3" xfId="26761"/>
    <cellStyle name="Примечание 5 3 11 2 4" xfId="36636"/>
    <cellStyle name="Примечание 5 3 11 3" xfId="14110"/>
    <cellStyle name="Примечание 5 3 11 3 2" xfId="16753"/>
    <cellStyle name="Примечание 5 3 11 3 2 2" xfId="30568"/>
    <cellStyle name="Примечание 5 3 11 3 2 3" xfId="40443"/>
    <cellStyle name="Примечание 5 3 11 3 3" xfId="19393"/>
    <cellStyle name="Примечание 5 3 11 3 3 2" xfId="33203"/>
    <cellStyle name="Примечание 5 3 11 3 3 3" xfId="43072"/>
    <cellStyle name="Примечание 5 3 11 3 4" xfId="27931"/>
    <cellStyle name="Примечание 5 3 11 3 5" xfId="37806"/>
    <cellStyle name="Примечание 5 3 11 4" xfId="15608"/>
    <cellStyle name="Примечание 5 3 11 4 2" xfId="29427"/>
    <cellStyle name="Примечание 5 3 11 4 3" xfId="39302"/>
    <cellStyle name="Примечание 5 3 11 5" xfId="25335"/>
    <cellStyle name="Примечание 5 3 11 6" xfId="35210"/>
    <cellStyle name="Примечание 5 3 12" xfId="2971"/>
    <cellStyle name="Примечание 5 3 12 2" xfId="12940"/>
    <cellStyle name="Примечание 5 3 12 2 2" xfId="18272"/>
    <cellStyle name="Примечание 5 3 12 2 2 2" xfId="32082"/>
    <cellStyle name="Примечание 5 3 12 2 2 3" xfId="41955"/>
    <cellStyle name="Примечание 5 3 12 2 3" xfId="26814"/>
    <cellStyle name="Примечание 5 3 12 2 4" xfId="36689"/>
    <cellStyle name="Примечание 5 3 12 3" xfId="14163"/>
    <cellStyle name="Примечание 5 3 12 3 2" xfId="16806"/>
    <cellStyle name="Примечание 5 3 12 3 2 2" xfId="30621"/>
    <cellStyle name="Примечание 5 3 12 3 2 3" xfId="40496"/>
    <cellStyle name="Примечание 5 3 12 3 3" xfId="19446"/>
    <cellStyle name="Примечание 5 3 12 3 3 2" xfId="33256"/>
    <cellStyle name="Примечание 5 3 12 3 3 3" xfId="43125"/>
    <cellStyle name="Примечание 5 3 12 3 4" xfId="27984"/>
    <cellStyle name="Примечание 5 3 12 3 5" xfId="37859"/>
    <cellStyle name="Примечание 5 3 12 4" xfId="15661"/>
    <cellStyle name="Примечание 5 3 12 4 2" xfId="29480"/>
    <cellStyle name="Примечание 5 3 12 4 3" xfId="39355"/>
    <cellStyle name="Примечание 5 3 12 5" xfId="25388"/>
    <cellStyle name="Примечание 5 3 12 6" xfId="35263"/>
    <cellStyle name="Примечание 5 3 13" xfId="3020"/>
    <cellStyle name="Примечание 5 3 13 2" xfId="12987"/>
    <cellStyle name="Примечание 5 3 13 2 2" xfId="18319"/>
    <cellStyle name="Примечание 5 3 13 2 2 2" xfId="32129"/>
    <cellStyle name="Примечание 5 3 13 2 2 3" xfId="42002"/>
    <cellStyle name="Примечание 5 3 13 2 3" xfId="26861"/>
    <cellStyle name="Примечание 5 3 13 2 4" xfId="36736"/>
    <cellStyle name="Примечание 5 3 13 3" xfId="14210"/>
    <cellStyle name="Примечание 5 3 13 3 2" xfId="16853"/>
    <cellStyle name="Примечание 5 3 13 3 2 2" xfId="30668"/>
    <cellStyle name="Примечание 5 3 13 3 2 3" xfId="40543"/>
    <cellStyle name="Примечание 5 3 13 3 3" xfId="19493"/>
    <cellStyle name="Примечание 5 3 13 3 3 2" xfId="33303"/>
    <cellStyle name="Примечание 5 3 13 3 3 3" xfId="43172"/>
    <cellStyle name="Примечание 5 3 13 3 4" xfId="28031"/>
    <cellStyle name="Примечание 5 3 13 3 5" xfId="37906"/>
    <cellStyle name="Примечание 5 3 13 4" xfId="15696"/>
    <cellStyle name="Примечание 5 3 13 4 2" xfId="29515"/>
    <cellStyle name="Примечание 5 3 13 4 3" xfId="39390"/>
    <cellStyle name="Примечание 5 3 13 5" xfId="25435"/>
    <cellStyle name="Примечание 5 3 13 6" xfId="35310"/>
    <cellStyle name="Примечание 5 3 14" xfId="11829"/>
    <cellStyle name="Примечание 5 3 14 2" xfId="14727"/>
    <cellStyle name="Примечание 5 3 14 2 2" xfId="20010"/>
    <cellStyle name="Примечание 5 3 14 2 2 2" xfId="33820"/>
    <cellStyle name="Примечание 5 3 14 2 2 3" xfId="43688"/>
    <cellStyle name="Примечание 5 3 14 2 3" xfId="28547"/>
    <cellStyle name="Примечание 5 3 14 2 4" xfId="38422"/>
    <cellStyle name="Примечание 5 3 14 3" xfId="14256"/>
    <cellStyle name="Примечание 5 3 14 3 2" xfId="16899"/>
    <cellStyle name="Примечание 5 3 14 3 2 2" xfId="30714"/>
    <cellStyle name="Примечание 5 3 14 3 2 3" xfId="40589"/>
    <cellStyle name="Примечание 5 3 14 3 3" xfId="19539"/>
    <cellStyle name="Примечание 5 3 14 3 3 2" xfId="33349"/>
    <cellStyle name="Примечание 5 3 14 3 3 3" xfId="43218"/>
    <cellStyle name="Примечание 5 3 14 3 4" xfId="28077"/>
    <cellStyle name="Примечание 5 3 14 3 5" xfId="37952"/>
    <cellStyle name="Примечание 5 3 14 4" xfId="15960"/>
    <cellStyle name="Примечание 5 3 14 4 2" xfId="24580"/>
    <cellStyle name="Примечание 5 3 14 4 3" xfId="29779"/>
    <cellStyle name="Примечание 5 3 14 4 4" xfId="39654"/>
    <cellStyle name="Примечание 5 3 14 5" xfId="25703"/>
    <cellStyle name="Примечание 5 3 14 6" xfId="35578"/>
    <cellStyle name="Примечание 5 3 15" xfId="12395"/>
    <cellStyle name="Примечание 5 3 15 2" xfId="17727"/>
    <cellStyle name="Примечание 5 3 15 2 2" xfId="31537"/>
    <cellStyle name="Примечание 5 3 15 2 3" xfId="41410"/>
    <cellStyle name="Примечание 5 3 15 3" xfId="26269"/>
    <cellStyle name="Примечание 5 3 15 4" xfId="36144"/>
    <cellStyle name="Примечание 5 3 16" xfId="13554"/>
    <cellStyle name="Примечание 5 3 16 2" xfId="16252"/>
    <cellStyle name="Примечание 5 3 16 2 2" xfId="30069"/>
    <cellStyle name="Примечание 5 3 16 2 3" xfId="39944"/>
    <cellStyle name="Примечание 5 3 16 3" xfId="18883"/>
    <cellStyle name="Примечание 5 3 16 3 2" xfId="32693"/>
    <cellStyle name="Примечание 5 3 16 3 3" xfId="42564"/>
    <cellStyle name="Примечание 5 3 16 4" xfId="27423"/>
    <cellStyle name="Примечание 5 3 16 5" xfId="37298"/>
    <cellStyle name="Примечание 5 3 17" xfId="13504"/>
    <cellStyle name="Примечание 5 3 17 2" xfId="18833"/>
    <cellStyle name="Примечание 5 3 17 2 2" xfId="32643"/>
    <cellStyle name="Примечание 5 3 17 2 3" xfId="42514"/>
    <cellStyle name="Примечание 5 3 17 3" xfId="27373"/>
    <cellStyle name="Примечание 5 3 17 4" xfId="37248"/>
    <cellStyle name="Примечание 5 3 18" xfId="17405"/>
    <cellStyle name="Примечание 5 3 18 2" xfId="31216"/>
    <cellStyle name="Примечание 5 3 18 3" xfId="41090"/>
    <cellStyle name="Примечание 5 3 19" xfId="24841"/>
    <cellStyle name="Примечание 5 3 2" xfId="2600"/>
    <cellStyle name="Примечание 5 3 2 2" xfId="10881"/>
    <cellStyle name="Примечание 5 3 2 3" xfId="12586"/>
    <cellStyle name="Примечание 5 3 2 3 2" xfId="17918"/>
    <cellStyle name="Примечание 5 3 2 3 2 2" xfId="31728"/>
    <cellStyle name="Примечание 5 3 2 3 2 3" xfId="41601"/>
    <cellStyle name="Примечание 5 3 2 3 3" xfId="26460"/>
    <cellStyle name="Примечание 5 3 2 3 4" xfId="36335"/>
    <cellStyle name="Примечание 5 3 2 4" xfId="13808"/>
    <cellStyle name="Примечание 5 3 2 4 2" xfId="16451"/>
    <cellStyle name="Примечание 5 3 2 4 2 2" xfId="30267"/>
    <cellStyle name="Примечание 5 3 2 4 2 3" xfId="40142"/>
    <cellStyle name="Примечание 5 3 2 4 3" xfId="19091"/>
    <cellStyle name="Примечание 5 3 2 4 3 2" xfId="32901"/>
    <cellStyle name="Примечание 5 3 2 4 3 3" xfId="42771"/>
    <cellStyle name="Примечание 5 3 2 4 4" xfId="27630"/>
    <cellStyle name="Примечание 5 3 2 4 5" xfId="37505"/>
    <cellStyle name="Примечание 5 3 2 5" xfId="15306"/>
    <cellStyle name="Примечание 5 3 2 5 2" xfId="29126"/>
    <cellStyle name="Примечание 5 3 2 5 3" xfId="39001"/>
    <cellStyle name="Примечание 5 3 2 6" xfId="25034"/>
    <cellStyle name="Примечание 5 3 2 7" xfId="34909"/>
    <cellStyle name="Примечание 5 3 20" xfId="34456"/>
    <cellStyle name="Примечание 5 3 21" xfId="34706"/>
    <cellStyle name="Примечание 5 3 3" xfId="2440"/>
    <cellStyle name="Примечание 5 3 3 2" xfId="12445"/>
    <cellStyle name="Примечание 5 3 3 2 2" xfId="17777"/>
    <cellStyle name="Примечание 5 3 3 2 2 2" xfId="31587"/>
    <cellStyle name="Примечание 5 3 3 2 2 3" xfId="41460"/>
    <cellStyle name="Примечание 5 3 3 2 3" xfId="26319"/>
    <cellStyle name="Примечание 5 3 3 2 4" xfId="36194"/>
    <cellStyle name="Примечание 5 3 3 3" xfId="13667"/>
    <cellStyle name="Примечание 5 3 3 3 2" xfId="16310"/>
    <cellStyle name="Примечание 5 3 3 3 2 2" xfId="30126"/>
    <cellStyle name="Примечание 5 3 3 3 2 3" xfId="40001"/>
    <cellStyle name="Примечание 5 3 3 3 3" xfId="18950"/>
    <cellStyle name="Примечание 5 3 3 3 3 2" xfId="32760"/>
    <cellStyle name="Примечание 5 3 3 3 3 3" xfId="42630"/>
    <cellStyle name="Примечание 5 3 3 3 4" xfId="27489"/>
    <cellStyle name="Примечание 5 3 3 3 5" xfId="37364"/>
    <cellStyle name="Примечание 5 3 3 4" xfId="15165"/>
    <cellStyle name="Примечание 5 3 3 4 2" xfId="28985"/>
    <cellStyle name="Примечание 5 3 3 4 3" xfId="38860"/>
    <cellStyle name="Примечание 5 3 3 5" xfId="24893"/>
    <cellStyle name="Примечание 5 3 3 6" xfId="34768"/>
    <cellStyle name="Примечание 5 3 4" xfId="2535"/>
    <cellStyle name="Примечание 5 3 4 2" xfId="12521"/>
    <cellStyle name="Примечание 5 3 4 2 2" xfId="17853"/>
    <cellStyle name="Примечание 5 3 4 2 2 2" xfId="31663"/>
    <cellStyle name="Примечание 5 3 4 2 2 3" xfId="41536"/>
    <cellStyle name="Примечание 5 3 4 2 3" xfId="26395"/>
    <cellStyle name="Примечание 5 3 4 2 4" xfId="36270"/>
    <cellStyle name="Примечание 5 3 4 3" xfId="13743"/>
    <cellStyle name="Примечание 5 3 4 3 2" xfId="16386"/>
    <cellStyle name="Примечание 5 3 4 3 2 2" xfId="30202"/>
    <cellStyle name="Примечание 5 3 4 3 2 3" xfId="40077"/>
    <cellStyle name="Примечание 5 3 4 3 3" xfId="19026"/>
    <cellStyle name="Примечание 5 3 4 3 3 2" xfId="32836"/>
    <cellStyle name="Примечание 5 3 4 3 3 3" xfId="42706"/>
    <cellStyle name="Примечание 5 3 4 3 4" xfId="27565"/>
    <cellStyle name="Примечание 5 3 4 3 5" xfId="37440"/>
    <cellStyle name="Примечание 5 3 4 4" xfId="15241"/>
    <cellStyle name="Примечание 5 3 4 4 2" xfId="29061"/>
    <cellStyle name="Примечание 5 3 4 4 3" xfId="38936"/>
    <cellStyle name="Примечание 5 3 4 5" xfId="24969"/>
    <cellStyle name="Примечание 5 3 4 6" xfId="34844"/>
    <cellStyle name="Примечание 5 3 5" xfId="2712"/>
    <cellStyle name="Примечание 5 3 5 2" xfId="12688"/>
    <cellStyle name="Примечание 5 3 5 2 2" xfId="18020"/>
    <cellStyle name="Примечание 5 3 5 2 2 2" xfId="31830"/>
    <cellStyle name="Примечание 5 3 5 2 2 3" xfId="41703"/>
    <cellStyle name="Примечание 5 3 5 2 3" xfId="26562"/>
    <cellStyle name="Примечание 5 3 5 2 4" xfId="36437"/>
    <cellStyle name="Примечание 5 3 5 3" xfId="13911"/>
    <cellStyle name="Примечание 5 3 5 3 2" xfId="16554"/>
    <cellStyle name="Примечание 5 3 5 3 2 2" xfId="30369"/>
    <cellStyle name="Примечание 5 3 5 3 2 3" xfId="40244"/>
    <cellStyle name="Примечание 5 3 5 3 3" xfId="19194"/>
    <cellStyle name="Примечание 5 3 5 3 3 2" xfId="33004"/>
    <cellStyle name="Примечание 5 3 5 3 3 3" xfId="42873"/>
    <cellStyle name="Примечание 5 3 5 3 4" xfId="27732"/>
    <cellStyle name="Примечание 5 3 5 3 5" xfId="37607"/>
    <cellStyle name="Примечание 5 3 5 4" xfId="15409"/>
    <cellStyle name="Примечание 5 3 5 4 2" xfId="29228"/>
    <cellStyle name="Примечание 5 3 5 4 3" xfId="39103"/>
    <cellStyle name="Примечание 5 3 5 5" xfId="25136"/>
    <cellStyle name="Примечание 5 3 5 6" xfId="35011"/>
    <cellStyle name="Примечание 5 3 6" xfId="2635"/>
    <cellStyle name="Примечание 5 3 6 2" xfId="12621"/>
    <cellStyle name="Примечание 5 3 6 2 2" xfId="17953"/>
    <cellStyle name="Примечание 5 3 6 2 2 2" xfId="31763"/>
    <cellStyle name="Примечание 5 3 6 2 2 3" xfId="41636"/>
    <cellStyle name="Примечание 5 3 6 2 3" xfId="26495"/>
    <cellStyle name="Примечание 5 3 6 2 4" xfId="36370"/>
    <cellStyle name="Примечание 5 3 6 3" xfId="13843"/>
    <cellStyle name="Примечание 5 3 6 3 2" xfId="16486"/>
    <cellStyle name="Примечание 5 3 6 3 2 2" xfId="30302"/>
    <cellStyle name="Примечание 5 3 6 3 2 3" xfId="40177"/>
    <cellStyle name="Примечание 5 3 6 3 3" xfId="19126"/>
    <cellStyle name="Примечание 5 3 6 3 3 2" xfId="32936"/>
    <cellStyle name="Примечание 5 3 6 3 3 3" xfId="42806"/>
    <cellStyle name="Примечание 5 3 6 3 4" xfId="27665"/>
    <cellStyle name="Примечание 5 3 6 3 5" xfId="37540"/>
    <cellStyle name="Примечание 5 3 6 4" xfId="15341"/>
    <cellStyle name="Примечание 5 3 6 4 2" xfId="29161"/>
    <cellStyle name="Примечание 5 3 6 4 3" xfId="39036"/>
    <cellStyle name="Примечание 5 3 6 5" xfId="25069"/>
    <cellStyle name="Примечание 5 3 6 6" xfId="34944"/>
    <cellStyle name="Примечание 5 3 7" xfId="2763"/>
    <cellStyle name="Примечание 5 3 7 2" xfId="12739"/>
    <cellStyle name="Примечание 5 3 7 2 2" xfId="18071"/>
    <cellStyle name="Примечание 5 3 7 2 2 2" xfId="31881"/>
    <cellStyle name="Примечание 5 3 7 2 2 3" xfId="41754"/>
    <cellStyle name="Примечание 5 3 7 2 3" xfId="26613"/>
    <cellStyle name="Примечание 5 3 7 2 4" xfId="36488"/>
    <cellStyle name="Примечание 5 3 7 3" xfId="13962"/>
    <cellStyle name="Примечание 5 3 7 3 2" xfId="16605"/>
    <cellStyle name="Примечание 5 3 7 3 2 2" xfId="30420"/>
    <cellStyle name="Примечание 5 3 7 3 2 3" xfId="40295"/>
    <cellStyle name="Примечание 5 3 7 3 3" xfId="19245"/>
    <cellStyle name="Примечание 5 3 7 3 3 2" xfId="33055"/>
    <cellStyle name="Примечание 5 3 7 3 3 3" xfId="42924"/>
    <cellStyle name="Примечание 5 3 7 3 4" xfId="27783"/>
    <cellStyle name="Примечание 5 3 7 3 5" xfId="37658"/>
    <cellStyle name="Примечание 5 3 7 4" xfId="15460"/>
    <cellStyle name="Примечание 5 3 7 4 2" xfId="29279"/>
    <cellStyle name="Примечание 5 3 7 4 3" xfId="39154"/>
    <cellStyle name="Примечание 5 3 7 5" xfId="25187"/>
    <cellStyle name="Примечание 5 3 7 6" xfId="35062"/>
    <cellStyle name="Примечание 5 3 8" xfId="2685"/>
    <cellStyle name="Примечание 5 3 8 2" xfId="12671"/>
    <cellStyle name="Примечание 5 3 8 2 2" xfId="18003"/>
    <cellStyle name="Примечание 5 3 8 2 2 2" xfId="31813"/>
    <cellStyle name="Примечание 5 3 8 2 2 3" xfId="41686"/>
    <cellStyle name="Примечание 5 3 8 2 3" xfId="26545"/>
    <cellStyle name="Примечание 5 3 8 2 4" xfId="36420"/>
    <cellStyle name="Примечание 5 3 8 3" xfId="13893"/>
    <cellStyle name="Примечание 5 3 8 3 2" xfId="16536"/>
    <cellStyle name="Примечание 5 3 8 3 2 2" xfId="30352"/>
    <cellStyle name="Примечание 5 3 8 3 2 3" xfId="40227"/>
    <cellStyle name="Примечание 5 3 8 3 3" xfId="19176"/>
    <cellStyle name="Примечание 5 3 8 3 3 2" xfId="32986"/>
    <cellStyle name="Примечание 5 3 8 3 3 3" xfId="42856"/>
    <cellStyle name="Примечание 5 3 8 3 4" xfId="27715"/>
    <cellStyle name="Примечание 5 3 8 3 5" xfId="37590"/>
    <cellStyle name="Примечание 5 3 8 4" xfId="15391"/>
    <cellStyle name="Примечание 5 3 8 4 2" xfId="29211"/>
    <cellStyle name="Примечание 5 3 8 4 3" xfId="39086"/>
    <cellStyle name="Примечание 5 3 8 5" xfId="25119"/>
    <cellStyle name="Примечание 5 3 8 6" xfId="34994"/>
    <cellStyle name="Примечание 5 3 9" xfId="2813"/>
    <cellStyle name="Примечание 5 3 9 2" xfId="12788"/>
    <cellStyle name="Примечание 5 3 9 2 2" xfId="18120"/>
    <cellStyle name="Примечание 5 3 9 2 2 2" xfId="31930"/>
    <cellStyle name="Примечание 5 3 9 2 2 3" xfId="41803"/>
    <cellStyle name="Примечание 5 3 9 2 3" xfId="26662"/>
    <cellStyle name="Примечание 5 3 9 2 4" xfId="36537"/>
    <cellStyle name="Примечание 5 3 9 3" xfId="14011"/>
    <cellStyle name="Примечание 5 3 9 3 2" xfId="16654"/>
    <cellStyle name="Примечание 5 3 9 3 2 2" xfId="30469"/>
    <cellStyle name="Примечание 5 3 9 3 2 3" xfId="40344"/>
    <cellStyle name="Примечание 5 3 9 3 3" xfId="19294"/>
    <cellStyle name="Примечание 5 3 9 3 3 2" xfId="33104"/>
    <cellStyle name="Примечание 5 3 9 3 3 3" xfId="42973"/>
    <cellStyle name="Примечание 5 3 9 3 4" xfId="27832"/>
    <cellStyle name="Примечание 5 3 9 3 5" xfId="37707"/>
    <cellStyle name="Примечание 5 3 9 4" xfId="15509"/>
    <cellStyle name="Примечание 5 3 9 4 2" xfId="29328"/>
    <cellStyle name="Примечание 5 3 9 4 3" xfId="39203"/>
    <cellStyle name="Примечание 5 3 9 5" xfId="25236"/>
    <cellStyle name="Примечание 5 3 9 6" xfId="35111"/>
    <cellStyle name="Примечание 5 4" xfId="2598"/>
    <cellStyle name="Примечание 5 4 2" xfId="10874"/>
    <cellStyle name="Примечание 5 4 3" xfId="12584"/>
    <cellStyle name="Примечание 5 4 3 2" xfId="17916"/>
    <cellStyle name="Примечание 5 4 3 2 2" xfId="31726"/>
    <cellStyle name="Примечание 5 4 3 2 3" xfId="41599"/>
    <cellStyle name="Примечание 5 4 3 3" xfId="26458"/>
    <cellStyle name="Примечание 5 4 3 4" xfId="36333"/>
    <cellStyle name="Примечание 5 4 4" xfId="13806"/>
    <cellStyle name="Примечание 5 4 4 2" xfId="16449"/>
    <cellStyle name="Примечание 5 4 4 2 2" xfId="30265"/>
    <cellStyle name="Примечание 5 4 4 2 3" xfId="40140"/>
    <cellStyle name="Примечание 5 4 4 3" xfId="19089"/>
    <cellStyle name="Примечание 5 4 4 3 2" xfId="32899"/>
    <cellStyle name="Примечание 5 4 4 3 3" xfId="42769"/>
    <cellStyle name="Примечание 5 4 4 4" xfId="27628"/>
    <cellStyle name="Примечание 5 4 4 5" xfId="37503"/>
    <cellStyle name="Примечание 5 4 5" xfId="15304"/>
    <cellStyle name="Примечание 5 4 5 2" xfId="29124"/>
    <cellStyle name="Примечание 5 4 5 3" xfId="38999"/>
    <cellStyle name="Примечание 5 4 6" xfId="25032"/>
    <cellStyle name="Примечание 5 4 7" xfId="34907"/>
    <cellStyle name="Примечание 5 5" xfId="2442"/>
    <cellStyle name="Примечание 5 5 2" xfId="10882"/>
    <cellStyle name="Примечание 5 5 3" xfId="12447"/>
    <cellStyle name="Примечание 5 5 3 2" xfId="17779"/>
    <cellStyle name="Примечание 5 5 3 2 2" xfId="31589"/>
    <cellStyle name="Примечание 5 5 3 2 3" xfId="41462"/>
    <cellStyle name="Примечание 5 5 3 3" xfId="26321"/>
    <cellStyle name="Примечание 5 5 3 4" xfId="36196"/>
    <cellStyle name="Примечание 5 5 4" xfId="13669"/>
    <cellStyle name="Примечание 5 5 4 2" xfId="16312"/>
    <cellStyle name="Примечание 5 5 4 2 2" xfId="30128"/>
    <cellStyle name="Примечание 5 5 4 2 3" xfId="40003"/>
    <cellStyle name="Примечание 5 5 4 3" xfId="18952"/>
    <cellStyle name="Примечание 5 5 4 3 2" xfId="32762"/>
    <cellStyle name="Примечание 5 5 4 3 3" xfId="42632"/>
    <cellStyle name="Примечание 5 5 4 4" xfId="27491"/>
    <cellStyle name="Примечание 5 5 4 5" xfId="37366"/>
    <cellStyle name="Примечание 5 5 5" xfId="15167"/>
    <cellStyle name="Примечание 5 5 5 2" xfId="28987"/>
    <cellStyle name="Примечание 5 5 5 3" xfId="38862"/>
    <cellStyle name="Примечание 5 5 6" xfId="24895"/>
    <cellStyle name="Примечание 5 5 7" xfId="34770"/>
    <cellStyle name="Примечание 5 6" xfId="2533"/>
    <cellStyle name="Примечание 5 6 2" xfId="10883"/>
    <cellStyle name="Примечание 5 6 3" xfId="12519"/>
    <cellStyle name="Примечание 5 6 3 2" xfId="17851"/>
    <cellStyle name="Примечание 5 6 3 2 2" xfId="31661"/>
    <cellStyle name="Примечание 5 6 3 2 3" xfId="41534"/>
    <cellStyle name="Примечание 5 6 3 3" xfId="26393"/>
    <cellStyle name="Примечание 5 6 3 4" xfId="36268"/>
    <cellStyle name="Примечание 5 6 4" xfId="13741"/>
    <cellStyle name="Примечание 5 6 4 2" xfId="16384"/>
    <cellStyle name="Примечание 5 6 4 2 2" xfId="30200"/>
    <cellStyle name="Примечание 5 6 4 2 3" xfId="40075"/>
    <cellStyle name="Примечание 5 6 4 3" xfId="19024"/>
    <cellStyle name="Примечание 5 6 4 3 2" xfId="32834"/>
    <cellStyle name="Примечание 5 6 4 3 3" xfId="42704"/>
    <cellStyle name="Примечание 5 6 4 4" xfId="27563"/>
    <cellStyle name="Примечание 5 6 4 5" xfId="37438"/>
    <cellStyle name="Примечание 5 6 5" xfId="15239"/>
    <cellStyle name="Примечание 5 6 5 2" xfId="29059"/>
    <cellStyle name="Примечание 5 6 5 3" xfId="38934"/>
    <cellStyle name="Примечание 5 6 6" xfId="24967"/>
    <cellStyle name="Примечание 5 6 7" xfId="34842"/>
    <cellStyle name="Примечание 5 7" xfId="2710"/>
    <cellStyle name="Примечание 5 7 2" xfId="10884"/>
    <cellStyle name="Примечание 5 7 3" xfId="12686"/>
    <cellStyle name="Примечание 5 7 3 2" xfId="18018"/>
    <cellStyle name="Примечание 5 7 3 2 2" xfId="31828"/>
    <cellStyle name="Примечание 5 7 3 2 3" xfId="41701"/>
    <cellStyle name="Примечание 5 7 3 3" xfId="26560"/>
    <cellStyle name="Примечание 5 7 3 4" xfId="36435"/>
    <cellStyle name="Примечание 5 7 4" xfId="13909"/>
    <cellStyle name="Примечание 5 7 4 2" xfId="16552"/>
    <cellStyle name="Примечание 5 7 4 2 2" xfId="30367"/>
    <cellStyle name="Примечание 5 7 4 2 3" xfId="40242"/>
    <cellStyle name="Примечание 5 7 4 3" xfId="19192"/>
    <cellStyle name="Примечание 5 7 4 3 2" xfId="33002"/>
    <cellStyle name="Примечание 5 7 4 3 3" xfId="42871"/>
    <cellStyle name="Примечание 5 7 4 4" xfId="27730"/>
    <cellStyle name="Примечание 5 7 4 5" xfId="37605"/>
    <cellStyle name="Примечание 5 7 5" xfId="15407"/>
    <cellStyle name="Примечание 5 7 5 2" xfId="29226"/>
    <cellStyle name="Примечание 5 7 5 3" xfId="39101"/>
    <cellStyle name="Примечание 5 7 6" xfId="25134"/>
    <cellStyle name="Примечание 5 7 7" xfId="35009"/>
    <cellStyle name="Примечание 5 8" xfId="2633"/>
    <cellStyle name="Примечание 5 8 2" xfId="10885"/>
    <cellStyle name="Примечание 5 8 3" xfId="12619"/>
    <cellStyle name="Примечание 5 8 3 2" xfId="17951"/>
    <cellStyle name="Примечание 5 8 3 2 2" xfId="31761"/>
    <cellStyle name="Примечание 5 8 3 2 3" xfId="41634"/>
    <cellStyle name="Примечание 5 8 3 3" xfId="26493"/>
    <cellStyle name="Примечание 5 8 3 4" xfId="36368"/>
    <cellStyle name="Примечание 5 8 4" xfId="13841"/>
    <cellStyle name="Примечание 5 8 4 2" xfId="16484"/>
    <cellStyle name="Примечание 5 8 4 2 2" xfId="30300"/>
    <cellStyle name="Примечание 5 8 4 2 3" xfId="40175"/>
    <cellStyle name="Примечание 5 8 4 3" xfId="19124"/>
    <cellStyle name="Примечание 5 8 4 3 2" xfId="32934"/>
    <cellStyle name="Примечание 5 8 4 3 3" xfId="42804"/>
    <cellStyle name="Примечание 5 8 4 4" xfId="27663"/>
    <cellStyle name="Примечание 5 8 4 5" xfId="37538"/>
    <cellStyle name="Примечание 5 8 5" xfId="15339"/>
    <cellStyle name="Примечание 5 8 5 2" xfId="29159"/>
    <cellStyle name="Примечание 5 8 5 3" xfId="39034"/>
    <cellStyle name="Примечание 5 8 6" xfId="25067"/>
    <cellStyle name="Примечание 5 8 7" xfId="34942"/>
    <cellStyle name="Примечание 5 9" xfId="2761"/>
    <cellStyle name="Примечание 5 9 2" xfId="10886"/>
    <cellStyle name="Примечание 5 9 3" xfId="12737"/>
    <cellStyle name="Примечание 5 9 3 2" xfId="18069"/>
    <cellStyle name="Примечание 5 9 3 2 2" xfId="31879"/>
    <cellStyle name="Примечание 5 9 3 2 3" xfId="41752"/>
    <cellStyle name="Примечание 5 9 3 3" xfId="26611"/>
    <cellStyle name="Примечание 5 9 3 4" xfId="36486"/>
    <cellStyle name="Примечание 5 9 4" xfId="13960"/>
    <cellStyle name="Примечание 5 9 4 2" xfId="16603"/>
    <cellStyle name="Примечание 5 9 4 2 2" xfId="30418"/>
    <cellStyle name="Примечание 5 9 4 2 3" xfId="40293"/>
    <cellStyle name="Примечание 5 9 4 3" xfId="19243"/>
    <cellStyle name="Примечание 5 9 4 3 2" xfId="33053"/>
    <cellStyle name="Примечание 5 9 4 3 3" xfId="42922"/>
    <cellStyle name="Примечание 5 9 4 4" xfId="27781"/>
    <cellStyle name="Примечание 5 9 4 5" xfId="37656"/>
    <cellStyle name="Примечание 5 9 5" xfId="15458"/>
    <cellStyle name="Примечание 5 9 5 2" xfId="29277"/>
    <cellStyle name="Примечание 5 9 5 3" xfId="39152"/>
    <cellStyle name="Примечание 5 9 6" xfId="25185"/>
    <cellStyle name="Примечание 5 9 7" xfId="35060"/>
    <cellStyle name="Примечание 6" xfId="2228"/>
    <cellStyle name="Примечание 6 10" xfId="2686"/>
    <cellStyle name="Примечание 6 10 2" xfId="10888"/>
    <cellStyle name="Примечание 6 10 3" xfId="12672"/>
    <cellStyle name="Примечание 6 10 3 2" xfId="18004"/>
    <cellStyle name="Примечание 6 10 3 2 2" xfId="31814"/>
    <cellStyle name="Примечание 6 10 3 2 3" xfId="41687"/>
    <cellStyle name="Примечание 6 10 3 3" xfId="26546"/>
    <cellStyle name="Примечание 6 10 3 4" xfId="36421"/>
    <cellStyle name="Примечание 6 10 4" xfId="13894"/>
    <cellStyle name="Примечание 6 10 4 2" xfId="16537"/>
    <cellStyle name="Примечание 6 10 4 2 2" xfId="30353"/>
    <cellStyle name="Примечание 6 10 4 2 3" xfId="40228"/>
    <cellStyle name="Примечание 6 10 4 3" xfId="19177"/>
    <cellStyle name="Примечание 6 10 4 3 2" xfId="32987"/>
    <cellStyle name="Примечание 6 10 4 3 3" xfId="42857"/>
    <cellStyle name="Примечание 6 10 4 4" xfId="27716"/>
    <cellStyle name="Примечание 6 10 4 5" xfId="37591"/>
    <cellStyle name="Примечание 6 10 5" xfId="15392"/>
    <cellStyle name="Примечание 6 10 5 2" xfId="29212"/>
    <cellStyle name="Примечание 6 10 5 3" xfId="39087"/>
    <cellStyle name="Примечание 6 10 6" xfId="25120"/>
    <cellStyle name="Примечание 6 10 7" xfId="34995"/>
    <cellStyle name="Примечание 6 11" xfId="2814"/>
    <cellStyle name="Примечание 6 11 2" xfId="10889"/>
    <cellStyle name="Примечание 6 11 3" xfId="12789"/>
    <cellStyle name="Примечание 6 11 3 2" xfId="18121"/>
    <cellStyle name="Примечание 6 11 3 2 2" xfId="31931"/>
    <cellStyle name="Примечание 6 11 3 2 3" xfId="41804"/>
    <cellStyle name="Примечание 6 11 3 3" xfId="26663"/>
    <cellStyle name="Примечание 6 11 3 4" xfId="36538"/>
    <cellStyle name="Примечание 6 11 4" xfId="14012"/>
    <cellStyle name="Примечание 6 11 4 2" xfId="16655"/>
    <cellStyle name="Примечание 6 11 4 2 2" xfId="30470"/>
    <cellStyle name="Примечание 6 11 4 2 3" xfId="40345"/>
    <cellStyle name="Примечание 6 11 4 3" xfId="19295"/>
    <cellStyle name="Примечание 6 11 4 3 2" xfId="33105"/>
    <cellStyle name="Примечание 6 11 4 3 3" xfId="42974"/>
    <cellStyle name="Примечание 6 11 4 4" xfId="27833"/>
    <cellStyle name="Примечание 6 11 4 5" xfId="37708"/>
    <cellStyle name="Примечание 6 11 5" xfId="15510"/>
    <cellStyle name="Примечание 6 11 5 2" xfId="29329"/>
    <cellStyle name="Примечание 6 11 5 3" xfId="39204"/>
    <cellStyle name="Примечание 6 11 6" xfId="25237"/>
    <cellStyle name="Примечание 6 11 7" xfId="35112"/>
    <cellStyle name="Примечание 6 12" xfId="2870"/>
    <cellStyle name="Примечание 6 12 2" xfId="10890"/>
    <cellStyle name="Примечание 6 12 3" xfId="12842"/>
    <cellStyle name="Примечание 6 12 3 2" xfId="18174"/>
    <cellStyle name="Примечание 6 12 3 2 2" xfId="31984"/>
    <cellStyle name="Примечание 6 12 3 2 3" xfId="41857"/>
    <cellStyle name="Примечание 6 12 3 3" xfId="26716"/>
    <cellStyle name="Примечание 6 12 3 4" xfId="36591"/>
    <cellStyle name="Примечание 6 12 4" xfId="14065"/>
    <cellStyle name="Примечание 6 12 4 2" xfId="16708"/>
    <cellStyle name="Примечание 6 12 4 2 2" xfId="30523"/>
    <cellStyle name="Примечание 6 12 4 2 3" xfId="40398"/>
    <cellStyle name="Примечание 6 12 4 3" xfId="19348"/>
    <cellStyle name="Примечание 6 12 4 3 2" xfId="33158"/>
    <cellStyle name="Примечание 6 12 4 3 3" xfId="43027"/>
    <cellStyle name="Примечание 6 12 4 4" xfId="27886"/>
    <cellStyle name="Примечание 6 12 4 5" xfId="37761"/>
    <cellStyle name="Примечание 6 12 5" xfId="15563"/>
    <cellStyle name="Примечание 6 12 5 2" xfId="29382"/>
    <cellStyle name="Примечание 6 12 5 3" xfId="39257"/>
    <cellStyle name="Примечание 6 12 6" xfId="25290"/>
    <cellStyle name="Примечание 6 12 7" xfId="35165"/>
    <cellStyle name="Примечание 6 13" xfId="2918"/>
    <cellStyle name="Примечание 6 13 2" xfId="10891"/>
    <cellStyle name="Примечание 6 13 3" xfId="12888"/>
    <cellStyle name="Примечание 6 13 3 2" xfId="18220"/>
    <cellStyle name="Примечание 6 13 3 2 2" xfId="32030"/>
    <cellStyle name="Примечание 6 13 3 2 3" xfId="41903"/>
    <cellStyle name="Примечание 6 13 3 3" xfId="26762"/>
    <cellStyle name="Примечание 6 13 3 4" xfId="36637"/>
    <cellStyle name="Примечание 6 13 4" xfId="14111"/>
    <cellStyle name="Примечание 6 13 4 2" xfId="16754"/>
    <cellStyle name="Примечание 6 13 4 2 2" xfId="30569"/>
    <cellStyle name="Примечание 6 13 4 2 3" xfId="40444"/>
    <cellStyle name="Примечание 6 13 4 3" xfId="19394"/>
    <cellStyle name="Примечание 6 13 4 3 2" xfId="33204"/>
    <cellStyle name="Примечание 6 13 4 3 3" xfId="43073"/>
    <cellStyle name="Примечание 6 13 4 4" xfId="27932"/>
    <cellStyle name="Примечание 6 13 4 5" xfId="37807"/>
    <cellStyle name="Примечание 6 13 5" xfId="15609"/>
    <cellStyle name="Примечание 6 13 5 2" xfId="29428"/>
    <cellStyle name="Примечание 6 13 5 3" xfId="39303"/>
    <cellStyle name="Примечание 6 13 6" xfId="25336"/>
    <cellStyle name="Примечание 6 13 7" xfId="35211"/>
    <cellStyle name="Примечание 6 14" xfId="2972"/>
    <cellStyle name="Примечание 6 14 2" xfId="10892"/>
    <cellStyle name="Примечание 6 14 3" xfId="12941"/>
    <cellStyle name="Примечание 6 14 3 2" xfId="18273"/>
    <cellStyle name="Примечание 6 14 3 2 2" xfId="32083"/>
    <cellStyle name="Примечание 6 14 3 2 3" xfId="41956"/>
    <cellStyle name="Примечание 6 14 3 3" xfId="26815"/>
    <cellStyle name="Примечание 6 14 3 4" xfId="36690"/>
    <cellStyle name="Примечание 6 14 4" xfId="14164"/>
    <cellStyle name="Примечание 6 14 4 2" xfId="16807"/>
    <cellStyle name="Примечание 6 14 4 2 2" xfId="30622"/>
    <cellStyle name="Примечание 6 14 4 2 3" xfId="40497"/>
    <cellStyle name="Примечание 6 14 4 3" xfId="19447"/>
    <cellStyle name="Примечание 6 14 4 3 2" xfId="33257"/>
    <cellStyle name="Примечание 6 14 4 3 3" xfId="43126"/>
    <cellStyle name="Примечание 6 14 4 4" xfId="27985"/>
    <cellStyle name="Примечание 6 14 4 5" xfId="37860"/>
    <cellStyle name="Примечание 6 14 5" xfId="15662"/>
    <cellStyle name="Примечание 6 14 5 2" xfId="29481"/>
    <cellStyle name="Примечание 6 14 5 3" xfId="39356"/>
    <cellStyle name="Примечание 6 14 6" xfId="25389"/>
    <cellStyle name="Примечание 6 14 7" xfId="35264"/>
    <cellStyle name="Примечание 6 15" xfId="3021"/>
    <cellStyle name="Примечание 6 15 2" xfId="12062"/>
    <cellStyle name="Примечание 6 15 2 2" xfId="14960"/>
    <cellStyle name="Примечание 6 15 2 2 2" xfId="20243"/>
    <cellStyle name="Примечание 6 15 2 2 2 2" xfId="23226"/>
    <cellStyle name="Примечание 6 15 2 2 2 3" xfId="34053"/>
    <cellStyle name="Примечание 6 15 2 2 2 4" xfId="43921"/>
    <cellStyle name="Примечание 6 15 2 2 3" xfId="23514"/>
    <cellStyle name="Примечание 6 15 2 2 4" xfId="28780"/>
    <cellStyle name="Примечание 6 15 2 2 5" xfId="38655"/>
    <cellStyle name="Примечание 6 15 2 3" xfId="13015"/>
    <cellStyle name="Примечание 6 15 2 3 2" xfId="15996"/>
    <cellStyle name="Примечание 6 15 2 3 2 2" xfId="29815"/>
    <cellStyle name="Примечание 6 15 2 3 2 3" xfId="39690"/>
    <cellStyle name="Примечание 6 15 2 3 3" xfId="18347"/>
    <cellStyle name="Примечание 6 15 2 3 3 2" xfId="32157"/>
    <cellStyle name="Примечание 6 15 2 3 3 3" xfId="42030"/>
    <cellStyle name="Примечание 6 15 2 3 4" xfId="26889"/>
    <cellStyle name="Примечание 6 15 2 3 5" xfId="36764"/>
    <cellStyle name="Примечание 6 15 2 4" xfId="15985"/>
    <cellStyle name="Примечание 6 15 2 4 2" xfId="21841"/>
    <cellStyle name="Примечание 6 15 2 4 3" xfId="29804"/>
    <cellStyle name="Примечание 6 15 2 4 4" xfId="39679"/>
    <cellStyle name="Примечание 6 15 2 5" xfId="24138"/>
    <cellStyle name="Примечание 6 15 2 6" xfId="25936"/>
    <cellStyle name="Примечание 6 15 2 7" xfId="35811"/>
    <cellStyle name="Примечание 6 15 3" xfId="12988"/>
    <cellStyle name="Примечание 6 15 3 2" xfId="18320"/>
    <cellStyle name="Примечание 6 15 3 2 2" xfId="32130"/>
    <cellStyle name="Примечание 6 15 3 2 3" xfId="42003"/>
    <cellStyle name="Примечание 6 15 3 3" xfId="23498"/>
    <cellStyle name="Примечание 6 15 3 4" xfId="26862"/>
    <cellStyle name="Примечание 6 15 3 5" xfId="36737"/>
    <cellStyle name="Примечание 6 15 4" xfId="14211"/>
    <cellStyle name="Примечание 6 15 4 2" xfId="16854"/>
    <cellStyle name="Примечание 6 15 4 2 2" xfId="30669"/>
    <cellStyle name="Примечание 6 15 4 2 3" xfId="40544"/>
    <cellStyle name="Примечание 6 15 4 3" xfId="19494"/>
    <cellStyle name="Примечание 6 15 4 3 2" xfId="33304"/>
    <cellStyle name="Примечание 6 15 4 3 3" xfId="43173"/>
    <cellStyle name="Примечание 6 15 4 4" xfId="28032"/>
    <cellStyle name="Примечание 6 15 4 5" xfId="37907"/>
    <cellStyle name="Примечание 6 15 5" xfId="21753"/>
    <cellStyle name="Примечание 6 15 6" xfId="22490"/>
    <cellStyle name="Примечание 6 15 7" xfId="23978"/>
    <cellStyle name="Примечание 6 15 8" xfId="25436"/>
    <cellStyle name="Примечание 6 15 9" xfId="35311"/>
    <cellStyle name="Примечание 6 16" xfId="12142"/>
    <cellStyle name="Примечание 6 16 2" xfId="15040"/>
    <cellStyle name="Примечание 6 16 2 2" xfId="20323"/>
    <cellStyle name="Примечание 6 16 2 2 2" xfId="23242"/>
    <cellStyle name="Примечание 6 16 2 2 3" xfId="34133"/>
    <cellStyle name="Примечание 6 16 2 2 4" xfId="44001"/>
    <cellStyle name="Примечание 6 16 2 3" xfId="23594"/>
    <cellStyle name="Примечание 6 16 2 4" xfId="28860"/>
    <cellStyle name="Примечание 6 16 2 5" xfId="38735"/>
    <cellStyle name="Примечание 6 16 3" xfId="13010"/>
    <cellStyle name="Примечание 6 16 3 2" xfId="15991"/>
    <cellStyle name="Примечание 6 16 3 2 2" xfId="29810"/>
    <cellStyle name="Примечание 6 16 3 2 3" xfId="39685"/>
    <cellStyle name="Примечание 6 16 3 3" xfId="18342"/>
    <cellStyle name="Примечание 6 16 3 3 2" xfId="32152"/>
    <cellStyle name="Примечание 6 16 3 3 3" xfId="42025"/>
    <cellStyle name="Примечание 6 16 3 4" xfId="26884"/>
    <cellStyle name="Примечание 6 16 3 5" xfId="36759"/>
    <cellStyle name="Примечание 6 16 4" xfId="21521"/>
    <cellStyle name="Примечание 6 16 5" xfId="21889"/>
    <cellStyle name="Примечание 6 16 6" xfId="22714"/>
    <cellStyle name="Примечание 6 16 7" xfId="24218"/>
    <cellStyle name="Примечание 6 16 8" xfId="26016"/>
    <cellStyle name="Примечание 6 16 9" xfId="35891"/>
    <cellStyle name="Примечание 6 17" xfId="12222"/>
    <cellStyle name="Примечание 6 17 2" xfId="15120"/>
    <cellStyle name="Примечание 6 17 2 2" xfId="20403"/>
    <cellStyle name="Примечание 6 17 2 2 2" xfId="23258"/>
    <cellStyle name="Примечание 6 17 2 2 3" xfId="34213"/>
    <cellStyle name="Примечание 6 17 2 2 4" xfId="44081"/>
    <cellStyle name="Примечание 6 17 2 3" xfId="23674"/>
    <cellStyle name="Примечание 6 17 2 4" xfId="28940"/>
    <cellStyle name="Примечание 6 17 2 5" xfId="38815"/>
    <cellStyle name="Примечание 6 17 3" xfId="14422"/>
    <cellStyle name="Примечание 6 17 3 2" xfId="16935"/>
    <cellStyle name="Примечание 6 17 3 2 2" xfId="30750"/>
    <cellStyle name="Примечание 6 17 3 2 3" xfId="40625"/>
    <cellStyle name="Примечание 6 17 3 3" xfId="19705"/>
    <cellStyle name="Примечание 6 17 3 3 2" xfId="33515"/>
    <cellStyle name="Примечание 6 17 3 3 3" xfId="43384"/>
    <cellStyle name="Примечание 6 17 3 4" xfId="28243"/>
    <cellStyle name="Примечание 6 17 3 5" xfId="38118"/>
    <cellStyle name="Примечание 6 17 4" xfId="21601"/>
    <cellStyle name="Примечание 6 17 5" xfId="21937"/>
    <cellStyle name="Примечание 6 17 6" xfId="22794"/>
    <cellStyle name="Примечание 6 17 7" xfId="24298"/>
    <cellStyle name="Примечание 6 17 8" xfId="26096"/>
    <cellStyle name="Примечание 6 17 9" xfId="35971"/>
    <cellStyle name="Примечание 6 18" xfId="11830"/>
    <cellStyle name="Примечание 6 18 2" xfId="14728"/>
    <cellStyle name="Примечание 6 18 2 2" xfId="20011"/>
    <cellStyle name="Примечание 6 18 2 2 2" xfId="33821"/>
    <cellStyle name="Примечание 6 18 2 2 3" xfId="43689"/>
    <cellStyle name="Примечание 6 18 2 3" xfId="28548"/>
    <cellStyle name="Примечание 6 18 2 4" xfId="38423"/>
    <cellStyle name="Примечание 6 18 3" xfId="14431"/>
    <cellStyle name="Примечание 6 18 3 2" xfId="16943"/>
    <cellStyle name="Примечание 6 18 3 2 2" xfId="30757"/>
    <cellStyle name="Примечание 6 18 3 2 3" xfId="40632"/>
    <cellStyle name="Примечание 6 18 3 3" xfId="19714"/>
    <cellStyle name="Примечание 6 18 3 3 2" xfId="33524"/>
    <cellStyle name="Примечание 6 18 3 3 3" xfId="43392"/>
    <cellStyle name="Примечание 6 18 3 4" xfId="28251"/>
    <cellStyle name="Примечание 6 18 3 5" xfId="38126"/>
    <cellStyle name="Примечание 6 18 4" xfId="15961"/>
    <cellStyle name="Примечание 6 18 4 2" xfId="23265"/>
    <cellStyle name="Примечание 6 18 4 3" xfId="29780"/>
    <cellStyle name="Примечание 6 18 4 4" xfId="39655"/>
    <cellStyle name="Примечание 6 18 5" xfId="25704"/>
    <cellStyle name="Примечание 6 18 6" xfId="35579"/>
    <cellStyle name="Примечание 6 19" xfId="13555"/>
    <cellStyle name="Примечание 6 19 2" xfId="16253"/>
    <cellStyle name="Примечание 6 19 2 2" xfId="30070"/>
    <cellStyle name="Примечание 6 19 2 3" xfId="39945"/>
    <cellStyle name="Примечание 6 19 3" xfId="18884"/>
    <cellStyle name="Примечание 6 19 3 2" xfId="32694"/>
    <cellStyle name="Примечание 6 19 3 3" xfId="42565"/>
    <cellStyle name="Примечание 6 19 4" xfId="27424"/>
    <cellStyle name="Примечание 6 19 5" xfId="37299"/>
    <cellStyle name="Примечание 6 2" xfId="2229"/>
    <cellStyle name="Примечание 6 2 10" xfId="2871"/>
    <cellStyle name="Примечание 6 2 10 2" xfId="12843"/>
    <cellStyle name="Примечание 6 2 10 2 2" xfId="18175"/>
    <cellStyle name="Примечание 6 2 10 2 2 2" xfId="31985"/>
    <cellStyle name="Примечание 6 2 10 2 2 3" xfId="41858"/>
    <cellStyle name="Примечание 6 2 10 2 3" xfId="26717"/>
    <cellStyle name="Примечание 6 2 10 2 4" xfId="36592"/>
    <cellStyle name="Примечание 6 2 10 3" xfId="14066"/>
    <cellStyle name="Примечание 6 2 10 3 2" xfId="16709"/>
    <cellStyle name="Примечание 6 2 10 3 2 2" xfId="30524"/>
    <cellStyle name="Примечание 6 2 10 3 2 3" xfId="40399"/>
    <cellStyle name="Примечание 6 2 10 3 3" xfId="19349"/>
    <cellStyle name="Примечание 6 2 10 3 3 2" xfId="33159"/>
    <cellStyle name="Примечание 6 2 10 3 3 3" xfId="43028"/>
    <cellStyle name="Примечание 6 2 10 3 4" xfId="27887"/>
    <cellStyle name="Примечание 6 2 10 3 5" xfId="37762"/>
    <cellStyle name="Примечание 6 2 10 4" xfId="15564"/>
    <cellStyle name="Примечание 6 2 10 4 2" xfId="29383"/>
    <cellStyle name="Примечание 6 2 10 4 3" xfId="39258"/>
    <cellStyle name="Примечание 6 2 10 5" xfId="25291"/>
    <cellStyle name="Примечание 6 2 10 6" xfId="35166"/>
    <cellStyle name="Примечание 6 2 11" xfId="2919"/>
    <cellStyle name="Примечание 6 2 11 2" xfId="12889"/>
    <cellStyle name="Примечание 6 2 11 2 2" xfId="18221"/>
    <cellStyle name="Примечание 6 2 11 2 2 2" xfId="32031"/>
    <cellStyle name="Примечание 6 2 11 2 2 3" xfId="41904"/>
    <cellStyle name="Примечание 6 2 11 2 3" xfId="26763"/>
    <cellStyle name="Примечание 6 2 11 2 4" xfId="36638"/>
    <cellStyle name="Примечание 6 2 11 3" xfId="14112"/>
    <cellStyle name="Примечание 6 2 11 3 2" xfId="16755"/>
    <cellStyle name="Примечание 6 2 11 3 2 2" xfId="30570"/>
    <cellStyle name="Примечание 6 2 11 3 2 3" xfId="40445"/>
    <cellStyle name="Примечание 6 2 11 3 3" xfId="19395"/>
    <cellStyle name="Примечание 6 2 11 3 3 2" xfId="33205"/>
    <cellStyle name="Примечание 6 2 11 3 3 3" xfId="43074"/>
    <cellStyle name="Примечание 6 2 11 3 4" xfId="27933"/>
    <cellStyle name="Примечание 6 2 11 3 5" xfId="37808"/>
    <cellStyle name="Примечание 6 2 11 4" xfId="15610"/>
    <cellStyle name="Примечание 6 2 11 4 2" xfId="29429"/>
    <cellStyle name="Примечание 6 2 11 4 3" xfId="39304"/>
    <cellStyle name="Примечание 6 2 11 5" xfId="25337"/>
    <cellStyle name="Примечание 6 2 11 6" xfId="35212"/>
    <cellStyle name="Примечание 6 2 12" xfId="2973"/>
    <cellStyle name="Примечание 6 2 12 2" xfId="12942"/>
    <cellStyle name="Примечание 6 2 12 2 2" xfId="18274"/>
    <cellStyle name="Примечание 6 2 12 2 2 2" xfId="32084"/>
    <cellStyle name="Примечание 6 2 12 2 2 3" xfId="41957"/>
    <cellStyle name="Примечание 6 2 12 2 3" xfId="26816"/>
    <cellStyle name="Примечание 6 2 12 2 4" xfId="36691"/>
    <cellStyle name="Примечание 6 2 12 3" xfId="14165"/>
    <cellStyle name="Примечание 6 2 12 3 2" xfId="16808"/>
    <cellStyle name="Примечание 6 2 12 3 2 2" xfId="30623"/>
    <cellStyle name="Примечание 6 2 12 3 2 3" xfId="40498"/>
    <cellStyle name="Примечание 6 2 12 3 3" xfId="19448"/>
    <cellStyle name="Примечание 6 2 12 3 3 2" xfId="33258"/>
    <cellStyle name="Примечание 6 2 12 3 3 3" xfId="43127"/>
    <cellStyle name="Примечание 6 2 12 3 4" xfId="27986"/>
    <cellStyle name="Примечание 6 2 12 3 5" xfId="37861"/>
    <cellStyle name="Примечание 6 2 12 4" xfId="15663"/>
    <cellStyle name="Примечание 6 2 12 4 2" xfId="29482"/>
    <cellStyle name="Примечание 6 2 12 4 3" xfId="39357"/>
    <cellStyle name="Примечание 6 2 12 5" xfId="25390"/>
    <cellStyle name="Примечание 6 2 12 6" xfId="35265"/>
    <cellStyle name="Примечание 6 2 13" xfId="3022"/>
    <cellStyle name="Примечание 6 2 13 2" xfId="12989"/>
    <cellStyle name="Примечание 6 2 13 2 2" xfId="18321"/>
    <cellStyle name="Примечание 6 2 13 2 2 2" xfId="32131"/>
    <cellStyle name="Примечание 6 2 13 2 2 3" xfId="42004"/>
    <cellStyle name="Примечание 6 2 13 2 3" xfId="26863"/>
    <cellStyle name="Примечание 6 2 13 2 4" xfId="36738"/>
    <cellStyle name="Примечание 6 2 13 3" xfId="14212"/>
    <cellStyle name="Примечание 6 2 13 3 2" xfId="16855"/>
    <cellStyle name="Примечание 6 2 13 3 2 2" xfId="30670"/>
    <cellStyle name="Примечание 6 2 13 3 2 3" xfId="40545"/>
    <cellStyle name="Примечание 6 2 13 3 3" xfId="19495"/>
    <cellStyle name="Примечание 6 2 13 3 3 2" xfId="33305"/>
    <cellStyle name="Примечание 6 2 13 3 3 3" xfId="43174"/>
    <cellStyle name="Примечание 6 2 13 3 4" xfId="28033"/>
    <cellStyle name="Примечание 6 2 13 3 5" xfId="37908"/>
    <cellStyle name="Примечание 6 2 13 4" xfId="15697"/>
    <cellStyle name="Примечание 6 2 13 4 2" xfId="29516"/>
    <cellStyle name="Примечание 6 2 13 4 3" xfId="39391"/>
    <cellStyle name="Примечание 6 2 13 5" xfId="25437"/>
    <cellStyle name="Примечание 6 2 13 6" xfId="35312"/>
    <cellStyle name="Примечание 6 2 14" xfId="11831"/>
    <cellStyle name="Примечание 6 2 14 2" xfId="14729"/>
    <cellStyle name="Примечание 6 2 14 2 2" xfId="20012"/>
    <cellStyle name="Примечание 6 2 14 2 2 2" xfId="33822"/>
    <cellStyle name="Примечание 6 2 14 2 2 3" xfId="43690"/>
    <cellStyle name="Примечание 6 2 14 2 3" xfId="28549"/>
    <cellStyle name="Примечание 6 2 14 2 4" xfId="38424"/>
    <cellStyle name="Примечание 6 2 14 3" xfId="14432"/>
    <cellStyle name="Примечание 6 2 14 3 2" xfId="16944"/>
    <cellStyle name="Примечание 6 2 14 3 2 2" xfId="30758"/>
    <cellStyle name="Примечание 6 2 14 3 2 3" xfId="40633"/>
    <cellStyle name="Примечание 6 2 14 3 3" xfId="19715"/>
    <cellStyle name="Примечание 6 2 14 3 3 2" xfId="33525"/>
    <cellStyle name="Примечание 6 2 14 3 3 3" xfId="43393"/>
    <cellStyle name="Примечание 6 2 14 3 4" xfId="28252"/>
    <cellStyle name="Примечание 6 2 14 3 5" xfId="38127"/>
    <cellStyle name="Примечание 6 2 14 4" xfId="15962"/>
    <cellStyle name="Примечание 6 2 14 4 2" xfId="24581"/>
    <cellStyle name="Примечание 6 2 14 4 3" xfId="29781"/>
    <cellStyle name="Примечание 6 2 14 4 4" xfId="39656"/>
    <cellStyle name="Примечание 6 2 14 5" xfId="25705"/>
    <cellStyle name="Примечание 6 2 14 6" xfId="35580"/>
    <cellStyle name="Примечание 6 2 15" xfId="12396"/>
    <cellStyle name="Примечание 6 2 15 2" xfId="17728"/>
    <cellStyle name="Примечание 6 2 15 2 2" xfId="31538"/>
    <cellStyle name="Примечание 6 2 15 2 3" xfId="41411"/>
    <cellStyle name="Примечание 6 2 15 3" xfId="26270"/>
    <cellStyle name="Примечание 6 2 15 4" xfId="36145"/>
    <cellStyle name="Примечание 6 2 16" xfId="13556"/>
    <cellStyle name="Примечание 6 2 16 2" xfId="16254"/>
    <cellStyle name="Примечание 6 2 16 2 2" xfId="30071"/>
    <cellStyle name="Примечание 6 2 16 2 3" xfId="39946"/>
    <cellStyle name="Примечание 6 2 16 3" xfId="18885"/>
    <cellStyle name="Примечание 6 2 16 3 2" xfId="32695"/>
    <cellStyle name="Примечание 6 2 16 3 3" xfId="42566"/>
    <cellStyle name="Примечание 6 2 16 4" xfId="27425"/>
    <cellStyle name="Примечание 6 2 16 5" xfId="37300"/>
    <cellStyle name="Примечание 6 2 17" xfId="13506"/>
    <cellStyle name="Примечание 6 2 17 2" xfId="18835"/>
    <cellStyle name="Примечание 6 2 17 2 2" xfId="32645"/>
    <cellStyle name="Примечание 6 2 17 2 3" xfId="42516"/>
    <cellStyle name="Примечание 6 2 17 3" xfId="27375"/>
    <cellStyle name="Примечание 6 2 17 4" xfId="37250"/>
    <cellStyle name="Примечание 6 2 18" xfId="17407"/>
    <cellStyle name="Примечание 6 2 18 2" xfId="31218"/>
    <cellStyle name="Примечание 6 2 18 3" xfId="41092"/>
    <cellStyle name="Примечание 6 2 19" xfId="24843"/>
    <cellStyle name="Примечание 6 2 2" xfId="2602"/>
    <cellStyle name="Примечание 6 2 2 2" xfId="10893"/>
    <cellStyle name="Примечание 6 2 2 3" xfId="12588"/>
    <cellStyle name="Примечание 6 2 2 3 2" xfId="17920"/>
    <cellStyle name="Примечание 6 2 2 3 2 2" xfId="31730"/>
    <cellStyle name="Примечание 6 2 2 3 2 3" xfId="41603"/>
    <cellStyle name="Примечание 6 2 2 3 3" xfId="26462"/>
    <cellStyle name="Примечание 6 2 2 3 4" xfId="36337"/>
    <cellStyle name="Примечание 6 2 2 4" xfId="13810"/>
    <cellStyle name="Примечание 6 2 2 4 2" xfId="16453"/>
    <cellStyle name="Примечание 6 2 2 4 2 2" xfId="30269"/>
    <cellStyle name="Примечание 6 2 2 4 2 3" xfId="40144"/>
    <cellStyle name="Примечание 6 2 2 4 3" xfId="19093"/>
    <cellStyle name="Примечание 6 2 2 4 3 2" xfId="32903"/>
    <cellStyle name="Примечание 6 2 2 4 3 3" xfId="42773"/>
    <cellStyle name="Примечание 6 2 2 4 4" xfId="27632"/>
    <cellStyle name="Примечание 6 2 2 4 5" xfId="37507"/>
    <cellStyle name="Примечание 6 2 2 5" xfId="15308"/>
    <cellStyle name="Примечание 6 2 2 5 2" xfId="29128"/>
    <cellStyle name="Примечание 6 2 2 5 3" xfId="39003"/>
    <cellStyle name="Примечание 6 2 2 6" xfId="25036"/>
    <cellStyle name="Примечание 6 2 2 7" xfId="34911"/>
    <cellStyle name="Примечание 6 2 20" xfId="34458"/>
    <cellStyle name="Примечание 6 2 21" xfId="34708"/>
    <cellStyle name="Примечание 6 2 3" xfId="2438"/>
    <cellStyle name="Примечание 6 2 3 2" xfId="12443"/>
    <cellStyle name="Примечание 6 2 3 2 2" xfId="17775"/>
    <cellStyle name="Примечание 6 2 3 2 2 2" xfId="31585"/>
    <cellStyle name="Примечание 6 2 3 2 2 3" xfId="41458"/>
    <cellStyle name="Примечание 6 2 3 2 3" xfId="26317"/>
    <cellStyle name="Примечание 6 2 3 2 4" xfId="36192"/>
    <cellStyle name="Примечание 6 2 3 3" xfId="13665"/>
    <cellStyle name="Примечание 6 2 3 3 2" xfId="16308"/>
    <cellStyle name="Примечание 6 2 3 3 2 2" xfId="30124"/>
    <cellStyle name="Примечание 6 2 3 3 2 3" xfId="39999"/>
    <cellStyle name="Примечание 6 2 3 3 3" xfId="18948"/>
    <cellStyle name="Примечание 6 2 3 3 3 2" xfId="32758"/>
    <cellStyle name="Примечание 6 2 3 3 3 3" xfId="42628"/>
    <cellStyle name="Примечание 6 2 3 3 4" xfId="27487"/>
    <cellStyle name="Примечание 6 2 3 3 5" xfId="37362"/>
    <cellStyle name="Примечание 6 2 3 4" xfId="15163"/>
    <cellStyle name="Примечание 6 2 3 4 2" xfId="28983"/>
    <cellStyle name="Примечание 6 2 3 4 3" xfId="38858"/>
    <cellStyle name="Примечание 6 2 3 5" xfId="24891"/>
    <cellStyle name="Примечание 6 2 3 6" xfId="34766"/>
    <cellStyle name="Примечание 6 2 4" xfId="2537"/>
    <cellStyle name="Примечание 6 2 4 2" xfId="12523"/>
    <cellStyle name="Примечание 6 2 4 2 2" xfId="17855"/>
    <cellStyle name="Примечание 6 2 4 2 2 2" xfId="31665"/>
    <cellStyle name="Примечание 6 2 4 2 2 3" xfId="41538"/>
    <cellStyle name="Примечание 6 2 4 2 3" xfId="26397"/>
    <cellStyle name="Примечание 6 2 4 2 4" xfId="36272"/>
    <cellStyle name="Примечание 6 2 4 3" xfId="13745"/>
    <cellStyle name="Примечание 6 2 4 3 2" xfId="16388"/>
    <cellStyle name="Примечание 6 2 4 3 2 2" xfId="30204"/>
    <cellStyle name="Примечание 6 2 4 3 2 3" xfId="40079"/>
    <cellStyle name="Примечание 6 2 4 3 3" xfId="19028"/>
    <cellStyle name="Примечание 6 2 4 3 3 2" xfId="32838"/>
    <cellStyle name="Примечание 6 2 4 3 3 3" xfId="42708"/>
    <cellStyle name="Примечание 6 2 4 3 4" xfId="27567"/>
    <cellStyle name="Примечание 6 2 4 3 5" xfId="37442"/>
    <cellStyle name="Примечание 6 2 4 4" xfId="15243"/>
    <cellStyle name="Примечание 6 2 4 4 2" xfId="29063"/>
    <cellStyle name="Примечание 6 2 4 4 3" xfId="38938"/>
    <cellStyle name="Примечание 6 2 4 5" xfId="24971"/>
    <cellStyle name="Примечание 6 2 4 6" xfId="34846"/>
    <cellStyle name="Примечание 6 2 5" xfId="2714"/>
    <cellStyle name="Примечание 6 2 5 2" xfId="12690"/>
    <cellStyle name="Примечание 6 2 5 2 2" xfId="18022"/>
    <cellStyle name="Примечание 6 2 5 2 2 2" xfId="31832"/>
    <cellStyle name="Примечание 6 2 5 2 2 3" xfId="41705"/>
    <cellStyle name="Примечание 6 2 5 2 3" xfId="26564"/>
    <cellStyle name="Примечание 6 2 5 2 4" xfId="36439"/>
    <cellStyle name="Примечание 6 2 5 3" xfId="13913"/>
    <cellStyle name="Примечание 6 2 5 3 2" xfId="16556"/>
    <cellStyle name="Примечание 6 2 5 3 2 2" xfId="30371"/>
    <cellStyle name="Примечание 6 2 5 3 2 3" xfId="40246"/>
    <cellStyle name="Примечание 6 2 5 3 3" xfId="19196"/>
    <cellStyle name="Примечание 6 2 5 3 3 2" xfId="33006"/>
    <cellStyle name="Примечание 6 2 5 3 3 3" xfId="42875"/>
    <cellStyle name="Примечание 6 2 5 3 4" xfId="27734"/>
    <cellStyle name="Примечание 6 2 5 3 5" xfId="37609"/>
    <cellStyle name="Примечание 6 2 5 4" xfId="15411"/>
    <cellStyle name="Примечание 6 2 5 4 2" xfId="29230"/>
    <cellStyle name="Примечание 6 2 5 4 3" xfId="39105"/>
    <cellStyle name="Примечание 6 2 5 5" xfId="25138"/>
    <cellStyle name="Примечание 6 2 5 6" xfId="35013"/>
    <cellStyle name="Примечание 6 2 6" xfId="2637"/>
    <cellStyle name="Примечание 6 2 6 2" xfId="12623"/>
    <cellStyle name="Примечание 6 2 6 2 2" xfId="17955"/>
    <cellStyle name="Примечание 6 2 6 2 2 2" xfId="31765"/>
    <cellStyle name="Примечание 6 2 6 2 2 3" xfId="41638"/>
    <cellStyle name="Примечание 6 2 6 2 3" xfId="26497"/>
    <cellStyle name="Примечание 6 2 6 2 4" xfId="36372"/>
    <cellStyle name="Примечание 6 2 6 3" xfId="13845"/>
    <cellStyle name="Примечание 6 2 6 3 2" xfId="16488"/>
    <cellStyle name="Примечание 6 2 6 3 2 2" xfId="30304"/>
    <cellStyle name="Примечание 6 2 6 3 2 3" xfId="40179"/>
    <cellStyle name="Примечание 6 2 6 3 3" xfId="19128"/>
    <cellStyle name="Примечание 6 2 6 3 3 2" xfId="32938"/>
    <cellStyle name="Примечание 6 2 6 3 3 3" xfId="42808"/>
    <cellStyle name="Примечание 6 2 6 3 4" xfId="27667"/>
    <cellStyle name="Примечание 6 2 6 3 5" xfId="37542"/>
    <cellStyle name="Примечание 6 2 6 4" xfId="15343"/>
    <cellStyle name="Примечание 6 2 6 4 2" xfId="29163"/>
    <cellStyle name="Примечание 6 2 6 4 3" xfId="39038"/>
    <cellStyle name="Примечание 6 2 6 5" xfId="25071"/>
    <cellStyle name="Примечание 6 2 6 6" xfId="34946"/>
    <cellStyle name="Примечание 6 2 7" xfId="2765"/>
    <cellStyle name="Примечание 6 2 7 2" xfId="12741"/>
    <cellStyle name="Примечание 6 2 7 2 2" xfId="18073"/>
    <cellStyle name="Примечание 6 2 7 2 2 2" xfId="31883"/>
    <cellStyle name="Примечание 6 2 7 2 2 3" xfId="41756"/>
    <cellStyle name="Примечание 6 2 7 2 3" xfId="26615"/>
    <cellStyle name="Примечание 6 2 7 2 4" xfId="36490"/>
    <cellStyle name="Примечание 6 2 7 3" xfId="13964"/>
    <cellStyle name="Примечание 6 2 7 3 2" xfId="16607"/>
    <cellStyle name="Примечание 6 2 7 3 2 2" xfId="30422"/>
    <cellStyle name="Примечание 6 2 7 3 2 3" xfId="40297"/>
    <cellStyle name="Примечание 6 2 7 3 3" xfId="19247"/>
    <cellStyle name="Примечание 6 2 7 3 3 2" xfId="33057"/>
    <cellStyle name="Примечание 6 2 7 3 3 3" xfId="42926"/>
    <cellStyle name="Примечание 6 2 7 3 4" xfId="27785"/>
    <cellStyle name="Примечание 6 2 7 3 5" xfId="37660"/>
    <cellStyle name="Примечание 6 2 7 4" xfId="15462"/>
    <cellStyle name="Примечание 6 2 7 4 2" xfId="29281"/>
    <cellStyle name="Примечание 6 2 7 4 3" xfId="39156"/>
    <cellStyle name="Примечание 6 2 7 5" xfId="25189"/>
    <cellStyle name="Примечание 6 2 7 6" xfId="35064"/>
    <cellStyle name="Примечание 6 2 8" xfId="2687"/>
    <cellStyle name="Примечание 6 2 8 2" xfId="12673"/>
    <cellStyle name="Примечание 6 2 8 2 2" xfId="18005"/>
    <cellStyle name="Примечание 6 2 8 2 2 2" xfId="31815"/>
    <cellStyle name="Примечание 6 2 8 2 2 3" xfId="41688"/>
    <cellStyle name="Примечание 6 2 8 2 3" xfId="26547"/>
    <cellStyle name="Примечание 6 2 8 2 4" xfId="36422"/>
    <cellStyle name="Примечание 6 2 8 3" xfId="13895"/>
    <cellStyle name="Примечание 6 2 8 3 2" xfId="16538"/>
    <cellStyle name="Примечание 6 2 8 3 2 2" xfId="30354"/>
    <cellStyle name="Примечание 6 2 8 3 2 3" xfId="40229"/>
    <cellStyle name="Примечание 6 2 8 3 3" xfId="19178"/>
    <cellStyle name="Примечание 6 2 8 3 3 2" xfId="32988"/>
    <cellStyle name="Примечание 6 2 8 3 3 3" xfId="42858"/>
    <cellStyle name="Примечание 6 2 8 3 4" xfId="27717"/>
    <cellStyle name="Примечание 6 2 8 3 5" xfId="37592"/>
    <cellStyle name="Примечание 6 2 8 4" xfId="15393"/>
    <cellStyle name="Примечание 6 2 8 4 2" xfId="29213"/>
    <cellStyle name="Примечание 6 2 8 4 3" xfId="39088"/>
    <cellStyle name="Примечание 6 2 8 5" xfId="25121"/>
    <cellStyle name="Примечание 6 2 8 6" xfId="34996"/>
    <cellStyle name="Примечание 6 2 9" xfId="2815"/>
    <cellStyle name="Примечание 6 2 9 2" xfId="12790"/>
    <cellStyle name="Примечание 6 2 9 2 2" xfId="18122"/>
    <cellStyle name="Примечание 6 2 9 2 2 2" xfId="31932"/>
    <cellStyle name="Примечание 6 2 9 2 2 3" xfId="41805"/>
    <cellStyle name="Примечание 6 2 9 2 3" xfId="26664"/>
    <cellStyle name="Примечание 6 2 9 2 4" xfId="36539"/>
    <cellStyle name="Примечание 6 2 9 3" xfId="14013"/>
    <cellStyle name="Примечание 6 2 9 3 2" xfId="16656"/>
    <cellStyle name="Примечание 6 2 9 3 2 2" xfId="30471"/>
    <cellStyle name="Примечание 6 2 9 3 2 3" xfId="40346"/>
    <cellStyle name="Примечание 6 2 9 3 3" xfId="19296"/>
    <cellStyle name="Примечание 6 2 9 3 3 2" xfId="33106"/>
    <cellStyle name="Примечание 6 2 9 3 3 3" xfId="42975"/>
    <cellStyle name="Примечание 6 2 9 3 4" xfId="27834"/>
    <cellStyle name="Примечание 6 2 9 3 5" xfId="37709"/>
    <cellStyle name="Примечание 6 2 9 4" xfId="15511"/>
    <cellStyle name="Примечание 6 2 9 4 2" xfId="29330"/>
    <cellStyle name="Примечание 6 2 9 4 3" xfId="39205"/>
    <cellStyle name="Примечание 6 2 9 5" xfId="25238"/>
    <cellStyle name="Примечание 6 2 9 6" xfId="35113"/>
    <cellStyle name="Примечание 6 20" xfId="13505"/>
    <cellStyle name="Примечание 6 20 2" xfId="18834"/>
    <cellStyle name="Примечание 6 20 2 2" xfId="32644"/>
    <cellStyle name="Примечание 6 20 2 3" xfId="42515"/>
    <cellStyle name="Примечание 6 20 3" xfId="27374"/>
    <cellStyle name="Примечание 6 20 4" xfId="37249"/>
    <cellStyle name="Примечание 6 21" xfId="17406"/>
    <cellStyle name="Примечание 6 21 2" xfId="21118"/>
    <cellStyle name="Примечание 6 21 3" xfId="31217"/>
    <cellStyle name="Примечание 6 21 4" xfId="41091"/>
    <cellStyle name="Примечание 6 22" xfId="23898"/>
    <cellStyle name="Примечание 6 23" xfId="24842"/>
    <cellStyle name="Примечание 6 24" xfId="34457"/>
    <cellStyle name="Примечание 6 25" xfId="34707"/>
    <cellStyle name="Примечание 6 3" xfId="2230"/>
    <cellStyle name="Примечание 6 3 10" xfId="2872"/>
    <cellStyle name="Примечание 6 3 10 2" xfId="12844"/>
    <cellStyle name="Примечание 6 3 10 2 2" xfId="18176"/>
    <cellStyle name="Примечание 6 3 10 2 2 2" xfId="31986"/>
    <cellStyle name="Примечание 6 3 10 2 2 3" xfId="41859"/>
    <cellStyle name="Примечание 6 3 10 2 3" xfId="26718"/>
    <cellStyle name="Примечание 6 3 10 2 4" xfId="36593"/>
    <cellStyle name="Примечание 6 3 10 3" xfId="14067"/>
    <cellStyle name="Примечание 6 3 10 3 2" xfId="16710"/>
    <cellStyle name="Примечание 6 3 10 3 2 2" xfId="30525"/>
    <cellStyle name="Примечание 6 3 10 3 2 3" xfId="40400"/>
    <cellStyle name="Примечание 6 3 10 3 3" xfId="19350"/>
    <cellStyle name="Примечание 6 3 10 3 3 2" xfId="33160"/>
    <cellStyle name="Примечание 6 3 10 3 3 3" xfId="43029"/>
    <cellStyle name="Примечание 6 3 10 3 4" xfId="27888"/>
    <cellStyle name="Примечание 6 3 10 3 5" xfId="37763"/>
    <cellStyle name="Примечание 6 3 10 4" xfId="15565"/>
    <cellStyle name="Примечание 6 3 10 4 2" xfId="29384"/>
    <cellStyle name="Примечание 6 3 10 4 3" xfId="39259"/>
    <cellStyle name="Примечание 6 3 10 5" xfId="25292"/>
    <cellStyle name="Примечание 6 3 10 6" xfId="35167"/>
    <cellStyle name="Примечание 6 3 11" xfId="2920"/>
    <cellStyle name="Примечание 6 3 11 2" xfId="12890"/>
    <cellStyle name="Примечание 6 3 11 2 2" xfId="18222"/>
    <cellStyle name="Примечание 6 3 11 2 2 2" xfId="32032"/>
    <cellStyle name="Примечание 6 3 11 2 2 3" xfId="41905"/>
    <cellStyle name="Примечание 6 3 11 2 3" xfId="26764"/>
    <cellStyle name="Примечание 6 3 11 2 4" xfId="36639"/>
    <cellStyle name="Примечание 6 3 11 3" xfId="14113"/>
    <cellStyle name="Примечание 6 3 11 3 2" xfId="16756"/>
    <cellStyle name="Примечание 6 3 11 3 2 2" xfId="30571"/>
    <cellStyle name="Примечание 6 3 11 3 2 3" xfId="40446"/>
    <cellStyle name="Примечание 6 3 11 3 3" xfId="19396"/>
    <cellStyle name="Примечание 6 3 11 3 3 2" xfId="33206"/>
    <cellStyle name="Примечание 6 3 11 3 3 3" xfId="43075"/>
    <cellStyle name="Примечание 6 3 11 3 4" xfId="27934"/>
    <cellStyle name="Примечание 6 3 11 3 5" xfId="37809"/>
    <cellStyle name="Примечание 6 3 11 4" xfId="15611"/>
    <cellStyle name="Примечание 6 3 11 4 2" xfId="29430"/>
    <cellStyle name="Примечание 6 3 11 4 3" xfId="39305"/>
    <cellStyle name="Примечание 6 3 11 5" xfId="25338"/>
    <cellStyle name="Примечание 6 3 11 6" xfId="35213"/>
    <cellStyle name="Примечание 6 3 12" xfId="2974"/>
    <cellStyle name="Примечание 6 3 12 2" xfId="12943"/>
    <cellStyle name="Примечание 6 3 12 2 2" xfId="18275"/>
    <cellStyle name="Примечание 6 3 12 2 2 2" xfId="32085"/>
    <cellStyle name="Примечание 6 3 12 2 2 3" xfId="41958"/>
    <cellStyle name="Примечание 6 3 12 2 3" xfId="26817"/>
    <cellStyle name="Примечание 6 3 12 2 4" xfId="36692"/>
    <cellStyle name="Примечание 6 3 12 3" xfId="14166"/>
    <cellStyle name="Примечание 6 3 12 3 2" xfId="16809"/>
    <cellStyle name="Примечание 6 3 12 3 2 2" xfId="30624"/>
    <cellStyle name="Примечание 6 3 12 3 2 3" xfId="40499"/>
    <cellStyle name="Примечание 6 3 12 3 3" xfId="19449"/>
    <cellStyle name="Примечание 6 3 12 3 3 2" xfId="33259"/>
    <cellStyle name="Примечание 6 3 12 3 3 3" xfId="43128"/>
    <cellStyle name="Примечание 6 3 12 3 4" xfId="27987"/>
    <cellStyle name="Примечание 6 3 12 3 5" xfId="37862"/>
    <cellStyle name="Примечание 6 3 12 4" xfId="15664"/>
    <cellStyle name="Примечание 6 3 12 4 2" xfId="29483"/>
    <cellStyle name="Примечание 6 3 12 4 3" xfId="39358"/>
    <cellStyle name="Примечание 6 3 12 5" xfId="25391"/>
    <cellStyle name="Примечание 6 3 12 6" xfId="35266"/>
    <cellStyle name="Примечание 6 3 13" xfId="3023"/>
    <cellStyle name="Примечание 6 3 13 2" xfId="12990"/>
    <cellStyle name="Примечание 6 3 13 2 2" xfId="18322"/>
    <cellStyle name="Примечание 6 3 13 2 2 2" xfId="32132"/>
    <cellStyle name="Примечание 6 3 13 2 2 3" xfId="42005"/>
    <cellStyle name="Примечание 6 3 13 2 3" xfId="26864"/>
    <cellStyle name="Примечание 6 3 13 2 4" xfId="36739"/>
    <cellStyle name="Примечание 6 3 13 3" xfId="14213"/>
    <cellStyle name="Примечание 6 3 13 3 2" xfId="16856"/>
    <cellStyle name="Примечание 6 3 13 3 2 2" xfId="30671"/>
    <cellStyle name="Примечание 6 3 13 3 2 3" xfId="40546"/>
    <cellStyle name="Примечание 6 3 13 3 3" xfId="19496"/>
    <cellStyle name="Примечание 6 3 13 3 3 2" xfId="33306"/>
    <cellStyle name="Примечание 6 3 13 3 3 3" xfId="43175"/>
    <cellStyle name="Примечание 6 3 13 3 4" xfId="28034"/>
    <cellStyle name="Примечание 6 3 13 3 5" xfId="37909"/>
    <cellStyle name="Примечание 6 3 13 4" xfId="15698"/>
    <cellStyle name="Примечание 6 3 13 4 2" xfId="29517"/>
    <cellStyle name="Примечание 6 3 13 4 3" xfId="39392"/>
    <cellStyle name="Примечание 6 3 13 5" xfId="25438"/>
    <cellStyle name="Примечание 6 3 13 6" xfId="35313"/>
    <cellStyle name="Примечание 6 3 14" xfId="11832"/>
    <cellStyle name="Примечание 6 3 14 2" xfId="14730"/>
    <cellStyle name="Примечание 6 3 14 2 2" xfId="20013"/>
    <cellStyle name="Примечание 6 3 14 2 2 2" xfId="33823"/>
    <cellStyle name="Примечание 6 3 14 2 2 3" xfId="43691"/>
    <cellStyle name="Примечание 6 3 14 2 3" xfId="28550"/>
    <cellStyle name="Примечание 6 3 14 2 4" xfId="38425"/>
    <cellStyle name="Примечание 6 3 14 3" xfId="14257"/>
    <cellStyle name="Примечание 6 3 14 3 2" xfId="16900"/>
    <cellStyle name="Примечание 6 3 14 3 2 2" xfId="30715"/>
    <cellStyle name="Примечание 6 3 14 3 2 3" xfId="40590"/>
    <cellStyle name="Примечание 6 3 14 3 3" xfId="19540"/>
    <cellStyle name="Примечание 6 3 14 3 3 2" xfId="33350"/>
    <cellStyle name="Примечание 6 3 14 3 3 3" xfId="43219"/>
    <cellStyle name="Примечание 6 3 14 3 4" xfId="28078"/>
    <cellStyle name="Примечание 6 3 14 3 5" xfId="37953"/>
    <cellStyle name="Примечание 6 3 14 4" xfId="15963"/>
    <cellStyle name="Примечание 6 3 14 4 2" xfId="24582"/>
    <cellStyle name="Примечание 6 3 14 4 3" xfId="29782"/>
    <cellStyle name="Примечание 6 3 14 4 4" xfId="39657"/>
    <cellStyle name="Примечание 6 3 14 5" xfId="25706"/>
    <cellStyle name="Примечание 6 3 14 6" xfId="35581"/>
    <cellStyle name="Примечание 6 3 15" xfId="12397"/>
    <cellStyle name="Примечание 6 3 15 2" xfId="17729"/>
    <cellStyle name="Примечание 6 3 15 2 2" xfId="31539"/>
    <cellStyle name="Примечание 6 3 15 2 3" xfId="41412"/>
    <cellStyle name="Примечание 6 3 15 3" xfId="26271"/>
    <cellStyle name="Примечание 6 3 15 4" xfId="36146"/>
    <cellStyle name="Примечание 6 3 16" xfId="13557"/>
    <cellStyle name="Примечание 6 3 16 2" xfId="16255"/>
    <cellStyle name="Примечание 6 3 16 2 2" xfId="30072"/>
    <cellStyle name="Примечание 6 3 16 2 3" xfId="39947"/>
    <cellStyle name="Примечание 6 3 16 3" xfId="18886"/>
    <cellStyle name="Примечание 6 3 16 3 2" xfId="32696"/>
    <cellStyle name="Примечание 6 3 16 3 3" xfId="42567"/>
    <cellStyle name="Примечание 6 3 16 4" xfId="27426"/>
    <cellStyle name="Примечание 6 3 16 5" xfId="37301"/>
    <cellStyle name="Примечание 6 3 17" xfId="13507"/>
    <cellStyle name="Примечание 6 3 17 2" xfId="18836"/>
    <cellStyle name="Примечание 6 3 17 2 2" xfId="32646"/>
    <cellStyle name="Примечание 6 3 17 2 3" xfId="42517"/>
    <cellStyle name="Примечание 6 3 17 3" xfId="27376"/>
    <cellStyle name="Примечание 6 3 17 4" xfId="37251"/>
    <cellStyle name="Примечание 6 3 18" xfId="17408"/>
    <cellStyle name="Примечание 6 3 18 2" xfId="31219"/>
    <cellStyle name="Примечание 6 3 18 3" xfId="41093"/>
    <cellStyle name="Примечание 6 3 19" xfId="24844"/>
    <cellStyle name="Примечание 6 3 2" xfId="2603"/>
    <cellStyle name="Примечание 6 3 2 2" xfId="10894"/>
    <cellStyle name="Примечание 6 3 2 3" xfId="12589"/>
    <cellStyle name="Примечание 6 3 2 3 2" xfId="17921"/>
    <cellStyle name="Примечание 6 3 2 3 2 2" xfId="31731"/>
    <cellStyle name="Примечание 6 3 2 3 2 3" xfId="41604"/>
    <cellStyle name="Примечание 6 3 2 3 3" xfId="26463"/>
    <cellStyle name="Примечание 6 3 2 3 4" xfId="36338"/>
    <cellStyle name="Примечание 6 3 2 4" xfId="13811"/>
    <cellStyle name="Примечание 6 3 2 4 2" xfId="16454"/>
    <cellStyle name="Примечание 6 3 2 4 2 2" xfId="30270"/>
    <cellStyle name="Примечание 6 3 2 4 2 3" xfId="40145"/>
    <cellStyle name="Примечание 6 3 2 4 3" xfId="19094"/>
    <cellStyle name="Примечание 6 3 2 4 3 2" xfId="32904"/>
    <cellStyle name="Примечание 6 3 2 4 3 3" xfId="42774"/>
    <cellStyle name="Примечание 6 3 2 4 4" xfId="27633"/>
    <cellStyle name="Примечание 6 3 2 4 5" xfId="37508"/>
    <cellStyle name="Примечание 6 3 2 5" xfId="15309"/>
    <cellStyle name="Примечание 6 3 2 5 2" xfId="29129"/>
    <cellStyle name="Примечание 6 3 2 5 3" xfId="39004"/>
    <cellStyle name="Примечание 6 3 2 6" xfId="25037"/>
    <cellStyle name="Примечание 6 3 2 7" xfId="34912"/>
    <cellStyle name="Примечание 6 3 20" xfId="34459"/>
    <cellStyle name="Примечание 6 3 21" xfId="34709"/>
    <cellStyle name="Примечание 6 3 3" xfId="2437"/>
    <cellStyle name="Примечание 6 3 3 2" xfId="12442"/>
    <cellStyle name="Примечание 6 3 3 2 2" xfId="17774"/>
    <cellStyle name="Примечание 6 3 3 2 2 2" xfId="31584"/>
    <cellStyle name="Примечание 6 3 3 2 2 3" xfId="41457"/>
    <cellStyle name="Примечание 6 3 3 2 3" xfId="26316"/>
    <cellStyle name="Примечание 6 3 3 2 4" xfId="36191"/>
    <cellStyle name="Примечание 6 3 3 3" xfId="13664"/>
    <cellStyle name="Примечание 6 3 3 3 2" xfId="16307"/>
    <cellStyle name="Примечание 6 3 3 3 2 2" xfId="30123"/>
    <cellStyle name="Примечание 6 3 3 3 2 3" xfId="39998"/>
    <cellStyle name="Примечание 6 3 3 3 3" xfId="18947"/>
    <cellStyle name="Примечание 6 3 3 3 3 2" xfId="32757"/>
    <cellStyle name="Примечание 6 3 3 3 3 3" xfId="42627"/>
    <cellStyle name="Примечание 6 3 3 3 4" xfId="27486"/>
    <cellStyle name="Примечание 6 3 3 3 5" xfId="37361"/>
    <cellStyle name="Примечание 6 3 3 4" xfId="15162"/>
    <cellStyle name="Примечание 6 3 3 4 2" xfId="28982"/>
    <cellStyle name="Примечание 6 3 3 4 3" xfId="38857"/>
    <cellStyle name="Примечание 6 3 3 5" xfId="24890"/>
    <cellStyle name="Примечание 6 3 3 6" xfId="34765"/>
    <cellStyle name="Примечание 6 3 4" xfId="2538"/>
    <cellStyle name="Примечание 6 3 4 2" xfId="12524"/>
    <cellStyle name="Примечание 6 3 4 2 2" xfId="17856"/>
    <cellStyle name="Примечание 6 3 4 2 2 2" xfId="31666"/>
    <cellStyle name="Примечание 6 3 4 2 2 3" xfId="41539"/>
    <cellStyle name="Примечание 6 3 4 2 3" xfId="26398"/>
    <cellStyle name="Примечание 6 3 4 2 4" xfId="36273"/>
    <cellStyle name="Примечание 6 3 4 3" xfId="13746"/>
    <cellStyle name="Примечание 6 3 4 3 2" xfId="16389"/>
    <cellStyle name="Примечание 6 3 4 3 2 2" xfId="30205"/>
    <cellStyle name="Примечание 6 3 4 3 2 3" xfId="40080"/>
    <cellStyle name="Примечание 6 3 4 3 3" xfId="19029"/>
    <cellStyle name="Примечание 6 3 4 3 3 2" xfId="32839"/>
    <cellStyle name="Примечание 6 3 4 3 3 3" xfId="42709"/>
    <cellStyle name="Примечание 6 3 4 3 4" xfId="27568"/>
    <cellStyle name="Примечание 6 3 4 3 5" xfId="37443"/>
    <cellStyle name="Примечание 6 3 4 4" xfId="15244"/>
    <cellStyle name="Примечание 6 3 4 4 2" xfId="29064"/>
    <cellStyle name="Примечание 6 3 4 4 3" xfId="38939"/>
    <cellStyle name="Примечание 6 3 4 5" xfId="24972"/>
    <cellStyle name="Примечание 6 3 4 6" xfId="34847"/>
    <cellStyle name="Примечание 6 3 5" xfId="2715"/>
    <cellStyle name="Примечание 6 3 5 2" xfId="12691"/>
    <cellStyle name="Примечание 6 3 5 2 2" xfId="18023"/>
    <cellStyle name="Примечание 6 3 5 2 2 2" xfId="31833"/>
    <cellStyle name="Примечание 6 3 5 2 2 3" xfId="41706"/>
    <cellStyle name="Примечание 6 3 5 2 3" xfId="26565"/>
    <cellStyle name="Примечание 6 3 5 2 4" xfId="36440"/>
    <cellStyle name="Примечание 6 3 5 3" xfId="13914"/>
    <cellStyle name="Примечание 6 3 5 3 2" xfId="16557"/>
    <cellStyle name="Примечание 6 3 5 3 2 2" xfId="30372"/>
    <cellStyle name="Примечание 6 3 5 3 2 3" xfId="40247"/>
    <cellStyle name="Примечание 6 3 5 3 3" xfId="19197"/>
    <cellStyle name="Примечание 6 3 5 3 3 2" xfId="33007"/>
    <cellStyle name="Примечание 6 3 5 3 3 3" xfId="42876"/>
    <cellStyle name="Примечание 6 3 5 3 4" xfId="27735"/>
    <cellStyle name="Примечание 6 3 5 3 5" xfId="37610"/>
    <cellStyle name="Примечание 6 3 5 4" xfId="15412"/>
    <cellStyle name="Примечание 6 3 5 4 2" xfId="29231"/>
    <cellStyle name="Примечание 6 3 5 4 3" xfId="39106"/>
    <cellStyle name="Примечание 6 3 5 5" xfId="25139"/>
    <cellStyle name="Примечание 6 3 5 6" xfId="35014"/>
    <cellStyle name="Примечание 6 3 6" xfId="2638"/>
    <cellStyle name="Примечание 6 3 6 2" xfId="12624"/>
    <cellStyle name="Примечание 6 3 6 2 2" xfId="17956"/>
    <cellStyle name="Примечание 6 3 6 2 2 2" xfId="31766"/>
    <cellStyle name="Примечание 6 3 6 2 2 3" xfId="41639"/>
    <cellStyle name="Примечание 6 3 6 2 3" xfId="26498"/>
    <cellStyle name="Примечание 6 3 6 2 4" xfId="36373"/>
    <cellStyle name="Примечание 6 3 6 3" xfId="13846"/>
    <cellStyle name="Примечание 6 3 6 3 2" xfId="16489"/>
    <cellStyle name="Примечание 6 3 6 3 2 2" xfId="30305"/>
    <cellStyle name="Примечание 6 3 6 3 2 3" xfId="40180"/>
    <cellStyle name="Примечание 6 3 6 3 3" xfId="19129"/>
    <cellStyle name="Примечание 6 3 6 3 3 2" xfId="32939"/>
    <cellStyle name="Примечание 6 3 6 3 3 3" xfId="42809"/>
    <cellStyle name="Примечание 6 3 6 3 4" xfId="27668"/>
    <cellStyle name="Примечание 6 3 6 3 5" xfId="37543"/>
    <cellStyle name="Примечание 6 3 6 4" xfId="15344"/>
    <cellStyle name="Примечание 6 3 6 4 2" xfId="29164"/>
    <cellStyle name="Примечание 6 3 6 4 3" xfId="39039"/>
    <cellStyle name="Примечание 6 3 6 5" xfId="25072"/>
    <cellStyle name="Примечание 6 3 6 6" xfId="34947"/>
    <cellStyle name="Примечание 6 3 7" xfId="2766"/>
    <cellStyle name="Примечание 6 3 7 2" xfId="12742"/>
    <cellStyle name="Примечание 6 3 7 2 2" xfId="18074"/>
    <cellStyle name="Примечание 6 3 7 2 2 2" xfId="31884"/>
    <cellStyle name="Примечание 6 3 7 2 2 3" xfId="41757"/>
    <cellStyle name="Примечание 6 3 7 2 3" xfId="26616"/>
    <cellStyle name="Примечание 6 3 7 2 4" xfId="36491"/>
    <cellStyle name="Примечание 6 3 7 3" xfId="13965"/>
    <cellStyle name="Примечание 6 3 7 3 2" xfId="16608"/>
    <cellStyle name="Примечание 6 3 7 3 2 2" xfId="30423"/>
    <cellStyle name="Примечание 6 3 7 3 2 3" xfId="40298"/>
    <cellStyle name="Примечание 6 3 7 3 3" xfId="19248"/>
    <cellStyle name="Примечание 6 3 7 3 3 2" xfId="33058"/>
    <cellStyle name="Примечание 6 3 7 3 3 3" xfId="42927"/>
    <cellStyle name="Примечание 6 3 7 3 4" xfId="27786"/>
    <cellStyle name="Примечание 6 3 7 3 5" xfId="37661"/>
    <cellStyle name="Примечание 6 3 7 4" xfId="15463"/>
    <cellStyle name="Примечание 6 3 7 4 2" xfId="29282"/>
    <cellStyle name="Примечание 6 3 7 4 3" xfId="39157"/>
    <cellStyle name="Примечание 6 3 7 5" xfId="25190"/>
    <cellStyle name="Примечание 6 3 7 6" xfId="35065"/>
    <cellStyle name="Примечание 6 3 8" xfId="2688"/>
    <cellStyle name="Примечание 6 3 8 2" xfId="12674"/>
    <cellStyle name="Примечание 6 3 8 2 2" xfId="18006"/>
    <cellStyle name="Примечание 6 3 8 2 2 2" xfId="31816"/>
    <cellStyle name="Примечание 6 3 8 2 2 3" xfId="41689"/>
    <cellStyle name="Примечание 6 3 8 2 3" xfId="26548"/>
    <cellStyle name="Примечание 6 3 8 2 4" xfId="36423"/>
    <cellStyle name="Примечание 6 3 8 3" xfId="13896"/>
    <cellStyle name="Примечание 6 3 8 3 2" xfId="16539"/>
    <cellStyle name="Примечание 6 3 8 3 2 2" xfId="30355"/>
    <cellStyle name="Примечание 6 3 8 3 2 3" xfId="40230"/>
    <cellStyle name="Примечание 6 3 8 3 3" xfId="19179"/>
    <cellStyle name="Примечание 6 3 8 3 3 2" xfId="32989"/>
    <cellStyle name="Примечание 6 3 8 3 3 3" xfId="42859"/>
    <cellStyle name="Примечание 6 3 8 3 4" xfId="27718"/>
    <cellStyle name="Примечание 6 3 8 3 5" xfId="37593"/>
    <cellStyle name="Примечание 6 3 8 4" xfId="15394"/>
    <cellStyle name="Примечание 6 3 8 4 2" xfId="29214"/>
    <cellStyle name="Примечание 6 3 8 4 3" xfId="39089"/>
    <cellStyle name="Примечание 6 3 8 5" xfId="25122"/>
    <cellStyle name="Примечание 6 3 8 6" xfId="34997"/>
    <cellStyle name="Примечание 6 3 9" xfId="2816"/>
    <cellStyle name="Примечание 6 3 9 2" xfId="12791"/>
    <cellStyle name="Примечание 6 3 9 2 2" xfId="18123"/>
    <cellStyle name="Примечание 6 3 9 2 2 2" xfId="31933"/>
    <cellStyle name="Примечание 6 3 9 2 2 3" xfId="41806"/>
    <cellStyle name="Примечание 6 3 9 2 3" xfId="26665"/>
    <cellStyle name="Примечание 6 3 9 2 4" xfId="36540"/>
    <cellStyle name="Примечание 6 3 9 3" xfId="14014"/>
    <cellStyle name="Примечание 6 3 9 3 2" xfId="16657"/>
    <cellStyle name="Примечание 6 3 9 3 2 2" xfId="30472"/>
    <cellStyle name="Примечание 6 3 9 3 2 3" xfId="40347"/>
    <cellStyle name="Примечание 6 3 9 3 3" xfId="19297"/>
    <cellStyle name="Примечание 6 3 9 3 3 2" xfId="33107"/>
    <cellStyle name="Примечание 6 3 9 3 3 3" xfId="42976"/>
    <cellStyle name="Примечание 6 3 9 3 4" xfId="27835"/>
    <cellStyle name="Примечание 6 3 9 3 5" xfId="37710"/>
    <cellStyle name="Примечание 6 3 9 4" xfId="15512"/>
    <cellStyle name="Примечание 6 3 9 4 2" xfId="29331"/>
    <cellStyle name="Примечание 6 3 9 4 3" xfId="39206"/>
    <cellStyle name="Примечание 6 3 9 5" xfId="25239"/>
    <cellStyle name="Примечание 6 3 9 6" xfId="35114"/>
    <cellStyle name="Примечание 6 4" xfId="2601"/>
    <cellStyle name="Примечание 6 4 2" xfId="10887"/>
    <cellStyle name="Примечание 6 4 3" xfId="12587"/>
    <cellStyle name="Примечание 6 4 3 2" xfId="17919"/>
    <cellStyle name="Примечание 6 4 3 2 2" xfId="31729"/>
    <cellStyle name="Примечание 6 4 3 2 3" xfId="41602"/>
    <cellStyle name="Примечание 6 4 3 3" xfId="26461"/>
    <cellStyle name="Примечание 6 4 3 4" xfId="36336"/>
    <cellStyle name="Примечание 6 4 4" xfId="13809"/>
    <cellStyle name="Примечание 6 4 4 2" xfId="16452"/>
    <cellStyle name="Примечание 6 4 4 2 2" xfId="30268"/>
    <cellStyle name="Примечание 6 4 4 2 3" xfId="40143"/>
    <cellStyle name="Примечание 6 4 4 3" xfId="19092"/>
    <cellStyle name="Примечание 6 4 4 3 2" xfId="32902"/>
    <cellStyle name="Примечание 6 4 4 3 3" xfId="42772"/>
    <cellStyle name="Примечание 6 4 4 4" xfId="27631"/>
    <cellStyle name="Примечание 6 4 4 5" xfId="37506"/>
    <cellStyle name="Примечание 6 4 5" xfId="15307"/>
    <cellStyle name="Примечание 6 4 5 2" xfId="29127"/>
    <cellStyle name="Примечание 6 4 5 3" xfId="39002"/>
    <cellStyle name="Примечание 6 4 6" xfId="25035"/>
    <cellStyle name="Примечание 6 4 7" xfId="34910"/>
    <cellStyle name="Примечание 6 5" xfId="2439"/>
    <cellStyle name="Примечание 6 5 2" xfId="10895"/>
    <cellStyle name="Примечание 6 5 3" xfId="12444"/>
    <cellStyle name="Примечание 6 5 3 2" xfId="17776"/>
    <cellStyle name="Примечание 6 5 3 2 2" xfId="31586"/>
    <cellStyle name="Примечание 6 5 3 2 3" xfId="41459"/>
    <cellStyle name="Примечание 6 5 3 3" xfId="26318"/>
    <cellStyle name="Примечание 6 5 3 4" xfId="36193"/>
    <cellStyle name="Примечание 6 5 4" xfId="13666"/>
    <cellStyle name="Примечание 6 5 4 2" xfId="16309"/>
    <cellStyle name="Примечание 6 5 4 2 2" xfId="30125"/>
    <cellStyle name="Примечание 6 5 4 2 3" xfId="40000"/>
    <cellStyle name="Примечание 6 5 4 3" xfId="18949"/>
    <cellStyle name="Примечание 6 5 4 3 2" xfId="32759"/>
    <cellStyle name="Примечание 6 5 4 3 3" xfId="42629"/>
    <cellStyle name="Примечание 6 5 4 4" xfId="27488"/>
    <cellStyle name="Примечание 6 5 4 5" xfId="37363"/>
    <cellStyle name="Примечание 6 5 5" xfId="15164"/>
    <cellStyle name="Примечание 6 5 5 2" xfId="28984"/>
    <cellStyle name="Примечание 6 5 5 3" xfId="38859"/>
    <cellStyle name="Примечание 6 5 6" xfId="24892"/>
    <cellStyle name="Примечание 6 5 7" xfId="34767"/>
    <cellStyle name="Примечание 6 6" xfId="2536"/>
    <cellStyle name="Примечание 6 6 2" xfId="10896"/>
    <cellStyle name="Примечание 6 6 3" xfId="12522"/>
    <cellStyle name="Примечание 6 6 3 2" xfId="17854"/>
    <cellStyle name="Примечание 6 6 3 2 2" xfId="31664"/>
    <cellStyle name="Примечание 6 6 3 2 3" xfId="41537"/>
    <cellStyle name="Примечание 6 6 3 3" xfId="26396"/>
    <cellStyle name="Примечание 6 6 3 4" xfId="36271"/>
    <cellStyle name="Примечание 6 6 4" xfId="13744"/>
    <cellStyle name="Примечание 6 6 4 2" xfId="16387"/>
    <cellStyle name="Примечание 6 6 4 2 2" xfId="30203"/>
    <cellStyle name="Примечание 6 6 4 2 3" xfId="40078"/>
    <cellStyle name="Примечание 6 6 4 3" xfId="19027"/>
    <cellStyle name="Примечание 6 6 4 3 2" xfId="32837"/>
    <cellStyle name="Примечание 6 6 4 3 3" xfId="42707"/>
    <cellStyle name="Примечание 6 6 4 4" xfId="27566"/>
    <cellStyle name="Примечание 6 6 4 5" xfId="37441"/>
    <cellStyle name="Примечание 6 6 5" xfId="15242"/>
    <cellStyle name="Примечание 6 6 5 2" xfId="29062"/>
    <cellStyle name="Примечание 6 6 5 3" xfId="38937"/>
    <cellStyle name="Примечание 6 6 6" xfId="24970"/>
    <cellStyle name="Примечание 6 6 7" xfId="34845"/>
    <cellStyle name="Примечание 6 7" xfId="2713"/>
    <cellStyle name="Примечание 6 7 2" xfId="10897"/>
    <cellStyle name="Примечание 6 7 3" xfId="12689"/>
    <cellStyle name="Примечание 6 7 3 2" xfId="18021"/>
    <cellStyle name="Примечание 6 7 3 2 2" xfId="31831"/>
    <cellStyle name="Примечание 6 7 3 2 3" xfId="41704"/>
    <cellStyle name="Примечание 6 7 3 3" xfId="26563"/>
    <cellStyle name="Примечание 6 7 3 4" xfId="36438"/>
    <cellStyle name="Примечание 6 7 4" xfId="13912"/>
    <cellStyle name="Примечание 6 7 4 2" xfId="16555"/>
    <cellStyle name="Примечание 6 7 4 2 2" xfId="30370"/>
    <cellStyle name="Примечание 6 7 4 2 3" xfId="40245"/>
    <cellStyle name="Примечание 6 7 4 3" xfId="19195"/>
    <cellStyle name="Примечание 6 7 4 3 2" xfId="33005"/>
    <cellStyle name="Примечание 6 7 4 3 3" xfId="42874"/>
    <cellStyle name="Примечание 6 7 4 4" xfId="27733"/>
    <cellStyle name="Примечание 6 7 4 5" xfId="37608"/>
    <cellStyle name="Примечание 6 7 5" xfId="15410"/>
    <cellStyle name="Примечание 6 7 5 2" xfId="29229"/>
    <cellStyle name="Примечание 6 7 5 3" xfId="39104"/>
    <cellStyle name="Примечание 6 7 6" xfId="25137"/>
    <cellStyle name="Примечание 6 7 7" xfId="35012"/>
    <cellStyle name="Примечание 6 8" xfId="2636"/>
    <cellStyle name="Примечание 6 8 2" xfId="10898"/>
    <cellStyle name="Примечание 6 8 3" xfId="12622"/>
    <cellStyle name="Примечание 6 8 3 2" xfId="17954"/>
    <cellStyle name="Примечание 6 8 3 2 2" xfId="31764"/>
    <cellStyle name="Примечание 6 8 3 2 3" xfId="41637"/>
    <cellStyle name="Примечание 6 8 3 3" xfId="26496"/>
    <cellStyle name="Примечание 6 8 3 4" xfId="36371"/>
    <cellStyle name="Примечание 6 8 4" xfId="13844"/>
    <cellStyle name="Примечание 6 8 4 2" xfId="16487"/>
    <cellStyle name="Примечание 6 8 4 2 2" xfId="30303"/>
    <cellStyle name="Примечание 6 8 4 2 3" xfId="40178"/>
    <cellStyle name="Примечание 6 8 4 3" xfId="19127"/>
    <cellStyle name="Примечание 6 8 4 3 2" xfId="32937"/>
    <cellStyle name="Примечание 6 8 4 3 3" xfId="42807"/>
    <cellStyle name="Примечание 6 8 4 4" xfId="27666"/>
    <cellStyle name="Примечание 6 8 4 5" xfId="37541"/>
    <cellStyle name="Примечание 6 8 5" xfId="15342"/>
    <cellStyle name="Примечание 6 8 5 2" xfId="29162"/>
    <cellStyle name="Примечание 6 8 5 3" xfId="39037"/>
    <cellStyle name="Примечание 6 8 6" xfId="25070"/>
    <cellStyle name="Примечание 6 8 7" xfId="34945"/>
    <cellStyle name="Примечание 6 9" xfId="2764"/>
    <cellStyle name="Примечание 6 9 2" xfId="10899"/>
    <cellStyle name="Примечание 6 9 3" xfId="12740"/>
    <cellStyle name="Примечание 6 9 3 2" xfId="18072"/>
    <cellStyle name="Примечание 6 9 3 2 2" xfId="31882"/>
    <cellStyle name="Примечание 6 9 3 2 3" xfId="41755"/>
    <cellStyle name="Примечание 6 9 3 3" xfId="26614"/>
    <cellStyle name="Примечание 6 9 3 4" xfId="36489"/>
    <cellStyle name="Примечание 6 9 4" xfId="13963"/>
    <cellStyle name="Примечание 6 9 4 2" xfId="16606"/>
    <cellStyle name="Примечание 6 9 4 2 2" xfId="30421"/>
    <cellStyle name="Примечание 6 9 4 2 3" xfId="40296"/>
    <cellStyle name="Примечание 6 9 4 3" xfId="19246"/>
    <cellStyle name="Примечание 6 9 4 3 2" xfId="33056"/>
    <cellStyle name="Примечание 6 9 4 3 3" xfId="42925"/>
    <cellStyle name="Примечание 6 9 4 4" xfId="27784"/>
    <cellStyle name="Примечание 6 9 4 5" xfId="37659"/>
    <cellStyle name="Примечание 6 9 5" xfId="15461"/>
    <cellStyle name="Примечание 6 9 5 2" xfId="29280"/>
    <cellStyle name="Примечание 6 9 5 3" xfId="39155"/>
    <cellStyle name="Примечание 6 9 6" xfId="25188"/>
    <cellStyle name="Примечание 6 9 7" xfId="35063"/>
    <cellStyle name="Примечание 7" xfId="2231"/>
    <cellStyle name="Примечание 7 10" xfId="2689"/>
    <cellStyle name="Примечание 7 10 2" xfId="10901"/>
    <cellStyle name="Примечание 7 10 3" xfId="12675"/>
    <cellStyle name="Примечание 7 10 3 2" xfId="18007"/>
    <cellStyle name="Примечание 7 10 3 2 2" xfId="31817"/>
    <cellStyle name="Примечание 7 10 3 2 3" xfId="41690"/>
    <cellStyle name="Примечание 7 10 3 3" xfId="26549"/>
    <cellStyle name="Примечание 7 10 3 4" xfId="36424"/>
    <cellStyle name="Примечание 7 10 4" xfId="13897"/>
    <cellStyle name="Примечание 7 10 4 2" xfId="16540"/>
    <cellStyle name="Примечание 7 10 4 2 2" xfId="30356"/>
    <cellStyle name="Примечание 7 10 4 2 3" xfId="40231"/>
    <cellStyle name="Примечание 7 10 4 3" xfId="19180"/>
    <cellStyle name="Примечание 7 10 4 3 2" xfId="32990"/>
    <cellStyle name="Примечание 7 10 4 3 3" xfId="42860"/>
    <cellStyle name="Примечание 7 10 4 4" xfId="27719"/>
    <cellStyle name="Примечание 7 10 4 5" xfId="37594"/>
    <cellStyle name="Примечание 7 10 5" xfId="15395"/>
    <cellStyle name="Примечание 7 10 5 2" xfId="29215"/>
    <cellStyle name="Примечание 7 10 5 3" xfId="39090"/>
    <cellStyle name="Примечание 7 10 6" xfId="25123"/>
    <cellStyle name="Примечание 7 10 7" xfId="34998"/>
    <cellStyle name="Примечание 7 11" xfId="2817"/>
    <cellStyle name="Примечание 7 11 2" xfId="10902"/>
    <cellStyle name="Примечание 7 11 3" xfId="12792"/>
    <cellStyle name="Примечание 7 11 3 2" xfId="18124"/>
    <cellStyle name="Примечание 7 11 3 2 2" xfId="31934"/>
    <cellStyle name="Примечание 7 11 3 2 3" xfId="41807"/>
    <cellStyle name="Примечание 7 11 3 3" xfId="26666"/>
    <cellStyle name="Примечание 7 11 3 4" xfId="36541"/>
    <cellStyle name="Примечание 7 11 4" xfId="14015"/>
    <cellStyle name="Примечание 7 11 4 2" xfId="16658"/>
    <cellStyle name="Примечание 7 11 4 2 2" xfId="30473"/>
    <cellStyle name="Примечание 7 11 4 2 3" xfId="40348"/>
    <cellStyle name="Примечание 7 11 4 3" xfId="19298"/>
    <cellStyle name="Примечание 7 11 4 3 2" xfId="33108"/>
    <cellStyle name="Примечание 7 11 4 3 3" xfId="42977"/>
    <cellStyle name="Примечание 7 11 4 4" xfId="27836"/>
    <cellStyle name="Примечание 7 11 4 5" xfId="37711"/>
    <cellStyle name="Примечание 7 11 5" xfId="15513"/>
    <cellStyle name="Примечание 7 11 5 2" xfId="29332"/>
    <cellStyle name="Примечание 7 11 5 3" xfId="39207"/>
    <cellStyle name="Примечание 7 11 6" xfId="25240"/>
    <cellStyle name="Примечание 7 11 7" xfId="35115"/>
    <cellStyle name="Примечание 7 12" xfId="2873"/>
    <cellStyle name="Примечание 7 12 2" xfId="10903"/>
    <cellStyle name="Примечание 7 12 3" xfId="12845"/>
    <cellStyle name="Примечание 7 12 3 2" xfId="18177"/>
    <cellStyle name="Примечание 7 12 3 2 2" xfId="31987"/>
    <cellStyle name="Примечание 7 12 3 2 3" xfId="41860"/>
    <cellStyle name="Примечание 7 12 3 3" xfId="26719"/>
    <cellStyle name="Примечание 7 12 3 4" xfId="36594"/>
    <cellStyle name="Примечание 7 12 4" xfId="14068"/>
    <cellStyle name="Примечание 7 12 4 2" xfId="16711"/>
    <cellStyle name="Примечание 7 12 4 2 2" xfId="30526"/>
    <cellStyle name="Примечание 7 12 4 2 3" xfId="40401"/>
    <cellStyle name="Примечание 7 12 4 3" xfId="19351"/>
    <cellStyle name="Примечание 7 12 4 3 2" xfId="33161"/>
    <cellStyle name="Примечание 7 12 4 3 3" xfId="43030"/>
    <cellStyle name="Примечание 7 12 4 4" xfId="27889"/>
    <cellStyle name="Примечание 7 12 4 5" xfId="37764"/>
    <cellStyle name="Примечание 7 12 5" xfId="15566"/>
    <cellStyle name="Примечание 7 12 5 2" xfId="29385"/>
    <cellStyle name="Примечание 7 12 5 3" xfId="39260"/>
    <cellStyle name="Примечание 7 12 6" xfId="25293"/>
    <cellStyle name="Примечание 7 12 7" xfId="35168"/>
    <cellStyle name="Примечание 7 13" xfId="2921"/>
    <cellStyle name="Примечание 7 13 2" xfId="10904"/>
    <cellStyle name="Примечание 7 13 3" xfId="12891"/>
    <cellStyle name="Примечание 7 13 3 2" xfId="18223"/>
    <cellStyle name="Примечание 7 13 3 2 2" xfId="32033"/>
    <cellStyle name="Примечание 7 13 3 2 3" xfId="41906"/>
    <cellStyle name="Примечание 7 13 3 3" xfId="26765"/>
    <cellStyle name="Примечание 7 13 3 4" xfId="36640"/>
    <cellStyle name="Примечание 7 13 4" xfId="14114"/>
    <cellStyle name="Примечание 7 13 4 2" xfId="16757"/>
    <cellStyle name="Примечание 7 13 4 2 2" xfId="30572"/>
    <cellStyle name="Примечание 7 13 4 2 3" xfId="40447"/>
    <cellStyle name="Примечание 7 13 4 3" xfId="19397"/>
    <cellStyle name="Примечание 7 13 4 3 2" xfId="33207"/>
    <cellStyle name="Примечание 7 13 4 3 3" xfId="43076"/>
    <cellStyle name="Примечание 7 13 4 4" xfId="27935"/>
    <cellStyle name="Примечание 7 13 4 5" xfId="37810"/>
    <cellStyle name="Примечание 7 13 5" xfId="15612"/>
    <cellStyle name="Примечание 7 13 5 2" xfId="29431"/>
    <cellStyle name="Примечание 7 13 5 3" xfId="39306"/>
    <cellStyle name="Примечание 7 13 6" xfId="25339"/>
    <cellStyle name="Примечание 7 13 7" xfId="35214"/>
    <cellStyle name="Примечание 7 14" xfId="2975"/>
    <cellStyle name="Примечание 7 14 2" xfId="10905"/>
    <cellStyle name="Примечание 7 14 3" xfId="12944"/>
    <cellStyle name="Примечание 7 14 3 2" xfId="18276"/>
    <cellStyle name="Примечание 7 14 3 2 2" xfId="32086"/>
    <cellStyle name="Примечание 7 14 3 2 3" xfId="41959"/>
    <cellStyle name="Примечание 7 14 3 3" xfId="26818"/>
    <cellStyle name="Примечание 7 14 3 4" xfId="36693"/>
    <cellStyle name="Примечание 7 14 4" xfId="14167"/>
    <cellStyle name="Примечание 7 14 4 2" xfId="16810"/>
    <cellStyle name="Примечание 7 14 4 2 2" xfId="30625"/>
    <cellStyle name="Примечание 7 14 4 2 3" xfId="40500"/>
    <cellStyle name="Примечание 7 14 4 3" xfId="19450"/>
    <cellStyle name="Примечание 7 14 4 3 2" xfId="33260"/>
    <cellStyle name="Примечание 7 14 4 3 3" xfId="43129"/>
    <cellStyle name="Примечание 7 14 4 4" xfId="27988"/>
    <cellStyle name="Примечание 7 14 4 5" xfId="37863"/>
    <cellStyle name="Примечание 7 14 5" xfId="15665"/>
    <cellStyle name="Примечание 7 14 5 2" xfId="29484"/>
    <cellStyle name="Примечание 7 14 5 3" xfId="39359"/>
    <cellStyle name="Примечание 7 14 6" xfId="25392"/>
    <cellStyle name="Примечание 7 14 7" xfId="35267"/>
    <cellStyle name="Примечание 7 15" xfId="3024"/>
    <cellStyle name="Примечание 7 15 2" xfId="12063"/>
    <cellStyle name="Примечание 7 15 2 2" xfId="14961"/>
    <cellStyle name="Примечание 7 15 2 2 2" xfId="20244"/>
    <cellStyle name="Примечание 7 15 2 2 2 2" xfId="23227"/>
    <cellStyle name="Примечание 7 15 2 2 2 3" xfId="34054"/>
    <cellStyle name="Примечание 7 15 2 2 2 4" xfId="43922"/>
    <cellStyle name="Примечание 7 15 2 2 3" xfId="23515"/>
    <cellStyle name="Примечание 7 15 2 2 4" xfId="28781"/>
    <cellStyle name="Примечание 7 15 2 2 5" xfId="38656"/>
    <cellStyle name="Примечание 7 15 2 3" xfId="14402"/>
    <cellStyle name="Примечание 7 15 2 3 2" xfId="16915"/>
    <cellStyle name="Примечание 7 15 2 3 2 2" xfId="30730"/>
    <cellStyle name="Примечание 7 15 2 3 2 3" xfId="40605"/>
    <cellStyle name="Примечание 7 15 2 3 3" xfId="19685"/>
    <cellStyle name="Примечание 7 15 2 3 3 2" xfId="33495"/>
    <cellStyle name="Примечание 7 15 2 3 3 3" xfId="43364"/>
    <cellStyle name="Примечание 7 15 2 3 4" xfId="28223"/>
    <cellStyle name="Примечание 7 15 2 3 5" xfId="38098"/>
    <cellStyle name="Примечание 7 15 2 4" xfId="15986"/>
    <cellStyle name="Примечание 7 15 2 4 2" xfId="21842"/>
    <cellStyle name="Примечание 7 15 2 4 3" xfId="29805"/>
    <cellStyle name="Примечание 7 15 2 4 4" xfId="39680"/>
    <cellStyle name="Примечание 7 15 2 5" xfId="24139"/>
    <cellStyle name="Примечание 7 15 2 6" xfId="25937"/>
    <cellStyle name="Примечание 7 15 2 7" xfId="35812"/>
    <cellStyle name="Примечание 7 15 3" xfId="12991"/>
    <cellStyle name="Примечание 7 15 3 2" xfId="18323"/>
    <cellStyle name="Примечание 7 15 3 2 2" xfId="32133"/>
    <cellStyle name="Примечание 7 15 3 2 3" xfId="42006"/>
    <cellStyle name="Примечание 7 15 3 3" xfId="23499"/>
    <cellStyle name="Примечание 7 15 3 4" xfId="26865"/>
    <cellStyle name="Примечание 7 15 3 5" xfId="36740"/>
    <cellStyle name="Примечание 7 15 4" xfId="14214"/>
    <cellStyle name="Примечание 7 15 4 2" xfId="16857"/>
    <cellStyle name="Примечание 7 15 4 2 2" xfId="30672"/>
    <cellStyle name="Примечание 7 15 4 2 3" xfId="40547"/>
    <cellStyle name="Примечание 7 15 4 3" xfId="19497"/>
    <cellStyle name="Примечание 7 15 4 3 2" xfId="33307"/>
    <cellStyle name="Примечание 7 15 4 3 3" xfId="43176"/>
    <cellStyle name="Примечание 7 15 4 4" xfId="28035"/>
    <cellStyle name="Примечание 7 15 4 5" xfId="37910"/>
    <cellStyle name="Примечание 7 15 5" xfId="21754"/>
    <cellStyle name="Примечание 7 15 6" xfId="22491"/>
    <cellStyle name="Примечание 7 15 7" xfId="23979"/>
    <cellStyle name="Примечание 7 15 8" xfId="25439"/>
    <cellStyle name="Примечание 7 15 9" xfId="35314"/>
    <cellStyle name="Примечание 7 16" xfId="12143"/>
    <cellStyle name="Примечание 7 16 2" xfId="15041"/>
    <cellStyle name="Примечание 7 16 2 2" xfId="20324"/>
    <cellStyle name="Примечание 7 16 2 2 2" xfId="23243"/>
    <cellStyle name="Примечание 7 16 2 2 3" xfId="34134"/>
    <cellStyle name="Примечание 7 16 2 2 4" xfId="44002"/>
    <cellStyle name="Примечание 7 16 2 3" xfId="23595"/>
    <cellStyle name="Примечание 7 16 2 4" xfId="28861"/>
    <cellStyle name="Примечание 7 16 2 5" xfId="38736"/>
    <cellStyle name="Примечание 7 16 3" xfId="14411"/>
    <cellStyle name="Примечание 7 16 3 2" xfId="16924"/>
    <cellStyle name="Примечание 7 16 3 2 2" xfId="30739"/>
    <cellStyle name="Примечание 7 16 3 2 3" xfId="40614"/>
    <cellStyle name="Примечание 7 16 3 3" xfId="19694"/>
    <cellStyle name="Примечание 7 16 3 3 2" xfId="33504"/>
    <cellStyle name="Примечание 7 16 3 3 3" xfId="43373"/>
    <cellStyle name="Примечание 7 16 3 4" xfId="28232"/>
    <cellStyle name="Примечание 7 16 3 5" xfId="38107"/>
    <cellStyle name="Примечание 7 16 4" xfId="21522"/>
    <cellStyle name="Примечание 7 16 5" xfId="21890"/>
    <cellStyle name="Примечание 7 16 6" xfId="22715"/>
    <cellStyle name="Примечание 7 16 7" xfId="24219"/>
    <cellStyle name="Примечание 7 16 8" xfId="26017"/>
    <cellStyle name="Примечание 7 16 9" xfId="35892"/>
    <cellStyle name="Примечание 7 17" xfId="12223"/>
    <cellStyle name="Примечание 7 17 2" xfId="15121"/>
    <cellStyle name="Примечание 7 17 2 2" xfId="20404"/>
    <cellStyle name="Примечание 7 17 2 2 2" xfId="23259"/>
    <cellStyle name="Примечание 7 17 2 2 3" xfId="34214"/>
    <cellStyle name="Примечание 7 17 2 2 4" xfId="44082"/>
    <cellStyle name="Примечание 7 17 2 3" xfId="23675"/>
    <cellStyle name="Примечание 7 17 2 4" xfId="28941"/>
    <cellStyle name="Примечание 7 17 2 5" xfId="38816"/>
    <cellStyle name="Примечание 7 17 3" xfId="14479"/>
    <cellStyle name="Примечание 7 17 3 2" xfId="16953"/>
    <cellStyle name="Примечание 7 17 3 2 2" xfId="30767"/>
    <cellStyle name="Примечание 7 17 3 2 3" xfId="40642"/>
    <cellStyle name="Примечание 7 17 3 3" xfId="19762"/>
    <cellStyle name="Примечание 7 17 3 3 2" xfId="33572"/>
    <cellStyle name="Примечание 7 17 3 3 3" xfId="43440"/>
    <cellStyle name="Примечание 7 17 3 4" xfId="28299"/>
    <cellStyle name="Примечание 7 17 3 5" xfId="38174"/>
    <cellStyle name="Примечание 7 17 4" xfId="21602"/>
    <cellStyle name="Примечание 7 17 5" xfId="21938"/>
    <cellStyle name="Примечание 7 17 6" xfId="22795"/>
    <cellStyle name="Примечание 7 17 7" xfId="24299"/>
    <cellStyle name="Примечание 7 17 8" xfId="26097"/>
    <cellStyle name="Примечание 7 17 9" xfId="35972"/>
    <cellStyle name="Примечание 7 18" xfId="11833"/>
    <cellStyle name="Примечание 7 18 2" xfId="14731"/>
    <cellStyle name="Примечание 7 18 2 2" xfId="20014"/>
    <cellStyle name="Примечание 7 18 2 2 2" xfId="33824"/>
    <cellStyle name="Примечание 7 18 2 2 3" xfId="43692"/>
    <cellStyle name="Примечание 7 18 2 3" xfId="28551"/>
    <cellStyle name="Примечание 7 18 2 4" xfId="38426"/>
    <cellStyle name="Примечание 7 18 3" xfId="14258"/>
    <cellStyle name="Примечание 7 18 3 2" xfId="16901"/>
    <cellStyle name="Примечание 7 18 3 2 2" xfId="30716"/>
    <cellStyle name="Примечание 7 18 3 2 3" xfId="40591"/>
    <cellStyle name="Примечание 7 18 3 3" xfId="19541"/>
    <cellStyle name="Примечание 7 18 3 3 2" xfId="33351"/>
    <cellStyle name="Примечание 7 18 3 3 3" xfId="43220"/>
    <cellStyle name="Примечание 7 18 3 4" xfId="28079"/>
    <cellStyle name="Примечание 7 18 3 5" xfId="37954"/>
    <cellStyle name="Примечание 7 18 4" xfId="15964"/>
    <cellStyle name="Примечание 7 18 4 2" xfId="23264"/>
    <cellStyle name="Примечание 7 18 4 3" xfId="29783"/>
    <cellStyle name="Примечание 7 18 4 4" xfId="39658"/>
    <cellStyle name="Примечание 7 18 5" xfId="25707"/>
    <cellStyle name="Примечание 7 18 6" xfId="35582"/>
    <cellStyle name="Примечание 7 19" xfId="13558"/>
    <cellStyle name="Примечание 7 19 2" xfId="16256"/>
    <cellStyle name="Примечание 7 19 2 2" xfId="30073"/>
    <cellStyle name="Примечание 7 19 2 3" xfId="39948"/>
    <cellStyle name="Примечание 7 19 3" xfId="18887"/>
    <cellStyle name="Примечание 7 19 3 2" xfId="32697"/>
    <cellStyle name="Примечание 7 19 3 3" xfId="42568"/>
    <cellStyle name="Примечание 7 19 4" xfId="27427"/>
    <cellStyle name="Примечание 7 19 5" xfId="37302"/>
    <cellStyle name="Примечание 7 2" xfId="2232"/>
    <cellStyle name="Примечание 7 2 10" xfId="2874"/>
    <cellStyle name="Примечание 7 2 10 2" xfId="12846"/>
    <cellStyle name="Примечание 7 2 10 2 2" xfId="18178"/>
    <cellStyle name="Примечание 7 2 10 2 2 2" xfId="31988"/>
    <cellStyle name="Примечание 7 2 10 2 2 3" xfId="41861"/>
    <cellStyle name="Примечание 7 2 10 2 3" xfId="26720"/>
    <cellStyle name="Примечание 7 2 10 2 4" xfId="36595"/>
    <cellStyle name="Примечание 7 2 10 3" xfId="14069"/>
    <cellStyle name="Примечание 7 2 10 3 2" xfId="16712"/>
    <cellStyle name="Примечание 7 2 10 3 2 2" xfId="30527"/>
    <cellStyle name="Примечание 7 2 10 3 2 3" xfId="40402"/>
    <cellStyle name="Примечание 7 2 10 3 3" xfId="19352"/>
    <cellStyle name="Примечание 7 2 10 3 3 2" xfId="33162"/>
    <cellStyle name="Примечание 7 2 10 3 3 3" xfId="43031"/>
    <cellStyle name="Примечание 7 2 10 3 4" xfId="27890"/>
    <cellStyle name="Примечание 7 2 10 3 5" xfId="37765"/>
    <cellStyle name="Примечание 7 2 10 4" xfId="15567"/>
    <cellStyle name="Примечание 7 2 10 4 2" xfId="29386"/>
    <cellStyle name="Примечание 7 2 10 4 3" xfId="39261"/>
    <cellStyle name="Примечание 7 2 10 5" xfId="25294"/>
    <cellStyle name="Примечание 7 2 10 6" xfId="35169"/>
    <cellStyle name="Примечание 7 2 11" xfId="2922"/>
    <cellStyle name="Примечание 7 2 11 2" xfId="12892"/>
    <cellStyle name="Примечание 7 2 11 2 2" xfId="18224"/>
    <cellStyle name="Примечание 7 2 11 2 2 2" xfId="32034"/>
    <cellStyle name="Примечание 7 2 11 2 2 3" xfId="41907"/>
    <cellStyle name="Примечание 7 2 11 2 3" xfId="26766"/>
    <cellStyle name="Примечание 7 2 11 2 4" xfId="36641"/>
    <cellStyle name="Примечание 7 2 11 3" xfId="14115"/>
    <cellStyle name="Примечание 7 2 11 3 2" xfId="16758"/>
    <cellStyle name="Примечание 7 2 11 3 2 2" xfId="30573"/>
    <cellStyle name="Примечание 7 2 11 3 2 3" xfId="40448"/>
    <cellStyle name="Примечание 7 2 11 3 3" xfId="19398"/>
    <cellStyle name="Примечание 7 2 11 3 3 2" xfId="33208"/>
    <cellStyle name="Примечание 7 2 11 3 3 3" xfId="43077"/>
    <cellStyle name="Примечание 7 2 11 3 4" xfId="27936"/>
    <cellStyle name="Примечание 7 2 11 3 5" xfId="37811"/>
    <cellStyle name="Примечание 7 2 11 4" xfId="15613"/>
    <cellStyle name="Примечание 7 2 11 4 2" xfId="29432"/>
    <cellStyle name="Примечание 7 2 11 4 3" xfId="39307"/>
    <cellStyle name="Примечание 7 2 11 5" xfId="25340"/>
    <cellStyle name="Примечание 7 2 11 6" xfId="35215"/>
    <cellStyle name="Примечание 7 2 12" xfId="2976"/>
    <cellStyle name="Примечание 7 2 12 2" xfId="12945"/>
    <cellStyle name="Примечание 7 2 12 2 2" xfId="18277"/>
    <cellStyle name="Примечание 7 2 12 2 2 2" xfId="32087"/>
    <cellStyle name="Примечание 7 2 12 2 2 3" xfId="41960"/>
    <cellStyle name="Примечание 7 2 12 2 3" xfId="26819"/>
    <cellStyle name="Примечание 7 2 12 2 4" xfId="36694"/>
    <cellStyle name="Примечание 7 2 12 3" xfId="14168"/>
    <cellStyle name="Примечание 7 2 12 3 2" xfId="16811"/>
    <cellStyle name="Примечание 7 2 12 3 2 2" xfId="30626"/>
    <cellStyle name="Примечание 7 2 12 3 2 3" xfId="40501"/>
    <cellStyle name="Примечание 7 2 12 3 3" xfId="19451"/>
    <cellStyle name="Примечание 7 2 12 3 3 2" xfId="33261"/>
    <cellStyle name="Примечание 7 2 12 3 3 3" xfId="43130"/>
    <cellStyle name="Примечание 7 2 12 3 4" xfId="27989"/>
    <cellStyle name="Примечание 7 2 12 3 5" xfId="37864"/>
    <cellStyle name="Примечание 7 2 12 4" xfId="15666"/>
    <cellStyle name="Примечание 7 2 12 4 2" xfId="29485"/>
    <cellStyle name="Примечание 7 2 12 4 3" xfId="39360"/>
    <cellStyle name="Примечание 7 2 12 5" xfId="25393"/>
    <cellStyle name="Примечание 7 2 12 6" xfId="35268"/>
    <cellStyle name="Примечание 7 2 13" xfId="3025"/>
    <cellStyle name="Примечание 7 2 13 2" xfId="12992"/>
    <cellStyle name="Примечание 7 2 13 2 2" xfId="18324"/>
    <cellStyle name="Примечание 7 2 13 2 2 2" xfId="32134"/>
    <cellStyle name="Примечание 7 2 13 2 2 3" xfId="42007"/>
    <cellStyle name="Примечание 7 2 13 2 3" xfId="26866"/>
    <cellStyle name="Примечание 7 2 13 2 4" xfId="36741"/>
    <cellStyle name="Примечание 7 2 13 3" xfId="14215"/>
    <cellStyle name="Примечание 7 2 13 3 2" xfId="16858"/>
    <cellStyle name="Примечание 7 2 13 3 2 2" xfId="30673"/>
    <cellStyle name="Примечание 7 2 13 3 2 3" xfId="40548"/>
    <cellStyle name="Примечание 7 2 13 3 3" xfId="19498"/>
    <cellStyle name="Примечание 7 2 13 3 3 2" xfId="33308"/>
    <cellStyle name="Примечание 7 2 13 3 3 3" xfId="43177"/>
    <cellStyle name="Примечание 7 2 13 3 4" xfId="28036"/>
    <cellStyle name="Примечание 7 2 13 3 5" xfId="37911"/>
    <cellStyle name="Примечание 7 2 13 4" xfId="15699"/>
    <cellStyle name="Примечание 7 2 13 4 2" xfId="29518"/>
    <cellStyle name="Примечание 7 2 13 4 3" xfId="39393"/>
    <cellStyle name="Примечание 7 2 13 5" xfId="25440"/>
    <cellStyle name="Примечание 7 2 13 6" xfId="35315"/>
    <cellStyle name="Примечание 7 2 14" xfId="11834"/>
    <cellStyle name="Примечание 7 2 14 2" xfId="14732"/>
    <cellStyle name="Примечание 7 2 14 2 2" xfId="20015"/>
    <cellStyle name="Примечание 7 2 14 2 2 2" xfId="33825"/>
    <cellStyle name="Примечание 7 2 14 2 2 3" xfId="43693"/>
    <cellStyle name="Примечание 7 2 14 2 3" xfId="28552"/>
    <cellStyle name="Примечание 7 2 14 2 4" xfId="38427"/>
    <cellStyle name="Примечание 7 2 14 3" xfId="13048"/>
    <cellStyle name="Примечание 7 2 14 3 2" xfId="15999"/>
    <cellStyle name="Примечание 7 2 14 3 2 2" xfId="29818"/>
    <cellStyle name="Примечание 7 2 14 3 2 3" xfId="39693"/>
    <cellStyle name="Примечание 7 2 14 3 3" xfId="18380"/>
    <cellStyle name="Примечание 7 2 14 3 3 2" xfId="32190"/>
    <cellStyle name="Примечание 7 2 14 3 3 3" xfId="42063"/>
    <cellStyle name="Примечание 7 2 14 3 4" xfId="26922"/>
    <cellStyle name="Примечание 7 2 14 3 5" xfId="36797"/>
    <cellStyle name="Примечание 7 2 14 4" xfId="15965"/>
    <cellStyle name="Примечание 7 2 14 4 2" xfId="24583"/>
    <cellStyle name="Примечание 7 2 14 4 3" xfId="29784"/>
    <cellStyle name="Примечание 7 2 14 4 4" xfId="39659"/>
    <cellStyle name="Примечание 7 2 14 5" xfId="25708"/>
    <cellStyle name="Примечание 7 2 14 6" xfId="35583"/>
    <cellStyle name="Примечание 7 2 15" xfId="12398"/>
    <cellStyle name="Примечание 7 2 15 2" xfId="17730"/>
    <cellStyle name="Примечание 7 2 15 2 2" xfId="31540"/>
    <cellStyle name="Примечание 7 2 15 2 3" xfId="41413"/>
    <cellStyle name="Примечание 7 2 15 3" xfId="26272"/>
    <cellStyle name="Примечание 7 2 15 4" xfId="36147"/>
    <cellStyle name="Примечание 7 2 16" xfId="13559"/>
    <cellStyle name="Примечание 7 2 16 2" xfId="16257"/>
    <cellStyle name="Примечание 7 2 16 2 2" xfId="30074"/>
    <cellStyle name="Примечание 7 2 16 2 3" xfId="39949"/>
    <cellStyle name="Примечание 7 2 16 3" xfId="18888"/>
    <cellStyle name="Примечание 7 2 16 3 2" xfId="32698"/>
    <cellStyle name="Примечание 7 2 16 3 3" xfId="42569"/>
    <cellStyle name="Примечание 7 2 16 4" xfId="27428"/>
    <cellStyle name="Примечание 7 2 16 5" xfId="37303"/>
    <cellStyle name="Примечание 7 2 17" xfId="13509"/>
    <cellStyle name="Примечание 7 2 17 2" xfId="18838"/>
    <cellStyle name="Примечание 7 2 17 2 2" xfId="32648"/>
    <cellStyle name="Примечание 7 2 17 2 3" xfId="42519"/>
    <cellStyle name="Примечание 7 2 17 3" xfId="27378"/>
    <cellStyle name="Примечание 7 2 17 4" xfId="37253"/>
    <cellStyle name="Примечание 7 2 18" xfId="17410"/>
    <cellStyle name="Примечание 7 2 18 2" xfId="31221"/>
    <cellStyle name="Примечание 7 2 18 3" xfId="41095"/>
    <cellStyle name="Примечание 7 2 19" xfId="24846"/>
    <cellStyle name="Примечание 7 2 2" xfId="2605"/>
    <cellStyle name="Примечание 7 2 2 2" xfId="10906"/>
    <cellStyle name="Примечание 7 2 2 3" xfId="12591"/>
    <cellStyle name="Примечание 7 2 2 3 2" xfId="17923"/>
    <cellStyle name="Примечание 7 2 2 3 2 2" xfId="31733"/>
    <cellStyle name="Примечание 7 2 2 3 2 3" xfId="41606"/>
    <cellStyle name="Примечание 7 2 2 3 3" xfId="26465"/>
    <cellStyle name="Примечание 7 2 2 3 4" xfId="36340"/>
    <cellStyle name="Примечание 7 2 2 4" xfId="13813"/>
    <cellStyle name="Примечание 7 2 2 4 2" xfId="16456"/>
    <cellStyle name="Примечание 7 2 2 4 2 2" xfId="30272"/>
    <cellStyle name="Примечание 7 2 2 4 2 3" xfId="40147"/>
    <cellStyle name="Примечание 7 2 2 4 3" xfId="19096"/>
    <cellStyle name="Примечание 7 2 2 4 3 2" xfId="32906"/>
    <cellStyle name="Примечание 7 2 2 4 3 3" xfId="42776"/>
    <cellStyle name="Примечание 7 2 2 4 4" xfId="27635"/>
    <cellStyle name="Примечание 7 2 2 4 5" xfId="37510"/>
    <cellStyle name="Примечание 7 2 2 5" xfId="15311"/>
    <cellStyle name="Примечание 7 2 2 5 2" xfId="29131"/>
    <cellStyle name="Примечание 7 2 2 5 3" xfId="39006"/>
    <cellStyle name="Примечание 7 2 2 6" xfId="25039"/>
    <cellStyle name="Примечание 7 2 2 7" xfId="34914"/>
    <cellStyle name="Примечание 7 2 20" xfId="34461"/>
    <cellStyle name="Примечание 7 2 21" xfId="34711"/>
    <cellStyle name="Примечание 7 2 3" xfId="2435"/>
    <cellStyle name="Примечание 7 2 3 2" xfId="12440"/>
    <cellStyle name="Примечание 7 2 3 2 2" xfId="17772"/>
    <cellStyle name="Примечание 7 2 3 2 2 2" xfId="31582"/>
    <cellStyle name="Примечание 7 2 3 2 2 3" xfId="41455"/>
    <cellStyle name="Примечание 7 2 3 2 3" xfId="26314"/>
    <cellStyle name="Примечание 7 2 3 2 4" xfId="36189"/>
    <cellStyle name="Примечание 7 2 3 3" xfId="13662"/>
    <cellStyle name="Примечание 7 2 3 3 2" xfId="16305"/>
    <cellStyle name="Примечание 7 2 3 3 2 2" xfId="30121"/>
    <cellStyle name="Примечание 7 2 3 3 2 3" xfId="39996"/>
    <cellStyle name="Примечание 7 2 3 3 3" xfId="18945"/>
    <cellStyle name="Примечание 7 2 3 3 3 2" xfId="32755"/>
    <cellStyle name="Примечание 7 2 3 3 3 3" xfId="42625"/>
    <cellStyle name="Примечание 7 2 3 3 4" xfId="27484"/>
    <cellStyle name="Примечание 7 2 3 3 5" xfId="37359"/>
    <cellStyle name="Примечание 7 2 3 4" xfId="15160"/>
    <cellStyle name="Примечание 7 2 3 4 2" xfId="28980"/>
    <cellStyle name="Примечание 7 2 3 4 3" xfId="38855"/>
    <cellStyle name="Примечание 7 2 3 5" xfId="24888"/>
    <cellStyle name="Примечание 7 2 3 6" xfId="34763"/>
    <cellStyle name="Примечание 7 2 4" xfId="2540"/>
    <cellStyle name="Примечание 7 2 4 2" xfId="12526"/>
    <cellStyle name="Примечание 7 2 4 2 2" xfId="17858"/>
    <cellStyle name="Примечание 7 2 4 2 2 2" xfId="31668"/>
    <cellStyle name="Примечание 7 2 4 2 2 3" xfId="41541"/>
    <cellStyle name="Примечание 7 2 4 2 3" xfId="26400"/>
    <cellStyle name="Примечание 7 2 4 2 4" xfId="36275"/>
    <cellStyle name="Примечание 7 2 4 3" xfId="13748"/>
    <cellStyle name="Примечание 7 2 4 3 2" xfId="16391"/>
    <cellStyle name="Примечание 7 2 4 3 2 2" xfId="30207"/>
    <cellStyle name="Примечание 7 2 4 3 2 3" xfId="40082"/>
    <cellStyle name="Примечание 7 2 4 3 3" xfId="19031"/>
    <cellStyle name="Примечание 7 2 4 3 3 2" xfId="32841"/>
    <cellStyle name="Примечание 7 2 4 3 3 3" xfId="42711"/>
    <cellStyle name="Примечание 7 2 4 3 4" xfId="27570"/>
    <cellStyle name="Примечание 7 2 4 3 5" xfId="37445"/>
    <cellStyle name="Примечание 7 2 4 4" xfId="15246"/>
    <cellStyle name="Примечание 7 2 4 4 2" xfId="29066"/>
    <cellStyle name="Примечание 7 2 4 4 3" xfId="38941"/>
    <cellStyle name="Примечание 7 2 4 5" xfId="24974"/>
    <cellStyle name="Примечание 7 2 4 6" xfId="34849"/>
    <cellStyle name="Примечание 7 2 5" xfId="2717"/>
    <cellStyle name="Примечание 7 2 5 2" xfId="12693"/>
    <cellStyle name="Примечание 7 2 5 2 2" xfId="18025"/>
    <cellStyle name="Примечание 7 2 5 2 2 2" xfId="31835"/>
    <cellStyle name="Примечание 7 2 5 2 2 3" xfId="41708"/>
    <cellStyle name="Примечание 7 2 5 2 3" xfId="26567"/>
    <cellStyle name="Примечание 7 2 5 2 4" xfId="36442"/>
    <cellStyle name="Примечание 7 2 5 3" xfId="13916"/>
    <cellStyle name="Примечание 7 2 5 3 2" xfId="16559"/>
    <cellStyle name="Примечание 7 2 5 3 2 2" xfId="30374"/>
    <cellStyle name="Примечание 7 2 5 3 2 3" xfId="40249"/>
    <cellStyle name="Примечание 7 2 5 3 3" xfId="19199"/>
    <cellStyle name="Примечание 7 2 5 3 3 2" xfId="33009"/>
    <cellStyle name="Примечание 7 2 5 3 3 3" xfId="42878"/>
    <cellStyle name="Примечание 7 2 5 3 4" xfId="27737"/>
    <cellStyle name="Примечание 7 2 5 3 5" xfId="37612"/>
    <cellStyle name="Примечание 7 2 5 4" xfId="15414"/>
    <cellStyle name="Примечание 7 2 5 4 2" xfId="29233"/>
    <cellStyle name="Примечание 7 2 5 4 3" xfId="39108"/>
    <cellStyle name="Примечание 7 2 5 5" xfId="25141"/>
    <cellStyle name="Примечание 7 2 5 6" xfId="35016"/>
    <cellStyle name="Примечание 7 2 6" xfId="2640"/>
    <cellStyle name="Примечание 7 2 6 2" xfId="12626"/>
    <cellStyle name="Примечание 7 2 6 2 2" xfId="17958"/>
    <cellStyle name="Примечание 7 2 6 2 2 2" xfId="31768"/>
    <cellStyle name="Примечание 7 2 6 2 2 3" xfId="41641"/>
    <cellStyle name="Примечание 7 2 6 2 3" xfId="26500"/>
    <cellStyle name="Примечание 7 2 6 2 4" xfId="36375"/>
    <cellStyle name="Примечание 7 2 6 3" xfId="13848"/>
    <cellStyle name="Примечание 7 2 6 3 2" xfId="16491"/>
    <cellStyle name="Примечание 7 2 6 3 2 2" xfId="30307"/>
    <cellStyle name="Примечание 7 2 6 3 2 3" xfId="40182"/>
    <cellStyle name="Примечание 7 2 6 3 3" xfId="19131"/>
    <cellStyle name="Примечание 7 2 6 3 3 2" xfId="32941"/>
    <cellStyle name="Примечание 7 2 6 3 3 3" xfId="42811"/>
    <cellStyle name="Примечание 7 2 6 3 4" xfId="27670"/>
    <cellStyle name="Примечание 7 2 6 3 5" xfId="37545"/>
    <cellStyle name="Примечание 7 2 6 4" xfId="15346"/>
    <cellStyle name="Примечание 7 2 6 4 2" xfId="29166"/>
    <cellStyle name="Примечание 7 2 6 4 3" xfId="39041"/>
    <cellStyle name="Примечание 7 2 6 5" xfId="25074"/>
    <cellStyle name="Примечание 7 2 6 6" xfId="34949"/>
    <cellStyle name="Примечание 7 2 7" xfId="2768"/>
    <cellStyle name="Примечание 7 2 7 2" xfId="12744"/>
    <cellStyle name="Примечание 7 2 7 2 2" xfId="18076"/>
    <cellStyle name="Примечание 7 2 7 2 2 2" xfId="31886"/>
    <cellStyle name="Примечание 7 2 7 2 2 3" xfId="41759"/>
    <cellStyle name="Примечание 7 2 7 2 3" xfId="26618"/>
    <cellStyle name="Примечание 7 2 7 2 4" xfId="36493"/>
    <cellStyle name="Примечание 7 2 7 3" xfId="13967"/>
    <cellStyle name="Примечание 7 2 7 3 2" xfId="16610"/>
    <cellStyle name="Примечание 7 2 7 3 2 2" xfId="30425"/>
    <cellStyle name="Примечание 7 2 7 3 2 3" xfId="40300"/>
    <cellStyle name="Примечание 7 2 7 3 3" xfId="19250"/>
    <cellStyle name="Примечание 7 2 7 3 3 2" xfId="33060"/>
    <cellStyle name="Примечание 7 2 7 3 3 3" xfId="42929"/>
    <cellStyle name="Примечание 7 2 7 3 4" xfId="27788"/>
    <cellStyle name="Примечание 7 2 7 3 5" xfId="37663"/>
    <cellStyle name="Примечание 7 2 7 4" xfId="15465"/>
    <cellStyle name="Примечание 7 2 7 4 2" xfId="29284"/>
    <cellStyle name="Примечание 7 2 7 4 3" xfId="39159"/>
    <cellStyle name="Примечание 7 2 7 5" xfId="25192"/>
    <cellStyle name="Примечание 7 2 7 6" xfId="35067"/>
    <cellStyle name="Примечание 7 2 8" xfId="2699"/>
    <cellStyle name="Примечание 7 2 8 2" xfId="12677"/>
    <cellStyle name="Примечание 7 2 8 2 2" xfId="18009"/>
    <cellStyle name="Примечание 7 2 8 2 2 2" xfId="31819"/>
    <cellStyle name="Примечание 7 2 8 2 2 3" xfId="41692"/>
    <cellStyle name="Примечание 7 2 8 2 3" xfId="26551"/>
    <cellStyle name="Примечание 7 2 8 2 4" xfId="36426"/>
    <cellStyle name="Примечание 7 2 8 3" xfId="13899"/>
    <cellStyle name="Примечание 7 2 8 3 2" xfId="16542"/>
    <cellStyle name="Примечание 7 2 8 3 2 2" xfId="30358"/>
    <cellStyle name="Примечание 7 2 8 3 2 3" xfId="40233"/>
    <cellStyle name="Примечание 7 2 8 3 3" xfId="19182"/>
    <cellStyle name="Примечание 7 2 8 3 3 2" xfId="32992"/>
    <cellStyle name="Примечание 7 2 8 3 3 3" xfId="42862"/>
    <cellStyle name="Примечание 7 2 8 3 4" xfId="27721"/>
    <cellStyle name="Примечание 7 2 8 3 5" xfId="37596"/>
    <cellStyle name="Примечание 7 2 8 4" xfId="15397"/>
    <cellStyle name="Примечание 7 2 8 4 2" xfId="29217"/>
    <cellStyle name="Примечание 7 2 8 4 3" xfId="39092"/>
    <cellStyle name="Примечание 7 2 8 5" xfId="25125"/>
    <cellStyle name="Примечание 7 2 8 6" xfId="35000"/>
    <cellStyle name="Примечание 7 2 9" xfId="2818"/>
    <cellStyle name="Примечание 7 2 9 2" xfId="12793"/>
    <cellStyle name="Примечание 7 2 9 2 2" xfId="18125"/>
    <cellStyle name="Примечание 7 2 9 2 2 2" xfId="31935"/>
    <cellStyle name="Примечание 7 2 9 2 2 3" xfId="41808"/>
    <cellStyle name="Примечание 7 2 9 2 3" xfId="26667"/>
    <cellStyle name="Примечание 7 2 9 2 4" xfId="36542"/>
    <cellStyle name="Примечание 7 2 9 3" xfId="14016"/>
    <cellStyle name="Примечание 7 2 9 3 2" xfId="16659"/>
    <cellStyle name="Примечание 7 2 9 3 2 2" xfId="30474"/>
    <cellStyle name="Примечание 7 2 9 3 2 3" xfId="40349"/>
    <cellStyle name="Примечание 7 2 9 3 3" xfId="19299"/>
    <cellStyle name="Примечание 7 2 9 3 3 2" xfId="33109"/>
    <cellStyle name="Примечание 7 2 9 3 3 3" xfId="42978"/>
    <cellStyle name="Примечание 7 2 9 3 4" xfId="27837"/>
    <cellStyle name="Примечание 7 2 9 3 5" xfId="37712"/>
    <cellStyle name="Примечание 7 2 9 4" xfId="15514"/>
    <cellStyle name="Примечание 7 2 9 4 2" xfId="29333"/>
    <cellStyle name="Примечание 7 2 9 4 3" xfId="39208"/>
    <cellStyle name="Примечание 7 2 9 5" xfId="25241"/>
    <cellStyle name="Примечание 7 2 9 6" xfId="35116"/>
    <cellStyle name="Примечание 7 20" xfId="13508"/>
    <cellStyle name="Примечание 7 20 2" xfId="18837"/>
    <cellStyle name="Примечание 7 20 2 2" xfId="32647"/>
    <cellStyle name="Примечание 7 20 2 3" xfId="42518"/>
    <cellStyle name="Примечание 7 20 3" xfId="27377"/>
    <cellStyle name="Примечание 7 20 4" xfId="37252"/>
    <cellStyle name="Примечание 7 21" xfId="17409"/>
    <cellStyle name="Примечание 7 21 2" xfId="21117"/>
    <cellStyle name="Примечание 7 21 3" xfId="31220"/>
    <cellStyle name="Примечание 7 21 4" xfId="41094"/>
    <cellStyle name="Примечание 7 22" xfId="23899"/>
    <cellStyle name="Примечание 7 23" xfId="24845"/>
    <cellStyle name="Примечание 7 24" xfId="34460"/>
    <cellStyle name="Примечание 7 25" xfId="34710"/>
    <cellStyle name="Примечание 7 3" xfId="2233"/>
    <cellStyle name="Примечание 7 3 10" xfId="2875"/>
    <cellStyle name="Примечание 7 3 10 2" xfId="12847"/>
    <cellStyle name="Примечание 7 3 10 2 2" xfId="18179"/>
    <cellStyle name="Примечание 7 3 10 2 2 2" xfId="31989"/>
    <cellStyle name="Примечание 7 3 10 2 2 3" xfId="41862"/>
    <cellStyle name="Примечание 7 3 10 2 3" xfId="26721"/>
    <cellStyle name="Примечание 7 3 10 2 4" xfId="36596"/>
    <cellStyle name="Примечание 7 3 10 3" xfId="14070"/>
    <cellStyle name="Примечание 7 3 10 3 2" xfId="16713"/>
    <cellStyle name="Примечание 7 3 10 3 2 2" xfId="30528"/>
    <cellStyle name="Примечание 7 3 10 3 2 3" xfId="40403"/>
    <cellStyle name="Примечание 7 3 10 3 3" xfId="19353"/>
    <cellStyle name="Примечание 7 3 10 3 3 2" xfId="33163"/>
    <cellStyle name="Примечание 7 3 10 3 3 3" xfId="43032"/>
    <cellStyle name="Примечание 7 3 10 3 4" xfId="27891"/>
    <cellStyle name="Примечание 7 3 10 3 5" xfId="37766"/>
    <cellStyle name="Примечание 7 3 10 4" xfId="15568"/>
    <cellStyle name="Примечание 7 3 10 4 2" xfId="29387"/>
    <cellStyle name="Примечание 7 3 10 4 3" xfId="39262"/>
    <cellStyle name="Примечание 7 3 10 5" xfId="25295"/>
    <cellStyle name="Примечание 7 3 10 6" xfId="35170"/>
    <cellStyle name="Примечание 7 3 11" xfId="2923"/>
    <cellStyle name="Примечание 7 3 11 2" xfId="12893"/>
    <cellStyle name="Примечание 7 3 11 2 2" xfId="18225"/>
    <cellStyle name="Примечание 7 3 11 2 2 2" xfId="32035"/>
    <cellStyle name="Примечание 7 3 11 2 2 3" xfId="41908"/>
    <cellStyle name="Примечание 7 3 11 2 3" xfId="26767"/>
    <cellStyle name="Примечание 7 3 11 2 4" xfId="36642"/>
    <cellStyle name="Примечание 7 3 11 3" xfId="14116"/>
    <cellStyle name="Примечание 7 3 11 3 2" xfId="16759"/>
    <cellStyle name="Примечание 7 3 11 3 2 2" xfId="30574"/>
    <cellStyle name="Примечание 7 3 11 3 2 3" xfId="40449"/>
    <cellStyle name="Примечание 7 3 11 3 3" xfId="19399"/>
    <cellStyle name="Примечание 7 3 11 3 3 2" xfId="33209"/>
    <cellStyle name="Примечание 7 3 11 3 3 3" xfId="43078"/>
    <cellStyle name="Примечание 7 3 11 3 4" xfId="27937"/>
    <cellStyle name="Примечание 7 3 11 3 5" xfId="37812"/>
    <cellStyle name="Примечание 7 3 11 4" xfId="15614"/>
    <cellStyle name="Примечание 7 3 11 4 2" xfId="29433"/>
    <cellStyle name="Примечание 7 3 11 4 3" xfId="39308"/>
    <cellStyle name="Примечание 7 3 11 5" xfId="25341"/>
    <cellStyle name="Примечание 7 3 11 6" xfId="35216"/>
    <cellStyle name="Примечание 7 3 12" xfId="2977"/>
    <cellStyle name="Примечание 7 3 12 2" xfId="12946"/>
    <cellStyle name="Примечание 7 3 12 2 2" xfId="18278"/>
    <cellStyle name="Примечание 7 3 12 2 2 2" xfId="32088"/>
    <cellStyle name="Примечание 7 3 12 2 2 3" xfId="41961"/>
    <cellStyle name="Примечание 7 3 12 2 3" xfId="26820"/>
    <cellStyle name="Примечание 7 3 12 2 4" xfId="36695"/>
    <cellStyle name="Примечание 7 3 12 3" xfId="14169"/>
    <cellStyle name="Примечание 7 3 12 3 2" xfId="16812"/>
    <cellStyle name="Примечание 7 3 12 3 2 2" xfId="30627"/>
    <cellStyle name="Примечание 7 3 12 3 2 3" xfId="40502"/>
    <cellStyle name="Примечание 7 3 12 3 3" xfId="19452"/>
    <cellStyle name="Примечание 7 3 12 3 3 2" xfId="33262"/>
    <cellStyle name="Примечание 7 3 12 3 3 3" xfId="43131"/>
    <cellStyle name="Примечание 7 3 12 3 4" xfId="27990"/>
    <cellStyle name="Примечание 7 3 12 3 5" xfId="37865"/>
    <cellStyle name="Примечание 7 3 12 4" xfId="15667"/>
    <cellStyle name="Примечание 7 3 12 4 2" xfId="29486"/>
    <cellStyle name="Примечание 7 3 12 4 3" xfId="39361"/>
    <cellStyle name="Примечание 7 3 12 5" xfId="25394"/>
    <cellStyle name="Примечание 7 3 12 6" xfId="35269"/>
    <cellStyle name="Примечание 7 3 13" xfId="3026"/>
    <cellStyle name="Примечание 7 3 13 2" xfId="12993"/>
    <cellStyle name="Примечание 7 3 13 2 2" xfId="18325"/>
    <cellStyle name="Примечание 7 3 13 2 2 2" xfId="32135"/>
    <cellStyle name="Примечание 7 3 13 2 2 3" xfId="42008"/>
    <cellStyle name="Примечание 7 3 13 2 3" xfId="26867"/>
    <cellStyle name="Примечание 7 3 13 2 4" xfId="36742"/>
    <cellStyle name="Примечание 7 3 13 3" xfId="14216"/>
    <cellStyle name="Примечание 7 3 13 3 2" xfId="16859"/>
    <cellStyle name="Примечание 7 3 13 3 2 2" xfId="30674"/>
    <cellStyle name="Примечание 7 3 13 3 2 3" xfId="40549"/>
    <cellStyle name="Примечание 7 3 13 3 3" xfId="19499"/>
    <cellStyle name="Примечание 7 3 13 3 3 2" xfId="33309"/>
    <cellStyle name="Примечание 7 3 13 3 3 3" xfId="43178"/>
    <cellStyle name="Примечание 7 3 13 3 4" xfId="28037"/>
    <cellStyle name="Примечание 7 3 13 3 5" xfId="37912"/>
    <cellStyle name="Примечание 7 3 13 4" xfId="15700"/>
    <cellStyle name="Примечание 7 3 13 4 2" xfId="29519"/>
    <cellStyle name="Примечание 7 3 13 4 3" xfId="39394"/>
    <cellStyle name="Примечание 7 3 13 5" xfId="25441"/>
    <cellStyle name="Примечание 7 3 13 6" xfId="35316"/>
    <cellStyle name="Примечание 7 3 14" xfId="11835"/>
    <cellStyle name="Примечание 7 3 14 2" xfId="14733"/>
    <cellStyle name="Примечание 7 3 14 2 2" xfId="20016"/>
    <cellStyle name="Примечание 7 3 14 2 2 2" xfId="33826"/>
    <cellStyle name="Примечание 7 3 14 2 2 3" xfId="43694"/>
    <cellStyle name="Примечание 7 3 14 2 3" xfId="28553"/>
    <cellStyle name="Примечание 7 3 14 2 4" xfId="38428"/>
    <cellStyle name="Примечание 7 3 14 3" xfId="14260"/>
    <cellStyle name="Примечание 7 3 14 3 2" xfId="16902"/>
    <cellStyle name="Примечание 7 3 14 3 2 2" xfId="30717"/>
    <cellStyle name="Примечание 7 3 14 3 2 3" xfId="40592"/>
    <cellStyle name="Примечание 7 3 14 3 3" xfId="19543"/>
    <cellStyle name="Примечание 7 3 14 3 3 2" xfId="33353"/>
    <cellStyle name="Примечание 7 3 14 3 3 3" xfId="43222"/>
    <cellStyle name="Примечание 7 3 14 3 4" xfId="28081"/>
    <cellStyle name="Примечание 7 3 14 3 5" xfId="37956"/>
    <cellStyle name="Примечание 7 3 14 4" xfId="15966"/>
    <cellStyle name="Примечание 7 3 14 4 2" xfId="24584"/>
    <cellStyle name="Примечание 7 3 14 4 3" xfId="29785"/>
    <cellStyle name="Примечание 7 3 14 4 4" xfId="39660"/>
    <cellStyle name="Примечание 7 3 14 5" xfId="25709"/>
    <cellStyle name="Примечание 7 3 14 6" xfId="35584"/>
    <cellStyle name="Примечание 7 3 15" xfId="12399"/>
    <cellStyle name="Примечание 7 3 15 2" xfId="17731"/>
    <cellStyle name="Примечание 7 3 15 2 2" xfId="31541"/>
    <cellStyle name="Примечание 7 3 15 2 3" xfId="41414"/>
    <cellStyle name="Примечание 7 3 15 3" xfId="26273"/>
    <cellStyle name="Примечание 7 3 15 4" xfId="36148"/>
    <cellStyle name="Примечание 7 3 16" xfId="13560"/>
    <cellStyle name="Примечание 7 3 16 2" xfId="16258"/>
    <cellStyle name="Примечание 7 3 16 2 2" xfId="30075"/>
    <cellStyle name="Примечание 7 3 16 2 3" xfId="39950"/>
    <cellStyle name="Примечание 7 3 16 3" xfId="18889"/>
    <cellStyle name="Примечание 7 3 16 3 2" xfId="32699"/>
    <cellStyle name="Примечание 7 3 16 3 3" xfId="42570"/>
    <cellStyle name="Примечание 7 3 16 4" xfId="27429"/>
    <cellStyle name="Примечание 7 3 16 5" xfId="37304"/>
    <cellStyle name="Примечание 7 3 17" xfId="13510"/>
    <cellStyle name="Примечание 7 3 17 2" xfId="18839"/>
    <cellStyle name="Примечание 7 3 17 2 2" xfId="32649"/>
    <cellStyle name="Примечание 7 3 17 2 3" xfId="42520"/>
    <cellStyle name="Примечание 7 3 17 3" xfId="27379"/>
    <cellStyle name="Примечание 7 3 17 4" xfId="37254"/>
    <cellStyle name="Примечание 7 3 18" xfId="17411"/>
    <cellStyle name="Примечание 7 3 18 2" xfId="31222"/>
    <cellStyle name="Примечание 7 3 18 3" xfId="41096"/>
    <cellStyle name="Примечание 7 3 19" xfId="24847"/>
    <cellStyle name="Примечание 7 3 2" xfId="2606"/>
    <cellStyle name="Примечание 7 3 2 2" xfId="10907"/>
    <cellStyle name="Примечание 7 3 2 3" xfId="12592"/>
    <cellStyle name="Примечание 7 3 2 3 2" xfId="17924"/>
    <cellStyle name="Примечание 7 3 2 3 2 2" xfId="31734"/>
    <cellStyle name="Примечание 7 3 2 3 2 3" xfId="41607"/>
    <cellStyle name="Примечание 7 3 2 3 3" xfId="26466"/>
    <cellStyle name="Примечание 7 3 2 3 4" xfId="36341"/>
    <cellStyle name="Примечание 7 3 2 4" xfId="13814"/>
    <cellStyle name="Примечание 7 3 2 4 2" xfId="16457"/>
    <cellStyle name="Примечание 7 3 2 4 2 2" xfId="30273"/>
    <cellStyle name="Примечание 7 3 2 4 2 3" xfId="40148"/>
    <cellStyle name="Примечание 7 3 2 4 3" xfId="19097"/>
    <cellStyle name="Примечание 7 3 2 4 3 2" xfId="32907"/>
    <cellStyle name="Примечание 7 3 2 4 3 3" xfId="42777"/>
    <cellStyle name="Примечание 7 3 2 4 4" xfId="27636"/>
    <cellStyle name="Примечание 7 3 2 4 5" xfId="37511"/>
    <cellStyle name="Примечание 7 3 2 5" xfId="15312"/>
    <cellStyle name="Примечание 7 3 2 5 2" xfId="29132"/>
    <cellStyle name="Примечание 7 3 2 5 3" xfId="39007"/>
    <cellStyle name="Примечание 7 3 2 6" xfId="25040"/>
    <cellStyle name="Примечание 7 3 2 7" xfId="34915"/>
    <cellStyle name="Примечание 7 3 20" xfId="34462"/>
    <cellStyle name="Примечание 7 3 21" xfId="34712"/>
    <cellStyle name="Примечание 7 3 3" xfId="2434"/>
    <cellStyle name="Примечание 7 3 3 2" xfId="12439"/>
    <cellStyle name="Примечание 7 3 3 2 2" xfId="17771"/>
    <cellStyle name="Примечание 7 3 3 2 2 2" xfId="31581"/>
    <cellStyle name="Примечание 7 3 3 2 2 3" xfId="41454"/>
    <cellStyle name="Примечание 7 3 3 2 3" xfId="26313"/>
    <cellStyle name="Примечание 7 3 3 2 4" xfId="36188"/>
    <cellStyle name="Примечание 7 3 3 3" xfId="13661"/>
    <cellStyle name="Примечание 7 3 3 3 2" xfId="16304"/>
    <cellStyle name="Примечание 7 3 3 3 2 2" xfId="30120"/>
    <cellStyle name="Примечание 7 3 3 3 2 3" xfId="39995"/>
    <cellStyle name="Примечание 7 3 3 3 3" xfId="18944"/>
    <cellStyle name="Примечание 7 3 3 3 3 2" xfId="32754"/>
    <cellStyle name="Примечание 7 3 3 3 3 3" xfId="42624"/>
    <cellStyle name="Примечание 7 3 3 3 4" xfId="27483"/>
    <cellStyle name="Примечание 7 3 3 3 5" xfId="37358"/>
    <cellStyle name="Примечание 7 3 3 4" xfId="15159"/>
    <cellStyle name="Примечание 7 3 3 4 2" xfId="28979"/>
    <cellStyle name="Примечание 7 3 3 4 3" xfId="38854"/>
    <cellStyle name="Примечание 7 3 3 5" xfId="24887"/>
    <cellStyle name="Примечание 7 3 3 6" xfId="34762"/>
    <cellStyle name="Примечание 7 3 4" xfId="2541"/>
    <cellStyle name="Примечание 7 3 4 2" xfId="12527"/>
    <cellStyle name="Примечание 7 3 4 2 2" xfId="17859"/>
    <cellStyle name="Примечание 7 3 4 2 2 2" xfId="31669"/>
    <cellStyle name="Примечание 7 3 4 2 2 3" xfId="41542"/>
    <cellStyle name="Примечание 7 3 4 2 3" xfId="26401"/>
    <cellStyle name="Примечание 7 3 4 2 4" xfId="36276"/>
    <cellStyle name="Примечание 7 3 4 3" xfId="13749"/>
    <cellStyle name="Примечание 7 3 4 3 2" xfId="16392"/>
    <cellStyle name="Примечание 7 3 4 3 2 2" xfId="30208"/>
    <cellStyle name="Примечание 7 3 4 3 2 3" xfId="40083"/>
    <cellStyle name="Примечание 7 3 4 3 3" xfId="19032"/>
    <cellStyle name="Примечание 7 3 4 3 3 2" xfId="32842"/>
    <cellStyle name="Примечание 7 3 4 3 3 3" xfId="42712"/>
    <cellStyle name="Примечание 7 3 4 3 4" xfId="27571"/>
    <cellStyle name="Примечание 7 3 4 3 5" xfId="37446"/>
    <cellStyle name="Примечание 7 3 4 4" xfId="15247"/>
    <cellStyle name="Примечание 7 3 4 4 2" xfId="29067"/>
    <cellStyle name="Примечание 7 3 4 4 3" xfId="38942"/>
    <cellStyle name="Примечание 7 3 4 5" xfId="24975"/>
    <cellStyle name="Примечание 7 3 4 6" xfId="34850"/>
    <cellStyle name="Примечание 7 3 5" xfId="2718"/>
    <cellStyle name="Примечание 7 3 5 2" xfId="12694"/>
    <cellStyle name="Примечание 7 3 5 2 2" xfId="18026"/>
    <cellStyle name="Примечание 7 3 5 2 2 2" xfId="31836"/>
    <cellStyle name="Примечание 7 3 5 2 2 3" xfId="41709"/>
    <cellStyle name="Примечание 7 3 5 2 3" xfId="26568"/>
    <cellStyle name="Примечание 7 3 5 2 4" xfId="36443"/>
    <cellStyle name="Примечание 7 3 5 3" xfId="13917"/>
    <cellStyle name="Примечание 7 3 5 3 2" xfId="16560"/>
    <cellStyle name="Примечание 7 3 5 3 2 2" xfId="30375"/>
    <cellStyle name="Примечание 7 3 5 3 2 3" xfId="40250"/>
    <cellStyle name="Примечание 7 3 5 3 3" xfId="19200"/>
    <cellStyle name="Примечание 7 3 5 3 3 2" xfId="33010"/>
    <cellStyle name="Примечание 7 3 5 3 3 3" xfId="42879"/>
    <cellStyle name="Примечание 7 3 5 3 4" xfId="27738"/>
    <cellStyle name="Примечание 7 3 5 3 5" xfId="37613"/>
    <cellStyle name="Примечание 7 3 5 4" xfId="15415"/>
    <cellStyle name="Примечание 7 3 5 4 2" xfId="29234"/>
    <cellStyle name="Примечание 7 3 5 4 3" xfId="39109"/>
    <cellStyle name="Примечание 7 3 5 5" xfId="25142"/>
    <cellStyle name="Примечание 7 3 5 6" xfId="35017"/>
    <cellStyle name="Примечание 7 3 6" xfId="2641"/>
    <cellStyle name="Примечание 7 3 6 2" xfId="12627"/>
    <cellStyle name="Примечание 7 3 6 2 2" xfId="17959"/>
    <cellStyle name="Примечание 7 3 6 2 2 2" xfId="31769"/>
    <cellStyle name="Примечание 7 3 6 2 2 3" xfId="41642"/>
    <cellStyle name="Примечание 7 3 6 2 3" xfId="26501"/>
    <cellStyle name="Примечание 7 3 6 2 4" xfId="36376"/>
    <cellStyle name="Примечание 7 3 6 3" xfId="13849"/>
    <cellStyle name="Примечание 7 3 6 3 2" xfId="16492"/>
    <cellStyle name="Примечание 7 3 6 3 2 2" xfId="30308"/>
    <cellStyle name="Примечание 7 3 6 3 2 3" xfId="40183"/>
    <cellStyle name="Примечание 7 3 6 3 3" xfId="19132"/>
    <cellStyle name="Примечание 7 3 6 3 3 2" xfId="32942"/>
    <cellStyle name="Примечание 7 3 6 3 3 3" xfId="42812"/>
    <cellStyle name="Примечание 7 3 6 3 4" xfId="27671"/>
    <cellStyle name="Примечание 7 3 6 3 5" xfId="37546"/>
    <cellStyle name="Примечание 7 3 6 4" xfId="15347"/>
    <cellStyle name="Примечание 7 3 6 4 2" xfId="29167"/>
    <cellStyle name="Примечание 7 3 6 4 3" xfId="39042"/>
    <cellStyle name="Примечание 7 3 6 5" xfId="25075"/>
    <cellStyle name="Примечание 7 3 6 6" xfId="34950"/>
    <cellStyle name="Примечание 7 3 7" xfId="2769"/>
    <cellStyle name="Примечание 7 3 7 2" xfId="12745"/>
    <cellStyle name="Примечание 7 3 7 2 2" xfId="18077"/>
    <cellStyle name="Примечание 7 3 7 2 2 2" xfId="31887"/>
    <cellStyle name="Примечание 7 3 7 2 2 3" xfId="41760"/>
    <cellStyle name="Примечание 7 3 7 2 3" xfId="26619"/>
    <cellStyle name="Примечание 7 3 7 2 4" xfId="36494"/>
    <cellStyle name="Примечание 7 3 7 3" xfId="13968"/>
    <cellStyle name="Примечание 7 3 7 3 2" xfId="16611"/>
    <cellStyle name="Примечание 7 3 7 3 2 2" xfId="30426"/>
    <cellStyle name="Примечание 7 3 7 3 2 3" xfId="40301"/>
    <cellStyle name="Примечание 7 3 7 3 3" xfId="19251"/>
    <cellStyle name="Примечание 7 3 7 3 3 2" xfId="33061"/>
    <cellStyle name="Примечание 7 3 7 3 3 3" xfId="42930"/>
    <cellStyle name="Примечание 7 3 7 3 4" xfId="27789"/>
    <cellStyle name="Примечание 7 3 7 3 5" xfId="37664"/>
    <cellStyle name="Примечание 7 3 7 4" xfId="15466"/>
    <cellStyle name="Примечание 7 3 7 4 2" xfId="29285"/>
    <cellStyle name="Примечание 7 3 7 4 3" xfId="39160"/>
    <cellStyle name="Примечание 7 3 7 5" xfId="25193"/>
    <cellStyle name="Примечание 7 3 7 6" xfId="35068"/>
    <cellStyle name="Примечание 7 3 8" xfId="2702"/>
    <cellStyle name="Примечание 7 3 8 2" xfId="12678"/>
    <cellStyle name="Примечание 7 3 8 2 2" xfId="18010"/>
    <cellStyle name="Примечание 7 3 8 2 2 2" xfId="31820"/>
    <cellStyle name="Примечание 7 3 8 2 2 3" xfId="41693"/>
    <cellStyle name="Примечание 7 3 8 2 3" xfId="26552"/>
    <cellStyle name="Примечание 7 3 8 2 4" xfId="36427"/>
    <cellStyle name="Примечание 7 3 8 3" xfId="13901"/>
    <cellStyle name="Примечание 7 3 8 3 2" xfId="16544"/>
    <cellStyle name="Примечание 7 3 8 3 2 2" xfId="30359"/>
    <cellStyle name="Примечание 7 3 8 3 2 3" xfId="40234"/>
    <cellStyle name="Примечание 7 3 8 3 3" xfId="19184"/>
    <cellStyle name="Примечание 7 3 8 3 3 2" xfId="32994"/>
    <cellStyle name="Примечание 7 3 8 3 3 3" xfId="42863"/>
    <cellStyle name="Примечание 7 3 8 3 4" xfId="27722"/>
    <cellStyle name="Примечание 7 3 8 3 5" xfId="37597"/>
    <cellStyle name="Примечание 7 3 8 4" xfId="15399"/>
    <cellStyle name="Примечание 7 3 8 4 2" xfId="29218"/>
    <cellStyle name="Примечание 7 3 8 4 3" xfId="39093"/>
    <cellStyle name="Примечание 7 3 8 5" xfId="25126"/>
    <cellStyle name="Примечание 7 3 8 6" xfId="35001"/>
    <cellStyle name="Примечание 7 3 9" xfId="2819"/>
    <cellStyle name="Примечание 7 3 9 2" xfId="12794"/>
    <cellStyle name="Примечание 7 3 9 2 2" xfId="18126"/>
    <cellStyle name="Примечание 7 3 9 2 2 2" xfId="31936"/>
    <cellStyle name="Примечание 7 3 9 2 2 3" xfId="41809"/>
    <cellStyle name="Примечание 7 3 9 2 3" xfId="26668"/>
    <cellStyle name="Примечание 7 3 9 2 4" xfId="36543"/>
    <cellStyle name="Примечание 7 3 9 3" xfId="14017"/>
    <cellStyle name="Примечание 7 3 9 3 2" xfId="16660"/>
    <cellStyle name="Примечание 7 3 9 3 2 2" xfId="30475"/>
    <cellStyle name="Примечание 7 3 9 3 2 3" xfId="40350"/>
    <cellStyle name="Примечание 7 3 9 3 3" xfId="19300"/>
    <cellStyle name="Примечание 7 3 9 3 3 2" xfId="33110"/>
    <cellStyle name="Примечание 7 3 9 3 3 3" xfId="42979"/>
    <cellStyle name="Примечание 7 3 9 3 4" xfId="27838"/>
    <cellStyle name="Примечание 7 3 9 3 5" xfId="37713"/>
    <cellStyle name="Примечание 7 3 9 4" xfId="15515"/>
    <cellStyle name="Примечание 7 3 9 4 2" xfId="29334"/>
    <cellStyle name="Примечание 7 3 9 4 3" xfId="39209"/>
    <cellStyle name="Примечание 7 3 9 5" xfId="25242"/>
    <cellStyle name="Примечание 7 3 9 6" xfId="35117"/>
    <cellStyle name="Примечание 7 4" xfId="2604"/>
    <cellStyle name="Примечание 7 4 2" xfId="10900"/>
    <cellStyle name="Примечание 7 4 3" xfId="12590"/>
    <cellStyle name="Примечание 7 4 3 2" xfId="17922"/>
    <cellStyle name="Примечание 7 4 3 2 2" xfId="31732"/>
    <cellStyle name="Примечание 7 4 3 2 3" xfId="41605"/>
    <cellStyle name="Примечание 7 4 3 3" xfId="26464"/>
    <cellStyle name="Примечание 7 4 3 4" xfId="36339"/>
    <cellStyle name="Примечание 7 4 4" xfId="13812"/>
    <cellStyle name="Примечание 7 4 4 2" xfId="16455"/>
    <cellStyle name="Примечание 7 4 4 2 2" xfId="30271"/>
    <cellStyle name="Примечание 7 4 4 2 3" xfId="40146"/>
    <cellStyle name="Примечание 7 4 4 3" xfId="19095"/>
    <cellStyle name="Примечание 7 4 4 3 2" xfId="32905"/>
    <cellStyle name="Примечание 7 4 4 3 3" xfId="42775"/>
    <cellStyle name="Примечание 7 4 4 4" xfId="27634"/>
    <cellStyle name="Примечание 7 4 4 5" xfId="37509"/>
    <cellStyle name="Примечание 7 4 5" xfId="15310"/>
    <cellStyle name="Примечание 7 4 5 2" xfId="29130"/>
    <cellStyle name="Примечание 7 4 5 3" xfId="39005"/>
    <cellStyle name="Примечание 7 4 6" xfId="25038"/>
    <cellStyle name="Примечание 7 4 7" xfId="34913"/>
    <cellStyle name="Примечание 7 5" xfId="2436"/>
    <cellStyle name="Примечание 7 5 2" xfId="10908"/>
    <cellStyle name="Примечание 7 5 3" xfId="12441"/>
    <cellStyle name="Примечание 7 5 3 2" xfId="17773"/>
    <cellStyle name="Примечание 7 5 3 2 2" xfId="31583"/>
    <cellStyle name="Примечание 7 5 3 2 3" xfId="41456"/>
    <cellStyle name="Примечание 7 5 3 3" xfId="26315"/>
    <cellStyle name="Примечание 7 5 3 4" xfId="36190"/>
    <cellStyle name="Примечание 7 5 4" xfId="13663"/>
    <cellStyle name="Примечание 7 5 4 2" xfId="16306"/>
    <cellStyle name="Примечание 7 5 4 2 2" xfId="30122"/>
    <cellStyle name="Примечание 7 5 4 2 3" xfId="39997"/>
    <cellStyle name="Примечание 7 5 4 3" xfId="18946"/>
    <cellStyle name="Примечание 7 5 4 3 2" xfId="32756"/>
    <cellStyle name="Примечание 7 5 4 3 3" xfId="42626"/>
    <cellStyle name="Примечание 7 5 4 4" xfId="27485"/>
    <cellStyle name="Примечание 7 5 4 5" xfId="37360"/>
    <cellStyle name="Примечание 7 5 5" xfId="15161"/>
    <cellStyle name="Примечание 7 5 5 2" xfId="28981"/>
    <cellStyle name="Примечание 7 5 5 3" xfId="38856"/>
    <cellStyle name="Примечание 7 5 6" xfId="24889"/>
    <cellStyle name="Примечание 7 5 7" xfId="34764"/>
    <cellStyle name="Примечание 7 6" xfId="2539"/>
    <cellStyle name="Примечание 7 6 2" xfId="10909"/>
    <cellStyle name="Примечание 7 6 3" xfId="12525"/>
    <cellStyle name="Примечание 7 6 3 2" xfId="17857"/>
    <cellStyle name="Примечание 7 6 3 2 2" xfId="31667"/>
    <cellStyle name="Примечание 7 6 3 2 3" xfId="41540"/>
    <cellStyle name="Примечание 7 6 3 3" xfId="26399"/>
    <cellStyle name="Примечание 7 6 3 4" xfId="36274"/>
    <cellStyle name="Примечание 7 6 4" xfId="13747"/>
    <cellStyle name="Примечание 7 6 4 2" xfId="16390"/>
    <cellStyle name="Примечание 7 6 4 2 2" xfId="30206"/>
    <cellStyle name="Примечание 7 6 4 2 3" xfId="40081"/>
    <cellStyle name="Примечание 7 6 4 3" xfId="19030"/>
    <cellStyle name="Примечание 7 6 4 3 2" xfId="32840"/>
    <cellStyle name="Примечание 7 6 4 3 3" xfId="42710"/>
    <cellStyle name="Примечание 7 6 4 4" xfId="27569"/>
    <cellStyle name="Примечание 7 6 4 5" xfId="37444"/>
    <cellStyle name="Примечание 7 6 5" xfId="15245"/>
    <cellStyle name="Примечание 7 6 5 2" xfId="29065"/>
    <cellStyle name="Примечание 7 6 5 3" xfId="38940"/>
    <cellStyle name="Примечание 7 6 6" xfId="24973"/>
    <cellStyle name="Примечание 7 6 7" xfId="34848"/>
    <cellStyle name="Примечание 7 7" xfId="2716"/>
    <cellStyle name="Примечание 7 7 2" xfId="10910"/>
    <cellStyle name="Примечание 7 7 3" xfId="12692"/>
    <cellStyle name="Примечание 7 7 3 2" xfId="18024"/>
    <cellStyle name="Примечание 7 7 3 2 2" xfId="31834"/>
    <cellStyle name="Примечание 7 7 3 2 3" xfId="41707"/>
    <cellStyle name="Примечание 7 7 3 3" xfId="26566"/>
    <cellStyle name="Примечание 7 7 3 4" xfId="36441"/>
    <cellStyle name="Примечание 7 7 4" xfId="13915"/>
    <cellStyle name="Примечание 7 7 4 2" xfId="16558"/>
    <cellStyle name="Примечание 7 7 4 2 2" xfId="30373"/>
    <cellStyle name="Примечание 7 7 4 2 3" xfId="40248"/>
    <cellStyle name="Примечание 7 7 4 3" xfId="19198"/>
    <cellStyle name="Примечание 7 7 4 3 2" xfId="33008"/>
    <cellStyle name="Примечание 7 7 4 3 3" xfId="42877"/>
    <cellStyle name="Примечание 7 7 4 4" xfId="27736"/>
    <cellStyle name="Примечание 7 7 4 5" xfId="37611"/>
    <cellStyle name="Примечание 7 7 5" xfId="15413"/>
    <cellStyle name="Примечание 7 7 5 2" xfId="29232"/>
    <cellStyle name="Примечание 7 7 5 3" xfId="39107"/>
    <cellStyle name="Примечание 7 7 6" xfId="25140"/>
    <cellStyle name="Примечание 7 7 7" xfId="35015"/>
    <cellStyle name="Примечание 7 8" xfId="2639"/>
    <cellStyle name="Примечание 7 8 2" xfId="10911"/>
    <cellStyle name="Примечание 7 8 3" xfId="12625"/>
    <cellStyle name="Примечание 7 8 3 2" xfId="17957"/>
    <cellStyle name="Примечание 7 8 3 2 2" xfId="31767"/>
    <cellStyle name="Примечание 7 8 3 2 3" xfId="41640"/>
    <cellStyle name="Примечание 7 8 3 3" xfId="26499"/>
    <cellStyle name="Примечание 7 8 3 4" xfId="36374"/>
    <cellStyle name="Примечание 7 8 4" xfId="13847"/>
    <cellStyle name="Примечание 7 8 4 2" xfId="16490"/>
    <cellStyle name="Примечание 7 8 4 2 2" xfId="30306"/>
    <cellStyle name="Примечание 7 8 4 2 3" xfId="40181"/>
    <cellStyle name="Примечание 7 8 4 3" xfId="19130"/>
    <cellStyle name="Примечание 7 8 4 3 2" xfId="32940"/>
    <cellStyle name="Примечание 7 8 4 3 3" xfId="42810"/>
    <cellStyle name="Примечание 7 8 4 4" xfId="27669"/>
    <cellStyle name="Примечание 7 8 4 5" xfId="37544"/>
    <cellStyle name="Примечание 7 8 5" xfId="15345"/>
    <cellStyle name="Примечание 7 8 5 2" xfId="29165"/>
    <cellStyle name="Примечание 7 8 5 3" xfId="39040"/>
    <cellStyle name="Примечание 7 8 6" xfId="25073"/>
    <cellStyle name="Примечание 7 8 7" xfId="34948"/>
    <cellStyle name="Примечание 7 9" xfId="2767"/>
    <cellStyle name="Примечание 7 9 2" xfId="10912"/>
    <cellStyle name="Примечание 7 9 3" xfId="12743"/>
    <cellStyle name="Примечание 7 9 3 2" xfId="18075"/>
    <cellStyle name="Примечание 7 9 3 2 2" xfId="31885"/>
    <cellStyle name="Примечание 7 9 3 2 3" xfId="41758"/>
    <cellStyle name="Примечание 7 9 3 3" xfId="26617"/>
    <cellStyle name="Примечание 7 9 3 4" xfId="36492"/>
    <cellStyle name="Примечание 7 9 4" xfId="13966"/>
    <cellStyle name="Примечание 7 9 4 2" xfId="16609"/>
    <cellStyle name="Примечание 7 9 4 2 2" xfId="30424"/>
    <cellStyle name="Примечание 7 9 4 2 3" xfId="40299"/>
    <cellStyle name="Примечание 7 9 4 3" xfId="19249"/>
    <cellStyle name="Примечание 7 9 4 3 2" xfId="33059"/>
    <cellStyle name="Примечание 7 9 4 3 3" xfId="42928"/>
    <cellStyle name="Примечание 7 9 4 4" xfId="27787"/>
    <cellStyle name="Примечание 7 9 4 5" xfId="37662"/>
    <cellStyle name="Примечание 7 9 5" xfId="15464"/>
    <cellStyle name="Примечание 7 9 5 2" xfId="29283"/>
    <cellStyle name="Примечание 7 9 5 3" xfId="39158"/>
    <cellStyle name="Примечание 7 9 6" xfId="25191"/>
    <cellStyle name="Примечание 7 9 7" xfId="35066"/>
    <cellStyle name="Примечание 8" xfId="2234"/>
    <cellStyle name="Примечание 8 10" xfId="2694"/>
    <cellStyle name="Примечание 8 10 2" xfId="10914"/>
    <cellStyle name="Примечание 8 10 3" xfId="12676"/>
    <cellStyle name="Примечание 8 10 3 2" xfId="18008"/>
    <cellStyle name="Примечание 8 10 3 2 2" xfId="31818"/>
    <cellStyle name="Примечание 8 10 3 2 3" xfId="41691"/>
    <cellStyle name="Примечание 8 10 3 3" xfId="26550"/>
    <cellStyle name="Примечание 8 10 3 4" xfId="36425"/>
    <cellStyle name="Примечание 8 10 4" xfId="13898"/>
    <cellStyle name="Примечание 8 10 4 2" xfId="16541"/>
    <cellStyle name="Примечание 8 10 4 2 2" xfId="30357"/>
    <cellStyle name="Примечание 8 10 4 2 3" xfId="40232"/>
    <cellStyle name="Примечание 8 10 4 3" xfId="19181"/>
    <cellStyle name="Примечание 8 10 4 3 2" xfId="32991"/>
    <cellStyle name="Примечание 8 10 4 3 3" xfId="42861"/>
    <cellStyle name="Примечание 8 10 4 4" xfId="27720"/>
    <cellStyle name="Примечание 8 10 4 5" xfId="37595"/>
    <cellStyle name="Примечание 8 10 5" xfId="15396"/>
    <cellStyle name="Примечание 8 10 5 2" xfId="29216"/>
    <cellStyle name="Примечание 8 10 5 3" xfId="39091"/>
    <cellStyle name="Примечание 8 10 6" xfId="25124"/>
    <cellStyle name="Примечание 8 10 7" xfId="34999"/>
    <cellStyle name="Примечание 8 11" xfId="2820"/>
    <cellStyle name="Примечание 8 11 2" xfId="10915"/>
    <cellStyle name="Примечание 8 11 3" xfId="12795"/>
    <cellStyle name="Примечание 8 11 3 2" xfId="18127"/>
    <cellStyle name="Примечание 8 11 3 2 2" xfId="31937"/>
    <cellStyle name="Примечание 8 11 3 2 3" xfId="41810"/>
    <cellStyle name="Примечание 8 11 3 3" xfId="26669"/>
    <cellStyle name="Примечание 8 11 3 4" xfId="36544"/>
    <cellStyle name="Примечание 8 11 4" xfId="14018"/>
    <cellStyle name="Примечание 8 11 4 2" xfId="16661"/>
    <cellStyle name="Примечание 8 11 4 2 2" xfId="30476"/>
    <cellStyle name="Примечание 8 11 4 2 3" xfId="40351"/>
    <cellStyle name="Примечание 8 11 4 3" xfId="19301"/>
    <cellStyle name="Примечание 8 11 4 3 2" xfId="33111"/>
    <cellStyle name="Примечание 8 11 4 3 3" xfId="42980"/>
    <cellStyle name="Примечание 8 11 4 4" xfId="27839"/>
    <cellStyle name="Примечание 8 11 4 5" xfId="37714"/>
    <cellStyle name="Примечание 8 11 5" xfId="15516"/>
    <cellStyle name="Примечание 8 11 5 2" xfId="29335"/>
    <cellStyle name="Примечание 8 11 5 3" xfId="39210"/>
    <cellStyle name="Примечание 8 11 6" xfId="25243"/>
    <cellStyle name="Примечание 8 11 7" xfId="35118"/>
    <cellStyle name="Примечание 8 12" xfId="2927"/>
    <cellStyle name="Примечание 8 12 2" xfId="10916"/>
    <cellStyle name="Примечание 8 12 3" xfId="12897"/>
    <cellStyle name="Примечание 8 12 3 2" xfId="18229"/>
    <cellStyle name="Примечание 8 12 3 2 2" xfId="32039"/>
    <cellStyle name="Примечание 8 12 3 2 3" xfId="41912"/>
    <cellStyle name="Примечание 8 12 3 3" xfId="26771"/>
    <cellStyle name="Примечание 8 12 3 4" xfId="36646"/>
    <cellStyle name="Примечание 8 12 4" xfId="14120"/>
    <cellStyle name="Примечание 8 12 4 2" xfId="16763"/>
    <cellStyle name="Примечание 8 12 4 2 2" xfId="30578"/>
    <cellStyle name="Примечание 8 12 4 2 3" xfId="40453"/>
    <cellStyle name="Примечание 8 12 4 3" xfId="19403"/>
    <cellStyle name="Примечание 8 12 4 3 2" xfId="33213"/>
    <cellStyle name="Примечание 8 12 4 3 3" xfId="43082"/>
    <cellStyle name="Примечание 8 12 4 4" xfId="27941"/>
    <cellStyle name="Примечание 8 12 4 5" xfId="37816"/>
    <cellStyle name="Примечание 8 12 5" xfId="15618"/>
    <cellStyle name="Примечание 8 12 5 2" xfId="29437"/>
    <cellStyle name="Примечание 8 12 5 3" xfId="39312"/>
    <cellStyle name="Примечание 8 12 6" xfId="25345"/>
    <cellStyle name="Примечание 8 12 7" xfId="35220"/>
    <cellStyle name="Примечание 8 13" xfId="2924"/>
    <cellStyle name="Примечание 8 13 2" xfId="10917"/>
    <cellStyle name="Примечание 8 13 3" xfId="12894"/>
    <cellStyle name="Примечание 8 13 3 2" xfId="18226"/>
    <cellStyle name="Примечание 8 13 3 2 2" xfId="32036"/>
    <cellStyle name="Примечание 8 13 3 2 3" xfId="41909"/>
    <cellStyle name="Примечание 8 13 3 3" xfId="26768"/>
    <cellStyle name="Примечание 8 13 3 4" xfId="36643"/>
    <cellStyle name="Примечание 8 13 4" xfId="14117"/>
    <cellStyle name="Примечание 8 13 4 2" xfId="16760"/>
    <cellStyle name="Примечание 8 13 4 2 2" xfId="30575"/>
    <cellStyle name="Примечание 8 13 4 2 3" xfId="40450"/>
    <cellStyle name="Примечание 8 13 4 3" xfId="19400"/>
    <cellStyle name="Примечание 8 13 4 3 2" xfId="33210"/>
    <cellStyle name="Примечание 8 13 4 3 3" xfId="43079"/>
    <cellStyle name="Примечание 8 13 4 4" xfId="27938"/>
    <cellStyle name="Примечание 8 13 4 5" xfId="37813"/>
    <cellStyle name="Примечание 8 13 5" xfId="15615"/>
    <cellStyle name="Примечание 8 13 5 2" xfId="29434"/>
    <cellStyle name="Примечание 8 13 5 3" xfId="39309"/>
    <cellStyle name="Примечание 8 13 6" xfId="25342"/>
    <cellStyle name="Примечание 8 13 7" xfId="35217"/>
    <cellStyle name="Примечание 8 14" xfId="3034"/>
    <cellStyle name="Примечание 8 14 2" xfId="10918"/>
    <cellStyle name="Примечание 8 14 3" xfId="13000"/>
    <cellStyle name="Примечание 8 14 3 2" xfId="18332"/>
    <cellStyle name="Примечание 8 14 3 2 2" xfId="32142"/>
    <cellStyle name="Примечание 8 14 3 2 3" xfId="42015"/>
    <cellStyle name="Примечание 8 14 3 3" xfId="26874"/>
    <cellStyle name="Примечание 8 14 3 4" xfId="36749"/>
    <cellStyle name="Примечание 8 14 4" xfId="14223"/>
    <cellStyle name="Примечание 8 14 4 2" xfId="16866"/>
    <cellStyle name="Примечание 8 14 4 2 2" xfId="30681"/>
    <cellStyle name="Примечание 8 14 4 2 3" xfId="40556"/>
    <cellStyle name="Примечание 8 14 4 3" xfId="19506"/>
    <cellStyle name="Примечание 8 14 4 3 2" xfId="33316"/>
    <cellStyle name="Примечание 8 14 4 3 3" xfId="43185"/>
    <cellStyle name="Примечание 8 14 4 4" xfId="28044"/>
    <cellStyle name="Примечание 8 14 4 5" xfId="37919"/>
    <cellStyle name="Примечание 8 14 5" xfId="15705"/>
    <cellStyle name="Примечание 8 14 5 2" xfId="29524"/>
    <cellStyle name="Примечание 8 14 5 3" xfId="39399"/>
    <cellStyle name="Примечание 8 14 6" xfId="25448"/>
    <cellStyle name="Примечание 8 14 7" xfId="35323"/>
    <cellStyle name="Примечание 8 15" xfId="3027"/>
    <cellStyle name="Примечание 8 15 2" xfId="12064"/>
    <cellStyle name="Примечание 8 15 2 2" xfId="14962"/>
    <cellStyle name="Примечание 8 15 2 2 2" xfId="20245"/>
    <cellStyle name="Примечание 8 15 2 2 2 2" xfId="23228"/>
    <cellStyle name="Примечание 8 15 2 2 2 3" xfId="34055"/>
    <cellStyle name="Примечание 8 15 2 2 2 4" xfId="43923"/>
    <cellStyle name="Примечание 8 15 2 2 3" xfId="23516"/>
    <cellStyle name="Примечание 8 15 2 2 4" xfId="28782"/>
    <cellStyle name="Примечание 8 15 2 2 5" xfId="38657"/>
    <cellStyle name="Примечание 8 15 2 3" xfId="14403"/>
    <cellStyle name="Примечание 8 15 2 3 2" xfId="16916"/>
    <cellStyle name="Примечание 8 15 2 3 2 2" xfId="30731"/>
    <cellStyle name="Примечание 8 15 2 3 2 3" xfId="40606"/>
    <cellStyle name="Примечание 8 15 2 3 3" xfId="19686"/>
    <cellStyle name="Примечание 8 15 2 3 3 2" xfId="33496"/>
    <cellStyle name="Примечание 8 15 2 3 3 3" xfId="43365"/>
    <cellStyle name="Примечание 8 15 2 3 4" xfId="28224"/>
    <cellStyle name="Примечание 8 15 2 3 5" xfId="38099"/>
    <cellStyle name="Примечание 8 15 2 4" xfId="15987"/>
    <cellStyle name="Примечание 8 15 2 4 2" xfId="21843"/>
    <cellStyle name="Примечание 8 15 2 4 3" xfId="29806"/>
    <cellStyle name="Примечание 8 15 2 4 4" xfId="39681"/>
    <cellStyle name="Примечание 8 15 2 5" xfId="24140"/>
    <cellStyle name="Примечание 8 15 2 6" xfId="25938"/>
    <cellStyle name="Примечание 8 15 2 7" xfId="35813"/>
    <cellStyle name="Примечание 8 15 3" xfId="12994"/>
    <cellStyle name="Примечание 8 15 3 2" xfId="18326"/>
    <cellStyle name="Примечание 8 15 3 2 2" xfId="32136"/>
    <cellStyle name="Примечание 8 15 3 2 3" xfId="42009"/>
    <cellStyle name="Примечание 8 15 3 3" xfId="23500"/>
    <cellStyle name="Примечание 8 15 3 4" xfId="26868"/>
    <cellStyle name="Примечание 8 15 3 5" xfId="36743"/>
    <cellStyle name="Примечание 8 15 4" xfId="14217"/>
    <cellStyle name="Примечание 8 15 4 2" xfId="16860"/>
    <cellStyle name="Примечание 8 15 4 2 2" xfId="30675"/>
    <cellStyle name="Примечание 8 15 4 2 3" xfId="40550"/>
    <cellStyle name="Примечание 8 15 4 3" xfId="19500"/>
    <cellStyle name="Примечание 8 15 4 3 2" xfId="33310"/>
    <cellStyle name="Примечание 8 15 4 3 3" xfId="43179"/>
    <cellStyle name="Примечание 8 15 4 4" xfId="28038"/>
    <cellStyle name="Примечание 8 15 4 5" xfId="37913"/>
    <cellStyle name="Примечание 8 15 5" xfId="21755"/>
    <cellStyle name="Примечание 8 15 6" xfId="22492"/>
    <cellStyle name="Примечание 8 15 7" xfId="23980"/>
    <cellStyle name="Примечание 8 15 8" xfId="25442"/>
    <cellStyle name="Примечание 8 15 9" xfId="35317"/>
    <cellStyle name="Примечание 8 16" xfId="12144"/>
    <cellStyle name="Примечание 8 16 2" xfId="15042"/>
    <cellStyle name="Примечание 8 16 2 2" xfId="20325"/>
    <cellStyle name="Примечание 8 16 2 2 2" xfId="23244"/>
    <cellStyle name="Примечание 8 16 2 2 3" xfId="34135"/>
    <cellStyle name="Примечание 8 16 2 2 4" xfId="44003"/>
    <cellStyle name="Примечание 8 16 2 3" xfId="23596"/>
    <cellStyle name="Примечание 8 16 2 4" xfId="28862"/>
    <cellStyle name="Примечание 8 16 2 5" xfId="38737"/>
    <cellStyle name="Примечание 8 16 3" xfId="13009"/>
    <cellStyle name="Примечание 8 16 3 2" xfId="15990"/>
    <cellStyle name="Примечание 8 16 3 2 2" xfId="29809"/>
    <cellStyle name="Примечание 8 16 3 2 3" xfId="39684"/>
    <cellStyle name="Примечание 8 16 3 3" xfId="18341"/>
    <cellStyle name="Примечание 8 16 3 3 2" xfId="32151"/>
    <cellStyle name="Примечание 8 16 3 3 3" xfId="42024"/>
    <cellStyle name="Примечание 8 16 3 4" xfId="26883"/>
    <cellStyle name="Примечание 8 16 3 5" xfId="36758"/>
    <cellStyle name="Примечание 8 16 4" xfId="21523"/>
    <cellStyle name="Примечание 8 16 5" xfId="21891"/>
    <cellStyle name="Примечание 8 16 6" xfId="22716"/>
    <cellStyle name="Примечание 8 16 7" xfId="24220"/>
    <cellStyle name="Примечание 8 16 8" xfId="26018"/>
    <cellStyle name="Примечание 8 16 9" xfId="35893"/>
    <cellStyle name="Примечание 8 17" xfId="12224"/>
    <cellStyle name="Примечание 8 17 2" xfId="15122"/>
    <cellStyle name="Примечание 8 17 2 2" xfId="20405"/>
    <cellStyle name="Примечание 8 17 2 2 2" xfId="23260"/>
    <cellStyle name="Примечание 8 17 2 2 3" xfId="34215"/>
    <cellStyle name="Примечание 8 17 2 2 4" xfId="44083"/>
    <cellStyle name="Примечание 8 17 2 3" xfId="23676"/>
    <cellStyle name="Примечание 8 17 2 4" xfId="28942"/>
    <cellStyle name="Примечание 8 17 2 5" xfId="38817"/>
    <cellStyle name="Примечание 8 17 3" xfId="15124"/>
    <cellStyle name="Примечание 8 17 3 2" xfId="17162"/>
    <cellStyle name="Примечание 8 17 3 2 2" xfId="30976"/>
    <cellStyle name="Примечание 8 17 3 2 3" xfId="40851"/>
    <cellStyle name="Примечание 8 17 3 3" xfId="20407"/>
    <cellStyle name="Примечание 8 17 3 3 2" xfId="34217"/>
    <cellStyle name="Примечание 8 17 3 3 3" xfId="44085"/>
    <cellStyle name="Примечание 8 17 3 4" xfId="28944"/>
    <cellStyle name="Примечание 8 17 3 5" xfId="38819"/>
    <cellStyle name="Примечание 8 17 4" xfId="21603"/>
    <cellStyle name="Примечание 8 17 5" xfId="21939"/>
    <cellStyle name="Примечание 8 17 6" xfId="22796"/>
    <cellStyle name="Примечание 8 17 7" xfId="24300"/>
    <cellStyle name="Примечание 8 17 8" xfId="26098"/>
    <cellStyle name="Примечание 8 17 9" xfId="35973"/>
    <cellStyle name="Примечание 8 18" xfId="11836"/>
    <cellStyle name="Примечание 8 18 2" xfId="14734"/>
    <cellStyle name="Примечание 8 18 2 2" xfId="20017"/>
    <cellStyle name="Примечание 8 18 2 2 2" xfId="33827"/>
    <cellStyle name="Примечание 8 18 2 2 3" xfId="43695"/>
    <cellStyle name="Примечание 8 18 2 3" xfId="28554"/>
    <cellStyle name="Примечание 8 18 2 4" xfId="38429"/>
    <cellStyle name="Примечание 8 18 3" xfId="14261"/>
    <cellStyle name="Примечание 8 18 3 2" xfId="16903"/>
    <cellStyle name="Примечание 8 18 3 2 2" xfId="30718"/>
    <cellStyle name="Примечание 8 18 3 2 3" xfId="40593"/>
    <cellStyle name="Примечание 8 18 3 3" xfId="19544"/>
    <cellStyle name="Примечание 8 18 3 3 2" xfId="33354"/>
    <cellStyle name="Примечание 8 18 3 3 3" xfId="43223"/>
    <cellStyle name="Примечание 8 18 3 4" xfId="28082"/>
    <cellStyle name="Примечание 8 18 3 5" xfId="37957"/>
    <cellStyle name="Примечание 8 18 4" xfId="15967"/>
    <cellStyle name="Примечание 8 18 4 2" xfId="23263"/>
    <cellStyle name="Примечание 8 18 4 3" xfId="29786"/>
    <cellStyle name="Примечание 8 18 4 4" xfId="39661"/>
    <cellStyle name="Примечание 8 18 5" xfId="25710"/>
    <cellStyle name="Примечание 8 18 6" xfId="35585"/>
    <cellStyle name="Примечание 8 19" xfId="13561"/>
    <cellStyle name="Примечание 8 19 2" xfId="16259"/>
    <cellStyle name="Примечание 8 19 2 2" xfId="30076"/>
    <cellStyle name="Примечание 8 19 2 3" xfId="39951"/>
    <cellStyle name="Примечание 8 19 3" xfId="18890"/>
    <cellStyle name="Примечание 8 19 3 2" xfId="32700"/>
    <cellStyle name="Примечание 8 19 3 3" xfId="42571"/>
    <cellStyle name="Примечание 8 19 4" xfId="27430"/>
    <cellStyle name="Примечание 8 19 5" xfId="37305"/>
    <cellStyle name="Примечание 8 2" xfId="2235"/>
    <cellStyle name="Примечание 8 2 10" xfId="2928"/>
    <cellStyle name="Примечание 8 2 10 2" xfId="12898"/>
    <cellStyle name="Примечание 8 2 10 2 2" xfId="18230"/>
    <cellStyle name="Примечание 8 2 10 2 2 2" xfId="32040"/>
    <cellStyle name="Примечание 8 2 10 2 2 3" xfId="41913"/>
    <cellStyle name="Примечание 8 2 10 2 3" xfId="26772"/>
    <cellStyle name="Примечание 8 2 10 2 4" xfId="36647"/>
    <cellStyle name="Примечание 8 2 10 3" xfId="14121"/>
    <cellStyle name="Примечание 8 2 10 3 2" xfId="16764"/>
    <cellStyle name="Примечание 8 2 10 3 2 2" xfId="30579"/>
    <cellStyle name="Примечание 8 2 10 3 2 3" xfId="40454"/>
    <cellStyle name="Примечание 8 2 10 3 3" xfId="19404"/>
    <cellStyle name="Примечание 8 2 10 3 3 2" xfId="33214"/>
    <cellStyle name="Примечание 8 2 10 3 3 3" xfId="43083"/>
    <cellStyle name="Примечание 8 2 10 3 4" xfId="27942"/>
    <cellStyle name="Примечание 8 2 10 3 5" xfId="37817"/>
    <cellStyle name="Примечание 8 2 10 4" xfId="15619"/>
    <cellStyle name="Примечание 8 2 10 4 2" xfId="29438"/>
    <cellStyle name="Примечание 8 2 10 4 3" xfId="39313"/>
    <cellStyle name="Примечание 8 2 10 5" xfId="25346"/>
    <cellStyle name="Примечание 8 2 10 6" xfId="35221"/>
    <cellStyle name="Примечание 8 2 11" xfId="2925"/>
    <cellStyle name="Примечание 8 2 11 2" xfId="12895"/>
    <cellStyle name="Примечание 8 2 11 2 2" xfId="18227"/>
    <cellStyle name="Примечание 8 2 11 2 2 2" xfId="32037"/>
    <cellStyle name="Примечание 8 2 11 2 2 3" xfId="41910"/>
    <cellStyle name="Примечание 8 2 11 2 3" xfId="26769"/>
    <cellStyle name="Примечание 8 2 11 2 4" xfId="36644"/>
    <cellStyle name="Примечание 8 2 11 3" xfId="14118"/>
    <cellStyle name="Примечание 8 2 11 3 2" xfId="16761"/>
    <cellStyle name="Примечание 8 2 11 3 2 2" xfId="30576"/>
    <cellStyle name="Примечание 8 2 11 3 2 3" xfId="40451"/>
    <cellStyle name="Примечание 8 2 11 3 3" xfId="19401"/>
    <cellStyle name="Примечание 8 2 11 3 3 2" xfId="33211"/>
    <cellStyle name="Примечание 8 2 11 3 3 3" xfId="43080"/>
    <cellStyle name="Примечание 8 2 11 3 4" xfId="27939"/>
    <cellStyle name="Примечание 8 2 11 3 5" xfId="37814"/>
    <cellStyle name="Примечание 8 2 11 4" xfId="15616"/>
    <cellStyle name="Примечание 8 2 11 4 2" xfId="29435"/>
    <cellStyle name="Примечание 8 2 11 4 3" xfId="39310"/>
    <cellStyle name="Примечание 8 2 11 5" xfId="25343"/>
    <cellStyle name="Примечание 8 2 11 6" xfId="35218"/>
    <cellStyle name="Примечание 8 2 12" xfId="3035"/>
    <cellStyle name="Примечание 8 2 12 2" xfId="13001"/>
    <cellStyle name="Примечание 8 2 12 2 2" xfId="18333"/>
    <cellStyle name="Примечание 8 2 12 2 2 2" xfId="32143"/>
    <cellStyle name="Примечание 8 2 12 2 2 3" xfId="42016"/>
    <cellStyle name="Примечание 8 2 12 2 3" xfId="26875"/>
    <cellStyle name="Примечание 8 2 12 2 4" xfId="36750"/>
    <cellStyle name="Примечание 8 2 12 3" xfId="14224"/>
    <cellStyle name="Примечание 8 2 12 3 2" xfId="16867"/>
    <cellStyle name="Примечание 8 2 12 3 2 2" xfId="30682"/>
    <cellStyle name="Примечание 8 2 12 3 2 3" xfId="40557"/>
    <cellStyle name="Примечание 8 2 12 3 3" xfId="19507"/>
    <cellStyle name="Примечание 8 2 12 3 3 2" xfId="33317"/>
    <cellStyle name="Примечание 8 2 12 3 3 3" xfId="43186"/>
    <cellStyle name="Примечание 8 2 12 3 4" xfId="28045"/>
    <cellStyle name="Примечание 8 2 12 3 5" xfId="37920"/>
    <cellStyle name="Примечание 8 2 12 4" xfId="15706"/>
    <cellStyle name="Примечание 8 2 12 4 2" xfId="29525"/>
    <cellStyle name="Примечание 8 2 12 4 3" xfId="39400"/>
    <cellStyle name="Примечание 8 2 12 5" xfId="25449"/>
    <cellStyle name="Примечание 8 2 12 6" xfId="35324"/>
    <cellStyle name="Примечание 8 2 13" xfId="3028"/>
    <cellStyle name="Примечание 8 2 13 2" xfId="12995"/>
    <cellStyle name="Примечание 8 2 13 2 2" xfId="18327"/>
    <cellStyle name="Примечание 8 2 13 2 2 2" xfId="32137"/>
    <cellStyle name="Примечание 8 2 13 2 2 3" xfId="42010"/>
    <cellStyle name="Примечание 8 2 13 2 3" xfId="26869"/>
    <cellStyle name="Примечание 8 2 13 2 4" xfId="36744"/>
    <cellStyle name="Примечание 8 2 13 3" xfId="14218"/>
    <cellStyle name="Примечание 8 2 13 3 2" xfId="16861"/>
    <cellStyle name="Примечание 8 2 13 3 2 2" xfId="30676"/>
    <cellStyle name="Примечание 8 2 13 3 2 3" xfId="40551"/>
    <cellStyle name="Примечание 8 2 13 3 3" xfId="19501"/>
    <cellStyle name="Примечание 8 2 13 3 3 2" xfId="33311"/>
    <cellStyle name="Примечание 8 2 13 3 3 3" xfId="43180"/>
    <cellStyle name="Примечание 8 2 13 3 4" xfId="28039"/>
    <cellStyle name="Примечание 8 2 13 3 5" xfId="37914"/>
    <cellStyle name="Примечание 8 2 13 4" xfId="15701"/>
    <cellStyle name="Примечание 8 2 13 4 2" xfId="29520"/>
    <cellStyle name="Примечание 8 2 13 4 3" xfId="39395"/>
    <cellStyle name="Примечание 8 2 13 5" xfId="25443"/>
    <cellStyle name="Примечание 8 2 13 6" xfId="35318"/>
    <cellStyle name="Примечание 8 2 14" xfId="11837"/>
    <cellStyle name="Примечание 8 2 14 2" xfId="14735"/>
    <cellStyle name="Примечание 8 2 14 2 2" xfId="20018"/>
    <cellStyle name="Примечание 8 2 14 2 2 2" xfId="33828"/>
    <cellStyle name="Примечание 8 2 14 2 2 3" xfId="43696"/>
    <cellStyle name="Примечание 8 2 14 2 3" xfId="28555"/>
    <cellStyle name="Примечание 8 2 14 2 4" xfId="38430"/>
    <cellStyle name="Примечание 8 2 14 3" xfId="14433"/>
    <cellStyle name="Примечание 8 2 14 3 2" xfId="16945"/>
    <cellStyle name="Примечание 8 2 14 3 2 2" xfId="30759"/>
    <cellStyle name="Примечание 8 2 14 3 2 3" xfId="40634"/>
    <cellStyle name="Примечание 8 2 14 3 3" xfId="19716"/>
    <cellStyle name="Примечание 8 2 14 3 3 2" xfId="33526"/>
    <cellStyle name="Примечание 8 2 14 3 3 3" xfId="43394"/>
    <cellStyle name="Примечание 8 2 14 3 4" xfId="28253"/>
    <cellStyle name="Примечание 8 2 14 3 5" xfId="38128"/>
    <cellStyle name="Примечание 8 2 14 4" xfId="15968"/>
    <cellStyle name="Примечание 8 2 14 4 2" xfId="24585"/>
    <cellStyle name="Примечание 8 2 14 4 3" xfId="29787"/>
    <cellStyle name="Примечание 8 2 14 4 4" xfId="39662"/>
    <cellStyle name="Примечание 8 2 14 5" xfId="25711"/>
    <cellStyle name="Примечание 8 2 14 6" xfId="35586"/>
    <cellStyle name="Примечание 8 2 15" xfId="12400"/>
    <cellStyle name="Примечание 8 2 15 2" xfId="17732"/>
    <cellStyle name="Примечание 8 2 15 2 2" xfId="31542"/>
    <cellStyle name="Примечание 8 2 15 2 3" xfId="41415"/>
    <cellStyle name="Примечание 8 2 15 3" xfId="26274"/>
    <cellStyle name="Примечание 8 2 15 4" xfId="36149"/>
    <cellStyle name="Примечание 8 2 16" xfId="13562"/>
    <cellStyle name="Примечание 8 2 16 2" xfId="16260"/>
    <cellStyle name="Примечание 8 2 16 2 2" xfId="30077"/>
    <cellStyle name="Примечание 8 2 16 2 3" xfId="39952"/>
    <cellStyle name="Примечание 8 2 16 3" xfId="18891"/>
    <cellStyle name="Примечание 8 2 16 3 2" xfId="32701"/>
    <cellStyle name="Примечание 8 2 16 3 3" xfId="42572"/>
    <cellStyle name="Примечание 8 2 16 4" xfId="27431"/>
    <cellStyle name="Примечание 8 2 16 5" xfId="37306"/>
    <cellStyle name="Примечание 8 2 17" xfId="13512"/>
    <cellStyle name="Примечание 8 2 17 2" xfId="18841"/>
    <cellStyle name="Примечание 8 2 17 2 2" xfId="32651"/>
    <cellStyle name="Примечание 8 2 17 2 3" xfId="42522"/>
    <cellStyle name="Примечание 8 2 17 3" xfId="27381"/>
    <cellStyle name="Примечание 8 2 17 4" xfId="37256"/>
    <cellStyle name="Примечание 8 2 18" xfId="17413"/>
    <cellStyle name="Примечание 8 2 18 2" xfId="31224"/>
    <cellStyle name="Примечание 8 2 18 3" xfId="41098"/>
    <cellStyle name="Примечание 8 2 19" xfId="24849"/>
    <cellStyle name="Примечание 8 2 2" xfId="2608"/>
    <cellStyle name="Примечание 8 2 2 2" xfId="10919"/>
    <cellStyle name="Примечание 8 2 2 3" xfId="12594"/>
    <cellStyle name="Примечание 8 2 2 3 2" xfId="17926"/>
    <cellStyle name="Примечание 8 2 2 3 2 2" xfId="31736"/>
    <cellStyle name="Примечание 8 2 2 3 2 3" xfId="41609"/>
    <cellStyle name="Примечание 8 2 2 3 3" xfId="26468"/>
    <cellStyle name="Примечание 8 2 2 3 4" xfId="36343"/>
    <cellStyle name="Примечание 8 2 2 4" xfId="13816"/>
    <cellStyle name="Примечание 8 2 2 4 2" xfId="16459"/>
    <cellStyle name="Примечание 8 2 2 4 2 2" xfId="30275"/>
    <cellStyle name="Примечание 8 2 2 4 2 3" xfId="40150"/>
    <cellStyle name="Примечание 8 2 2 4 3" xfId="19099"/>
    <cellStyle name="Примечание 8 2 2 4 3 2" xfId="32909"/>
    <cellStyle name="Примечание 8 2 2 4 3 3" xfId="42779"/>
    <cellStyle name="Примечание 8 2 2 4 4" xfId="27638"/>
    <cellStyle name="Примечание 8 2 2 4 5" xfId="37513"/>
    <cellStyle name="Примечание 8 2 2 5" xfId="15314"/>
    <cellStyle name="Примечание 8 2 2 5 2" xfId="29134"/>
    <cellStyle name="Примечание 8 2 2 5 3" xfId="39009"/>
    <cellStyle name="Примечание 8 2 2 6" xfId="25042"/>
    <cellStyle name="Примечание 8 2 2 7" xfId="34917"/>
    <cellStyle name="Примечание 8 2 20" xfId="34464"/>
    <cellStyle name="Примечание 8 2 21" xfId="34714"/>
    <cellStyle name="Примечание 8 2 3" xfId="2432"/>
    <cellStyle name="Примечание 8 2 3 2" xfId="12437"/>
    <cellStyle name="Примечание 8 2 3 2 2" xfId="17769"/>
    <cellStyle name="Примечание 8 2 3 2 2 2" xfId="31579"/>
    <cellStyle name="Примечание 8 2 3 2 2 3" xfId="41452"/>
    <cellStyle name="Примечание 8 2 3 2 3" xfId="26311"/>
    <cellStyle name="Примечание 8 2 3 2 4" xfId="36186"/>
    <cellStyle name="Примечание 8 2 3 3" xfId="13659"/>
    <cellStyle name="Примечание 8 2 3 3 2" xfId="16302"/>
    <cellStyle name="Примечание 8 2 3 3 2 2" xfId="30118"/>
    <cellStyle name="Примечание 8 2 3 3 2 3" xfId="39993"/>
    <cellStyle name="Примечание 8 2 3 3 3" xfId="18942"/>
    <cellStyle name="Примечание 8 2 3 3 3 2" xfId="32752"/>
    <cellStyle name="Примечание 8 2 3 3 3 3" xfId="42622"/>
    <cellStyle name="Примечание 8 2 3 3 4" xfId="27481"/>
    <cellStyle name="Примечание 8 2 3 3 5" xfId="37356"/>
    <cellStyle name="Примечание 8 2 3 4" xfId="15157"/>
    <cellStyle name="Примечание 8 2 3 4 2" xfId="28977"/>
    <cellStyle name="Примечание 8 2 3 4 3" xfId="38852"/>
    <cellStyle name="Примечание 8 2 3 5" xfId="24885"/>
    <cellStyle name="Примечание 8 2 3 6" xfId="34760"/>
    <cellStyle name="Примечание 8 2 4" xfId="2543"/>
    <cellStyle name="Примечание 8 2 4 2" xfId="12529"/>
    <cellStyle name="Примечание 8 2 4 2 2" xfId="17861"/>
    <cellStyle name="Примечание 8 2 4 2 2 2" xfId="31671"/>
    <cellStyle name="Примечание 8 2 4 2 2 3" xfId="41544"/>
    <cellStyle name="Примечание 8 2 4 2 3" xfId="26403"/>
    <cellStyle name="Примечание 8 2 4 2 4" xfId="36278"/>
    <cellStyle name="Примечание 8 2 4 3" xfId="13751"/>
    <cellStyle name="Примечание 8 2 4 3 2" xfId="16394"/>
    <cellStyle name="Примечание 8 2 4 3 2 2" xfId="30210"/>
    <cellStyle name="Примечание 8 2 4 3 2 3" xfId="40085"/>
    <cellStyle name="Примечание 8 2 4 3 3" xfId="19034"/>
    <cellStyle name="Примечание 8 2 4 3 3 2" xfId="32844"/>
    <cellStyle name="Примечание 8 2 4 3 3 3" xfId="42714"/>
    <cellStyle name="Примечание 8 2 4 3 4" xfId="27573"/>
    <cellStyle name="Примечание 8 2 4 3 5" xfId="37448"/>
    <cellStyle name="Примечание 8 2 4 4" xfId="15249"/>
    <cellStyle name="Примечание 8 2 4 4 2" xfId="29069"/>
    <cellStyle name="Примечание 8 2 4 4 3" xfId="38944"/>
    <cellStyle name="Примечание 8 2 4 5" xfId="24977"/>
    <cellStyle name="Примечание 8 2 4 6" xfId="34852"/>
    <cellStyle name="Примечание 8 2 5" xfId="2720"/>
    <cellStyle name="Примечание 8 2 5 2" xfId="12696"/>
    <cellStyle name="Примечание 8 2 5 2 2" xfId="18028"/>
    <cellStyle name="Примечание 8 2 5 2 2 2" xfId="31838"/>
    <cellStyle name="Примечание 8 2 5 2 2 3" xfId="41711"/>
    <cellStyle name="Примечание 8 2 5 2 3" xfId="26570"/>
    <cellStyle name="Примечание 8 2 5 2 4" xfId="36445"/>
    <cellStyle name="Примечание 8 2 5 3" xfId="13919"/>
    <cellStyle name="Примечание 8 2 5 3 2" xfId="16562"/>
    <cellStyle name="Примечание 8 2 5 3 2 2" xfId="30377"/>
    <cellStyle name="Примечание 8 2 5 3 2 3" xfId="40252"/>
    <cellStyle name="Примечание 8 2 5 3 3" xfId="19202"/>
    <cellStyle name="Примечание 8 2 5 3 3 2" xfId="33012"/>
    <cellStyle name="Примечание 8 2 5 3 3 3" xfId="42881"/>
    <cellStyle name="Примечание 8 2 5 3 4" xfId="27740"/>
    <cellStyle name="Примечание 8 2 5 3 5" xfId="37615"/>
    <cellStyle name="Примечание 8 2 5 4" xfId="15417"/>
    <cellStyle name="Примечание 8 2 5 4 2" xfId="29236"/>
    <cellStyle name="Примечание 8 2 5 4 3" xfId="39111"/>
    <cellStyle name="Примечание 8 2 5 5" xfId="25144"/>
    <cellStyle name="Примечание 8 2 5 6" xfId="35019"/>
    <cellStyle name="Примечание 8 2 6" xfId="2643"/>
    <cellStyle name="Примечание 8 2 6 2" xfId="12629"/>
    <cellStyle name="Примечание 8 2 6 2 2" xfId="17961"/>
    <cellStyle name="Примечание 8 2 6 2 2 2" xfId="31771"/>
    <cellStyle name="Примечание 8 2 6 2 2 3" xfId="41644"/>
    <cellStyle name="Примечание 8 2 6 2 3" xfId="26503"/>
    <cellStyle name="Примечание 8 2 6 2 4" xfId="36378"/>
    <cellStyle name="Примечание 8 2 6 3" xfId="13851"/>
    <cellStyle name="Примечание 8 2 6 3 2" xfId="16494"/>
    <cellStyle name="Примечание 8 2 6 3 2 2" xfId="30310"/>
    <cellStyle name="Примечание 8 2 6 3 2 3" xfId="40185"/>
    <cellStyle name="Примечание 8 2 6 3 3" xfId="19134"/>
    <cellStyle name="Примечание 8 2 6 3 3 2" xfId="32944"/>
    <cellStyle name="Примечание 8 2 6 3 3 3" xfId="42814"/>
    <cellStyle name="Примечание 8 2 6 3 4" xfId="27673"/>
    <cellStyle name="Примечание 8 2 6 3 5" xfId="37548"/>
    <cellStyle name="Примечание 8 2 6 4" xfId="15349"/>
    <cellStyle name="Примечание 8 2 6 4 2" xfId="29169"/>
    <cellStyle name="Примечание 8 2 6 4 3" xfId="39044"/>
    <cellStyle name="Примечание 8 2 6 5" xfId="25077"/>
    <cellStyle name="Примечание 8 2 6 6" xfId="34952"/>
    <cellStyle name="Примечание 8 2 7" xfId="2771"/>
    <cellStyle name="Примечание 8 2 7 2" xfId="12747"/>
    <cellStyle name="Примечание 8 2 7 2 2" xfId="18079"/>
    <cellStyle name="Примечание 8 2 7 2 2 2" xfId="31889"/>
    <cellStyle name="Примечание 8 2 7 2 2 3" xfId="41762"/>
    <cellStyle name="Примечание 8 2 7 2 3" xfId="26621"/>
    <cellStyle name="Примечание 8 2 7 2 4" xfId="36496"/>
    <cellStyle name="Примечание 8 2 7 3" xfId="13970"/>
    <cellStyle name="Примечание 8 2 7 3 2" xfId="16613"/>
    <cellStyle name="Примечание 8 2 7 3 2 2" xfId="30428"/>
    <cellStyle name="Примечание 8 2 7 3 2 3" xfId="40303"/>
    <cellStyle name="Примечание 8 2 7 3 3" xfId="19253"/>
    <cellStyle name="Примечание 8 2 7 3 3 2" xfId="33063"/>
    <cellStyle name="Примечание 8 2 7 3 3 3" xfId="42932"/>
    <cellStyle name="Примечание 8 2 7 3 4" xfId="27791"/>
    <cellStyle name="Примечание 8 2 7 3 5" xfId="37666"/>
    <cellStyle name="Примечание 8 2 7 4" xfId="15468"/>
    <cellStyle name="Примечание 8 2 7 4 2" xfId="29287"/>
    <cellStyle name="Примечание 8 2 7 4 3" xfId="39162"/>
    <cellStyle name="Примечание 8 2 7 5" xfId="25195"/>
    <cellStyle name="Примечание 8 2 7 6" xfId="35070"/>
    <cellStyle name="Примечание 8 2 8" xfId="2826"/>
    <cellStyle name="Примечание 8 2 8 2" xfId="12799"/>
    <cellStyle name="Примечание 8 2 8 2 2" xfId="18131"/>
    <cellStyle name="Примечание 8 2 8 2 2 2" xfId="31941"/>
    <cellStyle name="Примечание 8 2 8 2 2 3" xfId="41814"/>
    <cellStyle name="Примечание 8 2 8 2 3" xfId="26673"/>
    <cellStyle name="Примечание 8 2 8 2 4" xfId="36548"/>
    <cellStyle name="Примечание 8 2 8 3" xfId="14022"/>
    <cellStyle name="Примечание 8 2 8 3 2" xfId="16665"/>
    <cellStyle name="Примечание 8 2 8 3 2 2" xfId="30480"/>
    <cellStyle name="Примечание 8 2 8 3 2 3" xfId="40355"/>
    <cellStyle name="Примечание 8 2 8 3 3" xfId="19305"/>
    <cellStyle name="Примечание 8 2 8 3 3 2" xfId="33115"/>
    <cellStyle name="Примечание 8 2 8 3 3 3" xfId="42984"/>
    <cellStyle name="Примечание 8 2 8 3 4" xfId="27843"/>
    <cellStyle name="Примечание 8 2 8 3 5" xfId="37718"/>
    <cellStyle name="Примечание 8 2 8 4" xfId="15520"/>
    <cellStyle name="Примечание 8 2 8 4 2" xfId="29339"/>
    <cellStyle name="Примечание 8 2 8 4 3" xfId="39214"/>
    <cellStyle name="Примечание 8 2 8 5" xfId="25247"/>
    <cellStyle name="Примечание 8 2 8 6" xfId="35122"/>
    <cellStyle name="Примечание 8 2 9" xfId="2821"/>
    <cellStyle name="Примечание 8 2 9 2" xfId="12796"/>
    <cellStyle name="Примечание 8 2 9 2 2" xfId="18128"/>
    <cellStyle name="Примечание 8 2 9 2 2 2" xfId="31938"/>
    <cellStyle name="Примечание 8 2 9 2 2 3" xfId="41811"/>
    <cellStyle name="Примечание 8 2 9 2 3" xfId="26670"/>
    <cellStyle name="Примечание 8 2 9 2 4" xfId="36545"/>
    <cellStyle name="Примечание 8 2 9 3" xfId="14019"/>
    <cellStyle name="Примечание 8 2 9 3 2" xfId="16662"/>
    <cellStyle name="Примечание 8 2 9 3 2 2" xfId="30477"/>
    <cellStyle name="Примечание 8 2 9 3 2 3" xfId="40352"/>
    <cellStyle name="Примечание 8 2 9 3 3" xfId="19302"/>
    <cellStyle name="Примечание 8 2 9 3 3 2" xfId="33112"/>
    <cellStyle name="Примечание 8 2 9 3 3 3" xfId="42981"/>
    <cellStyle name="Примечание 8 2 9 3 4" xfId="27840"/>
    <cellStyle name="Примечание 8 2 9 3 5" xfId="37715"/>
    <cellStyle name="Примечание 8 2 9 4" xfId="15517"/>
    <cellStyle name="Примечание 8 2 9 4 2" xfId="29336"/>
    <cellStyle name="Примечание 8 2 9 4 3" xfId="39211"/>
    <cellStyle name="Примечание 8 2 9 5" xfId="25244"/>
    <cellStyle name="Примечание 8 2 9 6" xfId="35119"/>
    <cellStyle name="Примечание 8 20" xfId="13511"/>
    <cellStyle name="Примечание 8 20 2" xfId="18840"/>
    <cellStyle name="Примечание 8 20 2 2" xfId="32650"/>
    <cellStyle name="Примечание 8 20 2 3" xfId="42521"/>
    <cellStyle name="Примечание 8 20 3" xfId="27380"/>
    <cellStyle name="Примечание 8 20 4" xfId="37255"/>
    <cellStyle name="Примечание 8 21" xfId="17412"/>
    <cellStyle name="Примечание 8 21 2" xfId="21116"/>
    <cellStyle name="Примечание 8 21 3" xfId="31223"/>
    <cellStyle name="Примечание 8 21 4" xfId="41097"/>
    <cellStyle name="Примечание 8 22" xfId="23900"/>
    <cellStyle name="Примечание 8 23" xfId="24848"/>
    <cellStyle name="Примечание 8 24" xfId="34463"/>
    <cellStyle name="Примечание 8 25" xfId="34713"/>
    <cellStyle name="Примечание 8 3" xfId="2236"/>
    <cellStyle name="Примечание 8 3 10" xfId="2929"/>
    <cellStyle name="Примечание 8 3 10 2" xfId="12899"/>
    <cellStyle name="Примечание 8 3 10 2 2" xfId="18231"/>
    <cellStyle name="Примечание 8 3 10 2 2 2" xfId="32041"/>
    <cellStyle name="Примечание 8 3 10 2 2 3" xfId="41914"/>
    <cellStyle name="Примечание 8 3 10 2 3" xfId="26773"/>
    <cellStyle name="Примечание 8 3 10 2 4" xfId="36648"/>
    <cellStyle name="Примечание 8 3 10 3" xfId="14122"/>
    <cellStyle name="Примечание 8 3 10 3 2" xfId="16765"/>
    <cellStyle name="Примечание 8 3 10 3 2 2" xfId="30580"/>
    <cellStyle name="Примечание 8 3 10 3 2 3" xfId="40455"/>
    <cellStyle name="Примечание 8 3 10 3 3" xfId="19405"/>
    <cellStyle name="Примечание 8 3 10 3 3 2" xfId="33215"/>
    <cellStyle name="Примечание 8 3 10 3 3 3" xfId="43084"/>
    <cellStyle name="Примечание 8 3 10 3 4" xfId="27943"/>
    <cellStyle name="Примечание 8 3 10 3 5" xfId="37818"/>
    <cellStyle name="Примечание 8 3 10 4" xfId="15620"/>
    <cellStyle name="Примечание 8 3 10 4 2" xfId="29439"/>
    <cellStyle name="Примечание 8 3 10 4 3" xfId="39314"/>
    <cellStyle name="Примечание 8 3 10 5" xfId="25347"/>
    <cellStyle name="Примечание 8 3 10 6" xfId="35222"/>
    <cellStyle name="Примечание 8 3 11" xfId="2926"/>
    <cellStyle name="Примечание 8 3 11 2" xfId="12896"/>
    <cellStyle name="Примечание 8 3 11 2 2" xfId="18228"/>
    <cellStyle name="Примечание 8 3 11 2 2 2" xfId="32038"/>
    <cellStyle name="Примечание 8 3 11 2 2 3" xfId="41911"/>
    <cellStyle name="Примечание 8 3 11 2 3" xfId="26770"/>
    <cellStyle name="Примечание 8 3 11 2 4" xfId="36645"/>
    <cellStyle name="Примечание 8 3 11 3" xfId="14119"/>
    <cellStyle name="Примечание 8 3 11 3 2" xfId="16762"/>
    <cellStyle name="Примечание 8 3 11 3 2 2" xfId="30577"/>
    <cellStyle name="Примечание 8 3 11 3 2 3" xfId="40452"/>
    <cellStyle name="Примечание 8 3 11 3 3" xfId="19402"/>
    <cellStyle name="Примечание 8 3 11 3 3 2" xfId="33212"/>
    <cellStyle name="Примечание 8 3 11 3 3 3" xfId="43081"/>
    <cellStyle name="Примечание 8 3 11 3 4" xfId="27940"/>
    <cellStyle name="Примечание 8 3 11 3 5" xfId="37815"/>
    <cellStyle name="Примечание 8 3 11 4" xfId="15617"/>
    <cellStyle name="Примечание 8 3 11 4 2" xfId="29436"/>
    <cellStyle name="Примечание 8 3 11 4 3" xfId="39311"/>
    <cellStyle name="Примечание 8 3 11 5" xfId="25344"/>
    <cellStyle name="Примечание 8 3 11 6" xfId="35219"/>
    <cellStyle name="Примечание 8 3 12" xfId="3036"/>
    <cellStyle name="Примечание 8 3 12 2" xfId="13002"/>
    <cellStyle name="Примечание 8 3 12 2 2" xfId="18334"/>
    <cellStyle name="Примечание 8 3 12 2 2 2" xfId="32144"/>
    <cellStyle name="Примечание 8 3 12 2 2 3" xfId="42017"/>
    <cellStyle name="Примечание 8 3 12 2 3" xfId="26876"/>
    <cellStyle name="Примечание 8 3 12 2 4" xfId="36751"/>
    <cellStyle name="Примечание 8 3 12 3" xfId="14225"/>
    <cellStyle name="Примечание 8 3 12 3 2" xfId="16868"/>
    <cellStyle name="Примечание 8 3 12 3 2 2" xfId="30683"/>
    <cellStyle name="Примечание 8 3 12 3 2 3" xfId="40558"/>
    <cellStyle name="Примечание 8 3 12 3 3" xfId="19508"/>
    <cellStyle name="Примечание 8 3 12 3 3 2" xfId="33318"/>
    <cellStyle name="Примечание 8 3 12 3 3 3" xfId="43187"/>
    <cellStyle name="Примечание 8 3 12 3 4" xfId="28046"/>
    <cellStyle name="Примечание 8 3 12 3 5" xfId="37921"/>
    <cellStyle name="Примечание 8 3 12 4" xfId="15707"/>
    <cellStyle name="Примечание 8 3 12 4 2" xfId="29526"/>
    <cellStyle name="Примечание 8 3 12 4 3" xfId="39401"/>
    <cellStyle name="Примечание 8 3 12 5" xfId="25450"/>
    <cellStyle name="Примечание 8 3 12 6" xfId="35325"/>
    <cellStyle name="Примечание 8 3 13" xfId="3029"/>
    <cellStyle name="Примечание 8 3 13 2" xfId="12996"/>
    <cellStyle name="Примечание 8 3 13 2 2" xfId="18328"/>
    <cellStyle name="Примечание 8 3 13 2 2 2" xfId="32138"/>
    <cellStyle name="Примечание 8 3 13 2 2 3" xfId="42011"/>
    <cellStyle name="Примечание 8 3 13 2 3" xfId="26870"/>
    <cellStyle name="Примечание 8 3 13 2 4" xfId="36745"/>
    <cellStyle name="Примечание 8 3 13 3" xfId="14219"/>
    <cellStyle name="Примечание 8 3 13 3 2" xfId="16862"/>
    <cellStyle name="Примечание 8 3 13 3 2 2" xfId="30677"/>
    <cellStyle name="Примечание 8 3 13 3 2 3" xfId="40552"/>
    <cellStyle name="Примечание 8 3 13 3 3" xfId="19502"/>
    <cellStyle name="Примечание 8 3 13 3 3 2" xfId="33312"/>
    <cellStyle name="Примечание 8 3 13 3 3 3" xfId="43181"/>
    <cellStyle name="Примечание 8 3 13 3 4" xfId="28040"/>
    <cellStyle name="Примечание 8 3 13 3 5" xfId="37915"/>
    <cellStyle name="Примечание 8 3 13 4" xfId="15702"/>
    <cellStyle name="Примечание 8 3 13 4 2" xfId="29521"/>
    <cellStyle name="Примечание 8 3 13 4 3" xfId="39396"/>
    <cellStyle name="Примечание 8 3 13 5" xfId="25444"/>
    <cellStyle name="Примечание 8 3 13 6" xfId="35319"/>
    <cellStyle name="Примечание 8 3 14" xfId="11838"/>
    <cellStyle name="Примечание 8 3 14 2" xfId="14736"/>
    <cellStyle name="Примечание 8 3 14 2 2" xfId="20019"/>
    <cellStyle name="Примечание 8 3 14 2 2 2" xfId="33829"/>
    <cellStyle name="Примечание 8 3 14 2 2 3" xfId="43697"/>
    <cellStyle name="Примечание 8 3 14 2 3" xfId="28556"/>
    <cellStyle name="Примечание 8 3 14 2 4" xfId="38431"/>
    <cellStyle name="Примечание 8 3 14 3" xfId="14262"/>
    <cellStyle name="Примечание 8 3 14 3 2" xfId="16904"/>
    <cellStyle name="Примечание 8 3 14 3 2 2" xfId="30719"/>
    <cellStyle name="Примечание 8 3 14 3 2 3" xfId="40594"/>
    <cellStyle name="Примечание 8 3 14 3 3" xfId="19545"/>
    <cellStyle name="Примечание 8 3 14 3 3 2" xfId="33355"/>
    <cellStyle name="Примечание 8 3 14 3 3 3" xfId="43224"/>
    <cellStyle name="Примечание 8 3 14 3 4" xfId="28083"/>
    <cellStyle name="Примечание 8 3 14 3 5" xfId="37958"/>
    <cellStyle name="Примечание 8 3 14 4" xfId="15969"/>
    <cellStyle name="Примечание 8 3 14 4 2" xfId="24586"/>
    <cellStyle name="Примечание 8 3 14 4 3" xfId="29788"/>
    <cellStyle name="Примечание 8 3 14 4 4" xfId="39663"/>
    <cellStyle name="Примечание 8 3 14 5" xfId="25712"/>
    <cellStyle name="Примечание 8 3 14 6" xfId="35587"/>
    <cellStyle name="Примечание 8 3 15" xfId="12401"/>
    <cellStyle name="Примечание 8 3 15 2" xfId="17733"/>
    <cellStyle name="Примечание 8 3 15 2 2" xfId="31543"/>
    <cellStyle name="Примечание 8 3 15 2 3" xfId="41416"/>
    <cellStyle name="Примечание 8 3 15 3" xfId="26275"/>
    <cellStyle name="Примечание 8 3 15 4" xfId="36150"/>
    <cellStyle name="Примечание 8 3 16" xfId="13563"/>
    <cellStyle name="Примечание 8 3 16 2" xfId="16261"/>
    <cellStyle name="Примечание 8 3 16 2 2" xfId="30078"/>
    <cellStyle name="Примечание 8 3 16 2 3" xfId="39953"/>
    <cellStyle name="Примечание 8 3 16 3" xfId="18892"/>
    <cellStyle name="Примечание 8 3 16 3 2" xfId="32702"/>
    <cellStyle name="Примечание 8 3 16 3 3" xfId="42573"/>
    <cellStyle name="Примечание 8 3 16 4" xfId="27432"/>
    <cellStyle name="Примечание 8 3 16 5" xfId="37307"/>
    <cellStyle name="Примечание 8 3 17" xfId="13513"/>
    <cellStyle name="Примечание 8 3 17 2" xfId="18842"/>
    <cellStyle name="Примечание 8 3 17 2 2" xfId="32652"/>
    <cellStyle name="Примечание 8 3 17 2 3" xfId="42523"/>
    <cellStyle name="Примечание 8 3 17 3" xfId="27382"/>
    <cellStyle name="Примечание 8 3 17 4" xfId="37257"/>
    <cellStyle name="Примечание 8 3 18" xfId="17414"/>
    <cellStyle name="Примечание 8 3 18 2" xfId="31225"/>
    <cellStyle name="Примечание 8 3 18 3" xfId="41099"/>
    <cellStyle name="Примечание 8 3 19" xfId="24850"/>
    <cellStyle name="Примечание 8 3 2" xfId="2609"/>
    <cellStyle name="Примечание 8 3 2 2" xfId="10920"/>
    <cellStyle name="Примечание 8 3 2 3" xfId="12595"/>
    <cellStyle name="Примечание 8 3 2 3 2" xfId="17927"/>
    <cellStyle name="Примечание 8 3 2 3 2 2" xfId="31737"/>
    <cellStyle name="Примечание 8 3 2 3 2 3" xfId="41610"/>
    <cellStyle name="Примечание 8 3 2 3 3" xfId="26469"/>
    <cellStyle name="Примечание 8 3 2 3 4" xfId="36344"/>
    <cellStyle name="Примечание 8 3 2 4" xfId="13817"/>
    <cellStyle name="Примечание 8 3 2 4 2" xfId="16460"/>
    <cellStyle name="Примечание 8 3 2 4 2 2" xfId="30276"/>
    <cellStyle name="Примечание 8 3 2 4 2 3" xfId="40151"/>
    <cellStyle name="Примечание 8 3 2 4 3" xfId="19100"/>
    <cellStyle name="Примечание 8 3 2 4 3 2" xfId="32910"/>
    <cellStyle name="Примечание 8 3 2 4 3 3" xfId="42780"/>
    <cellStyle name="Примечание 8 3 2 4 4" xfId="27639"/>
    <cellStyle name="Примечание 8 3 2 4 5" xfId="37514"/>
    <cellStyle name="Примечание 8 3 2 5" xfId="15315"/>
    <cellStyle name="Примечание 8 3 2 5 2" xfId="29135"/>
    <cellStyle name="Примечание 8 3 2 5 3" xfId="39010"/>
    <cellStyle name="Примечание 8 3 2 6" xfId="25043"/>
    <cellStyle name="Примечание 8 3 2 7" xfId="34918"/>
    <cellStyle name="Примечание 8 3 20" xfId="34465"/>
    <cellStyle name="Примечание 8 3 21" xfId="34715"/>
    <cellStyle name="Примечание 8 3 3" xfId="2431"/>
    <cellStyle name="Примечание 8 3 3 2" xfId="12436"/>
    <cellStyle name="Примечание 8 3 3 2 2" xfId="17768"/>
    <cellStyle name="Примечание 8 3 3 2 2 2" xfId="31578"/>
    <cellStyle name="Примечание 8 3 3 2 2 3" xfId="41451"/>
    <cellStyle name="Примечание 8 3 3 2 3" xfId="26310"/>
    <cellStyle name="Примечание 8 3 3 2 4" xfId="36185"/>
    <cellStyle name="Примечание 8 3 3 3" xfId="13658"/>
    <cellStyle name="Примечание 8 3 3 3 2" xfId="16301"/>
    <cellStyle name="Примечание 8 3 3 3 2 2" xfId="30117"/>
    <cellStyle name="Примечание 8 3 3 3 2 3" xfId="39992"/>
    <cellStyle name="Примечание 8 3 3 3 3" xfId="18941"/>
    <cellStyle name="Примечание 8 3 3 3 3 2" xfId="32751"/>
    <cellStyle name="Примечание 8 3 3 3 3 3" xfId="42621"/>
    <cellStyle name="Примечание 8 3 3 3 4" xfId="27480"/>
    <cellStyle name="Примечание 8 3 3 3 5" xfId="37355"/>
    <cellStyle name="Примечание 8 3 3 4" xfId="15156"/>
    <cellStyle name="Примечание 8 3 3 4 2" xfId="28976"/>
    <cellStyle name="Примечание 8 3 3 4 3" xfId="38851"/>
    <cellStyle name="Примечание 8 3 3 5" xfId="24884"/>
    <cellStyle name="Примечание 8 3 3 6" xfId="34759"/>
    <cellStyle name="Примечание 8 3 4" xfId="2544"/>
    <cellStyle name="Примечание 8 3 4 2" xfId="12530"/>
    <cellStyle name="Примечание 8 3 4 2 2" xfId="17862"/>
    <cellStyle name="Примечание 8 3 4 2 2 2" xfId="31672"/>
    <cellStyle name="Примечание 8 3 4 2 2 3" xfId="41545"/>
    <cellStyle name="Примечание 8 3 4 2 3" xfId="26404"/>
    <cellStyle name="Примечание 8 3 4 2 4" xfId="36279"/>
    <cellStyle name="Примечание 8 3 4 3" xfId="13752"/>
    <cellStyle name="Примечание 8 3 4 3 2" xfId="16395"/>
    <cellStyle name="Примечание 8 3 4 3 2 2" xfId="30211"/>
    <cellStyle name="Примечание 8 3 4 3 2 3" xfId="40086"/>
    <cellStyle name="Примечание 8 3 4 3 3" xfId="19035"/>
    <cellStyle name="Примечание 8 3 4 3 3 2" xfId="32845"/>
    <cellStyle name="Примечание 8 3 4 3 3 3" xfId="42715"/>
    <cellStyle name="Примечание 8 3 4 3 4" xfId="27574"/>
    <cellStyle name="Примечание 8 3 4 3 5" xfId="37449"/>
    <cellStyle name="Примечание 8 3 4 4" xfId="15250"/>
    <cellStyle name="Примечание 8 3 4 4 2" xfId="29070"/>
    <cellStyle name="Примечание 8 3 4 4 3" xfId="38945"/>
    <cellStyle name="Примечание 8 3 4 5" xfId="24978"/>
    <cellStyle name="Примечание 8 3 4 6" xfId="34853"/>
    <cellStyle name="Примечание 8 3 5" xfId="2721"/>
    <cellStyle name="Примечание 8 3 5 2" xfId="12697"/>
    <cellStyle name="Примечание 8 3 5 2 2" xfId="18029"/>
    <cellStyle name="Примечание 8 3 5 2 2 2" xfId="31839"/>
    <cellStyle name="Примечание 8 3 5 2 2 3" xfId="41712"/>
    <cellStyle name="Примечание 8 3 5 2 3" xfId="26571"/>
    <cellStyle name="Примечание 8 3 5 2 4" xfId="36446"/>
    <cellStyle name="Примечание 8 3 5 3" xfId="13920"/>
    <cellStyle name="Примечание 8 3 5 3 2" xfId="16563"/>
    <cellStyle name="Примечание 8 3 5 3 2 2" xfId="30378"/>
    <cellStyle name="Примечание 8 3 5 3 2 3" xfId="40253"/>
    <cellStyle name="Примечание 8 3 5 3 3" xfId="19203"/>
    <cellStyle name="Примечание 8 3 5 3 3 2" xfId="33013"/>
    <cellStyle name="Примечание 8 3 5 3 3 3" xfId="42882"/>
    <cellStyle name="Примечание 8 3 5 3 4" xfId="27741"/>
    <cellStyle name="Примечание 8 3 5 3 5" xfId="37616"/>
    <cellStyle name="Примечание 8 3 5 4" xfId="15418"/>
    <cellStyle name="Примечание 8 3 5 4 2" xfId="29237"/>
    <cellStyle name="Примечание 8 3 5 4 3" xfId="39112"/>
    <cellStyle name="Примечание 8 3 5 5" xfId="25145"/>
    <cellStyle name="Примечание 8 3 5 6" xfId="35020"/>
    <cellStyle name="Примечание 8 3 6" xfId="2644"/>
    <cellStyle name="Примечание 8 3 6 2" xfId="12630"/>
    <cellStyle name="Примечание 8 3 6 2 2" xfId="17962"/>
    <cellStyle name="Примечание 8 3 6 2 2 2" xfId="31772"/>
    <cellStyle name="Примечание 8 3 6 2 2 3" xfId="41645"/>
    <cellStyle name="Примечание 8 3 6 2 3" xfId="26504"/>
    <cellStyle name="Примечание 8 3 6 2 4" xfId="36379"/>
    <cellStyle name="Примечание 8 3 6 3" xfId="13852"/>
    <cellStyle name="Примечание 8 3 6 3 2" xfId="16495"/>
    <cellStyle name="Примечание 8 3 6 3 2 2" xfId="30311"/>
    <cellStyle name="Примечание 8 3 6 3 2 3" xfId="40186"/>
    <cellStyle name="Примечание 8 3 6 3 3" xfId="19135"/>
    <cellStyle name="Примечание 8 3 6 3 3 2" xfId="32945"/>
    <cellStyle name="Примечание 8 3 6 3 3 3" xfId="42815"/>
    <cellStyle name="Примечание 8 3 6 3 4" xfId="27674"/>
    <cellStyle name="Примечание 8 3 6 3 5" xfId="37549"/>
    <cellStyle name="Примечание 8 3 6 4" xfId="15350"/>
    <cellStyle name="Примечание 8 3 6 4 2" xfId="29170"/>
    <cellStyle name="Примечание 8 3 6 4 3" xfId="39045"/>
    <cellStyle name="Примечание 8 3 6 5" xfId="25078"/>
    <cellStyle name="Примечание 8 3 6 6" xfId="34953"/>
    <cellStyle name="Примечание 8 3 7" xfId="2772"/>
    <cellStyle name="Примечание 8 3 7 2" xfId="12748"/>
    <cellStyle name="Примечание 8 3 7 2 2" xfId="18080"/>
    <cellStyle name="Примечание 8 3 7 2 2 2" xfId="31890"/>
    <cellStyle name="Примечание 8 3 7 2 2 3" xfId="41763"/>
    <cellStyle name="Примечание 8 3 7 2 3" xfId="26622"/>
    <cellStyle name="Примечание 8 3 7 2 4" xfId="36497"/>
    <cellStyle name="Примечание 8 3 7 3" xfId="13971"/>
    <cellStyle name="Примечание 8 3 7 3 2" xfId="16614"/>
    <cellStyle name="Примечание 8 3 7 3 2 2" xfId="30429"/>
    <cellStyle name="Примечание 8 3 7 3 2 3" xfId="40304"/>
    <cellStyle name="Примечание 8 3 7 3 3" xfId="19254"/>
    <cellStyle name="Примечание 8 3 7 3 3 2" xfId="33064"/>
    <cellStyle name="Примечание 8 3 7 3 3 3" xfId="42933"/>
    <cellStyle name="Примечание 8 3 7 3 4" xfId="27792"/>
    <cellStyle name="Примечание 8 3 7 3 5" xfId="37667"/>
    <cellStyle name="Примечание 8 3 7 4" xfId="15469"/>
    <cellStyle name="Примечание 8 3 7 4 2" xfId="29288"/>
    <cellStyle name="Примечание 8 3 7 4 3" xfId="39163"/>
    <cellStyle name="Примечание 8 3 7 5" xfId="25196"/>
    <cellStyle name="Примечание 8 3 7 6" xfId="35071"/>
    <cellStyle name="Примечание 8 3 8" xfId="2827"/>
    <cellStyle name="Примечание 8 3 8 2" xfId="12800"/>
    <cellStyle name="Примечание 8 3 8 2 2" xfId="18132"/>
    <cellStyle name="Примечание 8 3 8 2 2 2" xfId="31942"/>
    <cellStyle name="Примечание 8 3 8 2 2 3" xfId="41815"/>
    <cellStyle name="Примечание 8 3 8 2 3" xfId="26674"/>
    <cellStyle name="Примечание 8 3 8 2 4" xfId="36549"/>
    <cellStyle name="Примечание 8 3 8 3" xfId="14023"/>
    <cellStyle name="Примечание 8 3 8 3 2" xfId="16666"/>
    <cellStyle name="Примечание 8 3 8 3 2 2" xfId="30481"/>
    <cellStyle name="Примечание 8 3 8 3 2 3" xfId="40356"/>
    <cellStyle name="Примечание 8 3 8 3 3" xfId="19306"/>
    <cellStyle name="Примечание 8 3 8 3 3 2" xfId="33116"/>
    <cellStyle name="Примечание 8 3 8 3 3 3" xfId="42985"/>
    <cellStyle name="Примечание 8 3 8 3 4" xfId="27844"/>
    <cellStyle name="Примечание 8 3 8 3 5" xfId="37719"/>
    <cellStyle name="Примечание 8 3 8 4" xfId="15521"/>
    <cellStyle name="Примечание 8 3 8 4 2" xfId="29340"/>
    <cellStyle name="Примечание 8 3 8 4 3" xfId="39215"/>
    <cellStyle name="Примечание 8 3 8 5" xfId="25248"/>
    <cellStyle name="Примечание 8 3 8 6" xfId="35123"/>
    <cellStyle name="Примечание 8 3 9" xfId="2822"/>
    <cellStyle name="Примечание 8 3 9 2" xfId="12797"/>
    <cellStyle name="Примечание 8 3 9 2 2" xfId="18129"/>
    <cellStyle name="Примечание 8 3 9 2 2 2" xfId="31939"/>
    <cellStyle name="Примечание 8 3 9 2 2 3" xfId="41812"/>
    <cellStyle name="Примечание 8 3 9 2 3" xfId="26671"/>
    <cellStyle name="Примечание 8 3 9 2 4" xfId="36546"/>
    <cellStyle name="Примечание 8 3 9 3" xfId="14020"/>
    <cellStyle name="Примечание 8 3 9 3 2" xfId="16663"/>
    <cellStyle name="Примечание 8 3 9 3 2 2" xfId="30478"/>
    <cellStyle name="Примечание 8 3 9 3 2 3" xfId="40353"/>
    <cellStyle name="Примечание 8 3 9 3 3" xfId="19303"/>
    <cellStyle name="Примечание 8 3 9 3 3 2" xfId="33113"/>
    <cellStyle name="Примечание 8 3 9 3 3 3" xfId="42982"/>
    <cellStyle name="Примечание 8 3 9 3 4" xfId="27841"/>
    <cellStyle name="Примечание 8 3 9 3 5" xfId="37716"/>
    <cellStyle name="Примечание 8 3 9 4" xfId="15518"/>
    <cellStyle name="Примечание 8 3 9 4 2" xfId="29337"/>
    <cellStyle name="Примечание 8 3 9 4 3" xfId="39212"/>
    <cellStyle name="Примечание 8 3 9 5" xfId="25245"/>
    <cellStyle name="Примечание 8 3 9 6" xfId="35120"/>
    <cellStyle name="Примечание 8 4" xfId="2607"/>
    <cellStyle name="Примечание 8 4 2" xfId="10913"/>
    <cellStyle name="Примечание 8 4 3" xfId="12593"/>
    <cellStyle name="Примечание 8 4 3 2" xfId="17925"/>
    <cellStyle name="Примечание 8 4 3 2 2" xfId="31735"/>
    <cellStyle name="Примечание 8 4 3 2 3" xfId="41608"/>
    <cellStyle name="Примечание 8 4 3 3" xfId="26467"/>
    <cellStyle name="Примечание 8 4 3 4" xfId="36342"/>
    <cellStyle name="Примечание 8 4 4" xfId="13815"/>
    <cellStyle name="Примечание 8 4 4 2" xfId="16458"/>
    <cellStyle name="Примечание 8 4 4 2 2" xfId="30274"/>
    <cellStyle name="Примечание 8 4 4 2 3" xfId="40149"/>
    <cellStyle name="Примечание 8 4 4 3" xfId="19098"/>
    <cellStyle name="Примечание 8 4 4 3 2" xfId="32908"/>
    <cellStyle name="Примечание 8 4 4 3 3" xfId="42778"/>
    <cellStyle name="Примечание 8 4 4 4" xfId="27637"/>
    <cellStyle name="Примечание 8 4 4 5" xfId="37512"/>
    <cellStyle name="Примечание 8 4 5" xfId="15313"/>
    <cellStyle name="Примечание 8 4 5 2" xfId="29133"/>
    <cellStyle name="Примечание 8 4 5 3" xfId="39008"/>
    <cellStyle name="Примечание 8 4 6" xfId="25041"/>
    <cellStyle name="Примечание 8 4 7" xfId="34916"/>
    <cellStyle name="Примечание 8 5" xfId="2433"/>
    <cellStyle name="Примечание 8 5 2" xfId="10921"/>
    <cellStyle name="Примечание 8 5 3" xfId="12438"/>
    <cellStyle name="Примечание 8 5 3 2" xfId="17770"/>
    <cellStyle name="Примечание 8 5 3 2 2" xfId="31580"/>
    <cellStyle name="Примечание 8 5 3 2 3" xfId="41453"/>
    <cellStyle name="Примечание 8 5 3 3" xfId="26312"/>
    <cellStyle name="Примечание 8 5 3 4" xfId="36187"/>
    <cellStyle name="Примечание 8 5 4" xfId="13660"/>
    <cellStyle name="Примечание 8 5 4 2" xfId="16303"/>
    <cellStyle name="Примечание 8 5 4 2 2" xfId="30119"/>
    <cellStyle name="Примечание 8 5 4 2 3" xfId="39994"/>
    <cellStyle name="Примечание 8 5 4 3" xfId="18943"/>
    <cellStyle name="Примечание 8 5 4 3 2" xfId="32753"/>
    <cellStyle name="Примечание 8 5 4 3 3" xfId="42623"/>
    <cellStyle name="Примечание 8 5 4 4" xfId="27482"/>
    <cellStyle name="Примечание 8 5 4 5" xfId="37357"/>
    <cellStyle name="Примечание 8 5 5" xfId="15158"/>
    <cellStyle name="Примечание 8 5 5 2" xfId="28978"/>
    <cellStyle name="Примечание 8 5 5 3" xfId="38853"/>
    <cellStyle name="Примечание 8 5 6" xfId="24886"/>
    <cellStyle name="Примечание 8 5 7" xfId="34761"/>
    <cellStyle name="Примечание 8 6" xfId="2542"/>
    <cellStyle name="Примечание 8 6 2" xfId="10922"/>
    <cellStyle name="Примечание 8 6 3" xfId="12528"/>
    <cellStyle name="Примечание 8 6 3 2" xfId="17860"/>
    <cellStyle name="Примечание 8 6 3 2 2" xfId="31670"/>
    <cellStyle name="Примечание 8 6 3 2 3" xfId="41543"/>
    <cellStyle name="Примечание 8 6 3 3" xfId="26402"/>
    <cellStyle name="Примечание 8 6 3 4" xfId="36277"/>
    <cellStyle name="Примечание 8 6 4" xfId="13750"/>
    <cellStyle name="Примечание 8 6 4 2" xfId="16393"/>
    <cellStyle name="Примечание 8 6 4 2 2" xfId="30209"/>
    <cellStyle name="Примечание 8 6 4 2 3" xfId="40084"/>
    <cellStyle name="Примечание 8 6 4 3" xfId="19033"/>
    <cellStyle name="Примечание 8 6 4 3 2" xfId="32843"/>
    <cellStyle name="Примечание 8 6 4 3 3" xfId="42713"/>
    <cellStyle name="Примечание 8 6 4 4" xfId="27572"/>
    <cellStyle name="Примечание 8 6 4 5" xfId="37447"/>
    <cellStyle name="Примечание 8 6 5" xfId="15248"/>
    <cellStyle name="Примечание 8 6 5 2" xfId="29068"/>
    <cellStyle name="Примечание 8 6 5 3" xfId="38943"/>
    <cellStyle name="Примечание 8 6 6" xfId="24976"/>
    <cellStyle name="Примечание 8 6 7" xfId="34851"/>
    <cellStyle name="Примечание 8 7" xfId="2719"/>
    <cellStyle name="Примечание 8 7 2" xfId="10923"/>
    <cellStyle name="Примечание 8 7 3" xfId="12695"/>
    <cellStyle name="Примечание 8 7 3 2" xfId="18027"/>
    <cellStyle name="Примечание 8 7 3 2 2" xfId="31837"/>
    <cellStyle name="Примечание 8 7 3 2 3" xfId="41710"/>
    <cellStyle name="Примечание 8 7 3 3" xfId="26569"/>
    <cellStyle name="Примечание 8 7 3 4" xfId="36444"/>
    <cellStyle name="Примечание 8 7 4" xfId="13918"/>
    <cellStyle name="Примечание 8 7 4 2" xfId="16561"/>
    <cellStyle name="Примечание 8 7 4 2 2" xfId="30376"/>
    <cellStyle name="Примечание 8 7 4 2 3" xfId="40251"/>
    <cellStyle name="Примечание 8 7 4 3" xfId="19201"/>
    <cellStyle name="Примечание 8 7 4 3 2" xfId="33011"/>
    <cellStyle name="Примечание 8 7 4 3 3" xfId="42880"/>
    <cellStyle name="Примечание 8 7 4 4" xfId="27739"/>
    <cellStyle name="Примечание 8 7 4 5" xfId="37614"/>
    <cellStyle name="Примечание 8 7 5" xfId="15416"/>
    <cellStyle name="Примечание 8 7 5 2" xfId="29235"/>
    <cellStyle name="Примечание 8 7 5 3" xfId="39110"/>
    <cellStyle name="Примечание 8 7 6" xfId="25143"/>
    <cellStyle name="Примечание 8 7 7" xfId="35018"/>
    <cellStyle name="Примечание 8 8" xfId="2642"/>
    <cellStyle name="Примечание 8 8 2" xfId="10924"/>
    <cellStyle name="Примечание 8 8 3" xfId="12628"/>
    <cellStyle name="Примечание 8 8 3 2" xfId="17960"/>
    <cellStyle name="Примечание 8 8 3 2 2" xfId="31770"/>
    <cellStyle name="Примечание 8 8 3 2 3" xfId="41643"/>
    <cellStyle name="Примечание 8 8 3 3" xfId="26502"/>
    <cellStyle name="Примечание 8 8 3 4" xfId="36377"/>
    <cellStyle name="Примечание 8 8 4" xfId="13850"/>
    <cellStyle name="Примечание 8 8 4 2" xfId="16493"/>
    <cellStyle name="Примечание 8 8 4 2 2" xfId="30309"/>
    <cellStyle name="Примечание 8 8 4 2 3" xfId="40184"/>
    <cellStyle name="Примечание 8 8 4 3" xfId="19133"/>
    <cellStyle name="Примечание 8 8 4 3 2" xfId="32943"/>
    <cellStyle name="Примечание 8 8 4 3 3" xfId="42813"/>
    <cellStyle name="Примечание 8 8 4 4" xfId="27672"/>
    <cellStyle name="Примечание 8 8 4 5" xfId="37547"/>
    <cellStyle name="Примечание 8 8 5" xfId="15348"/>
    <cellStyle name="Примечание 8 8 5 2" xfId="29168"/>
    <cellStyle name="Примечание 8 8 5 3" xfId="39043"/>
    <cellStyle name="Примечание 8 8 6" xfId="25076"/>
    <cellStyle name="Примечание 8 8 7" xfId="34951"/>
    <cellStyle name="Примечание 8 9" xfId="2770"/>
    <cellStyle name="Примечание 8 9 2" xfId="10925"/>
    <cellStyle name="Примечание 8 9 3" xfId="12746"/>
    <cellStyle name="Примечание 8 9 3 2" xfId="18078"/>
    <cellStyle name="Примечание 8 9 3 2 2" xfId="31888"/>
    <cellStyle name="Примечание 8 9 3 2 3" xfId="41761"/>
    <cellStyle name="Примечание 8 9 3 3" xfId="26620"/>
    <cellStyle name="Примечание 8 9 3 4" xfId="36495"/>
    <cellStyle name="Примечание 8 9 4" xfId="13969"/>
    <cellStyle name="Примечание 8 9 4 2" xfId="16612"/>
    <cellStyle name="Примечание 8 9 4 2 2" xfId="30427"/>
    <cellStyle name="Примечание 8 9 4 2 3" xfId="40302"/>
    <cellStyle name="Примечание 8 9 4 3" xfId="19252"/>
    <cellStyle name="Примечание 8 9 4 3 2" xfId="33062"/>
    <cellStyle name="Примечание 8 9 4 3 3" xfId="42931"/>
    <cellStyle name="Примечание 8 9 4 4" xfId="27790"/>
    <cellStyle name="Примечание 8 9 4 5" xfId="37665"/>
    <cellStyle name="Примечание 8 9 5" xfId="15467"/>
    <cellStyle name="Примечание 8 9 5 2" xfId="29286"/>
    <cellStyle name="Примечание 8 9 5 3" xfId="39161"/>
    <cellStyle name="Примечание 8 9 6" xfId="25194"/>
    <cellStyle name="Примечание 8 9 7" xfId="35069"/>
    <cellStyle name="Примечание 9" xfId="2237"/>
    <cellStyle name="Примечание 9 10" xfId="2828"/>
    <cellStyle name="Примечание 9 10 2" xfId="10927"/>
    <cellStyle name="Примечание 9 10 3" xfId="12801"/>
    <cellStyle name="Примечание 9 10 3 2" xfId="18133"/>
    <cellStyle name="Примечание 9 10 3 2 2" xfId="31943"/>
    <cellStyle name="Примечание 9 10 3 2 3" xfId="41816"/>
    <cellStyle name="Примечание 9 10 3 3" xfId="26675"/>
    <cellStyle name="Примечание 9 10 3 4" xfId="36550"/>
    <cellStyle name="Примечание 9 10 4" xfId="14024"/>
    <cellStyle name="Примечание 9 10 4 2" xfId="16667"/>
    <cellStyle name="Примечание 9 10 4 2 2" xfId="30482"/>
    <cellStyle name="Примечание 9 10 4 2 3" xfId="40357"/>
    <cellStyle name="Примечание 9 10 4 3" xfId="19307"/>
    <cellStyle name="Примечание 9 10 4 3 2" xfId="33117"/>
    <cellStyle name="Примечание 9 10 4 3 3" xfId="42986"/>
    <cellStyle name="Примечание 9 10 4 4" xfId="27845"/>
    <cellStyle name="Примечание 9 10 4 5" xfId="37720"/>
    <cellStyle name="Примечание 9 10 5" xfId="15522"/>
    <cellStyle name="Примечание 9 10 5 2" xfId="29341"/>
    <cellStyle name="Примечание 9 10 5 3" xfId="39216"/>
    <cellStyle name="Примечание 9 10 6" xfId="25249"/>
    <cellStyle name="Примечание 9 10 7" xfId="35124"/>
    <cellStyle name="Примечание 9 11" xfId="2823"/>
    <cellStyle name="Примечание 9 11 2" xfId="10928"/>
    <cellStyle name="Примечание 9 11 3" xfId="12798"/>
    <cellStyle name="Примечание 9 11 3 2" xfId="18130"/>
    <cellStyle name="Примечание 9 11 3 2 2" xfId="31940"/>
    <cellStyle name="Примечание 9 11 3 2 3" xfId="41813"/>
    <cellStyle name="Примечание 9 11 3 3" xfId="26672"/>
    <cellStyle name="Примечание 9 11 3 4" xfId="36547"/>
    <cellStyle name="Примечание 9 11 4" xfId="14021"/>
    <cellStyle name="Примечание 9 11 4 2" xfId="16664"/>
    <cellStyle name="Примечание 9 11 4 2 2" xfId="30479"/>
    <cellStyle name="Примечание 9 11 4 2 3" xfId="40354"/>
    <cellStyle name="Примечание 9 11 4 3" xfId="19304"/>
    <cellStyle name="Примечание 9 11 4 3 2" xfId="33114"/>
    <cellStyle name="Примечание 9 11 4 3 3" xfId="42983"/>
    <cellStyle name="Примечание 9 11 4 4" xfId="27842"/>
    <cellStyle name="Примечание 9 11 4 5" xfId="37717"/>
    <cellStyle name="Примечание 9 11 5" xfId="15519"/>
    <cellStyle name="Примечание 9 11 5 2" xfId="29338"/>
    <cellStyle name="Примечание 9 11 5 3" xfId="39213"/>
    <cellStyle name="Примечание 9 11 6" xfId="25246"/>
    <cellStyle name="Примечание 9 11 7" xfId="35121"/>
    <cellStyle name="Примечание 9 12" xfId="2931"/>
    <cellStyle name="Примечание 9 12 2" xfId="10929"/>
    <cellStyle name="Примечание 9 12 3" xfId="12900"/>
    <cellStyle name="Примечание 9 12 3 2" xfId="18232"/>
    <cellStyle name="Примечание 9 12 3 2 2" xfId="32042"/>
    <cellStyle name="Примечание 9 12 3 2 3" xfId="41915"/>
    <cellStyle name="Примечание 9 12 3 3" xfId="26774"/>
    <cellStyle name="Примечание 9 12 3 4" xfId="36649"/>
    <cellStyle name="Примечание 9 12 4" xfId="14123"/>
    <cellStyle name="Примечание 9 12 4 2" xfId="16766"/>
    <cellStyle name="Примечание 9 12 4 2 2" xfId="30581"/>
    <cellStyle name="Примечание 9 12 4 2 3" xfId="40456"/>
    <cellStyle name="Примечание 9 12 4 3" xfId="19406"/>
    <cellStyle name="Примечание 9 12 4 3 2" xfId="33216"/>
    <cellStyle name="Примечание 9 12 4 3 3" xfId="43085"/>
    <cellStyle name="Примечание 9 12 4 4" xfId="27944"/>
    <cellStyle name="Примечание 9 12 4 5" xfId="37819"/>
    <cellStyle name="Примечание 9 12 5" xfId="15621"/>
    <cellStyle name="Примечание 9 12 5 2" xfId="29440"/>
    <cellStyle name="Примечание 9 12 5 3" xfId="39315"/>
    <cellStyle name="Примечание 9 12 6" xfId="25348"/>
    <cellStyle name="Примечание 9 12 7" xfId="35223"/>
    <cellStyle name="Примечание 9 13" xfId="2979"/>
    <cellStyle name="Примечание 9 13 2" xfId="10930"/>
    <cellStyle name="Примечание 9 13 3" xfId="12947"/>
    <cellStyle name="Примечание 9 13 3 2" xfId="18279"/>
    <cellStyle name="Примечание 9 13 3 2 2" xfId="32089"/>
    <cellStyle name="Примечание 9 13 3 2 3" xfId="41962"/>
    <cellStyle name="Примечание 9 13 3 3" xfId="26821"/>
    <cellStyle name="Примечание 9 13 3 4" xfId="36696"/>
    <cellStyle name="Примечание 9 13 4" xfId="14170"/>
    <cellStyle name="Примечание 9 13 4 2" xfId="16813"/>
    <cellStyle name="Примечание 9 13 4 2 2" xfId="30628"/>
    <cellStyle name="Примечание 9 13 4 2 3" xfId="40503"/>
    <cellStyle name="Примечание 9 13 4 3" xfId="19453"/>
    <cellStyle name="Примечание 9 13 4 3 2" xfId="33263"/>
    <cellStyle name="Примечание 9 13 4 3 3" xfId="43132"/>
    <cellStyle name="Примечание 9 13 4 4" xfId="27991"/>
    <cellStyle name="Примечание 9 13 4 5" xfId="37866"/>
    <cellStyle name="Примечание 9 13 5" xfId="15668"/>
    <cellStyle name="Примечание 9 13 5 2" xfId="29487"/>
    <cellStyle name="Примечание 9 13 5 3" xfId="39362"/>
    <cellStyle name="Примечание 9 13 6" xfId="25395"/>
    <cellStyle name="Примечание 9 13 7" xfId="35270"/>
    <cellStyle name="Примечание 9 14" xfId="3038"/>
    <cellStyle name="Примечание 9 14 2" xfId="10931"/>
    <cellStyle name="Примечание 9 14 3" xfId="13003"/>
    <cellStyle name="Примечание 9 14 3 2" xfId="18335"/>
    <cellStyle name="Примечание 9 14 3 2 2" xfId="32145"/>
    <cellStyle name="Примечание 9 14 3 2 3" xfId="42018"/>
    <cellStyle name="Примечание 9 14 3 3" xfId="26877"/>
    <cellStyle name="Примечание 9 14 3 4" xfId="36752"/>
    <cellStyle name="Примечание 9 14 4" xfId="14226"/>
    <cellStyle name="Примечание 9 14 4 2" xfId="16869"/>
    <cellStyle name="Примечание 9 14 4 2 2" xfId="30684"/>
    <cellStyle name="Примечание 9 14 4 2 3" xfId="40559"/>
    <cellStyle name="Примечание 9 14 4 3" xfId="19509"/>
    <cellStyle name="Примечание 9 14 4 3 2" xfId="33319"/>
    <cellStyle name="Примечание 9 14 4 3 3" xfId="43188"/>
    <cellStyle name="Примечание 9 14 4 4" xfId="28047"/>
    <cellStyle name="Примечание 9 14 4 5" xfId="37922"/>
    <cellStyle name="Примечание 9 14 5" xfId="15708"/>
    <cellStyle name="Примечание 9 14 5 2" xfId="29527"/>
    <cellStyle name="Примечание 9 14 5 3" xfId="39402"/>
    <cellStyle name="Примечание 9 14 6" xfId="25451"/>
    <cellStyle name="Примечание 9 14 7" xfId="35326"/>
    <cellStyle name="Примечание 9 15" xfId="3030"/>
    <cellStyle name="Примечание 9 15 2" xfId="12065"/>
    <cellStyle name="Примечание 9 15 2 2" xfId="14963"/>
    <cellStyle name="Примечание 9 15 2 2 2" xfId="20246"/>
    <cellStyle name="Примечание 9 15 2 2 2 2" xfId="23229"/>
    <cellStyle name="Примечание 9 15 2 2 2 3" xfId="34056"/>
    <cellStyle name="Примечание 9 15 2 2 2 4" xfId="43924"/>
    <cellStyle name="Примечание 9 15 2 2 3" xfId="23517"/>
    <cellStyle name="Примечание 9 15 2 2 4" xfId="28783"/>
    <cellStyle name="Примечание 9 15 2 2 5" xfId="38658"/>
    <cellStyle name="Примечание 9 15 2 3" xfId="13627"/>
    <cellStyle name="Примечание 9 15 2 3 2" xfId="16270"/>
    <cellStyle name="Примечание 9 15 2 3 2 2" xfId="30086"/>
    <cellStyle name="Примечание 9 15 2 3 2 3" xfId="39961"/>
    <cellStyle name="Примечание 9 15 2 3 3" xfId="18910"/>
    <cellStyle name="Примечание 9 15 2 3 3 2" xfId="32720"/>
    <cellStyle name="Примечание 9 15 2 3 3 3" xfId="42590"/>
    <cellStyle name="Примечание 9 15 2 3 4" xfId="27449"/>
    <cellStyle name="Примечание 9 15 2 3 5" xfId="37324"/>
    <cellStyle name="Примечание 9 15 2 4" xfId="15988"/>
    <cellStyle name="Примечание 9 15 2 4 2" xfId="21844"/>
    <cellStyle name="Примечание 9 15 2 4 3" xfId="29807"/>
    <cellStyle name="Примечание 9 15 2 4 4" xfId="39682"/>
    <cellStyle name="Примечание 9 15 2 5" xfId="24141"/>
    <cellStyle name="Примечание 9 15 2 6" xfId="25939"/>
    <cellStyle name="Примечание 9 15 2 7" xfId="35814"/>
    <cellStyle name="Примечание 9 15 3" xfId="12997"/>
    <cellStyle name="Примечание 9 15 3 2" xfId="18329"/>
    <cellStyle name="Примечание 9 15 3 2 2" xfId="32139"/>
    <cellStyle name="Примечание 9 15 3 2 3" xfId="42012"/>
    <cellStyle name="Примечание 9 15 3 3" xfId="23501"/>
    <cellStyle name="Примечание 9 15 3 4" xfId="26871"/>
    <cellStyle name="Примечание 9 15 3 5" xfId="36746"/>
    <cellStyle name="Примечание 9 15 4" xfId="14220"/>
    <cellStyle name="Примечание 9 15 4 2" xfId="16863"/>
    <cellStyle name="Примечание 9 15 4 2 2" xfId="30678"/>
    <cellStyle name="Примечание 9 15 4 2 3" xfId="40553"/>
    <cellStyle name="Примечание 9 15 4 3" xfId="19503"/>
    <cellStyle name="Примечание 9 15 4 3 2" xfId="33313"/>
    <cellStyle name="Примечание 9 15 4 3 3" xfId="43182"/>
    <cellStyle name="Примечание 9 15 4 4" xfId="28041"/>
    <cellStyle name="Примечание 9 15 4 5" xfId="37916"/>
    <cellStyle name="Примечание 9 15 5" xfId="21756"/>
    <cellStyle name="Примечание 9 15 6" xfId="22493"/>
    <cellStyle name="Примечание 9 15 7" xfId="23981"/>
    <cellStyle name="Примечание 9 15 8" xfId="25445"/>
    <cellStyle name="Примечание 9 15 9" xfId="35320"/>
    <cellStyle name="Примечание 9 16" xfId="12145"/>
    <cellStyle name="Примечание 9 16 2" xfId="15043"/>
    <cellStyle name="Примечание 9 16 2 2" xfId="20326"/>
    <cellStyle name="Примечание 9 16 2 2 2" xfId="23245"/>
    <cellStyle name="Примечание 9 16 2 2 3" xfId="34136"/>
    <cellStyle name="Примечание 9 16 2 2 4" xfId="44004"/>
    <cellStyle name="Примечание 9 16 2 3" xfId="23597"/>
    <cellStyle name="Примечание 9 16 2 4" xfId="28863"/>
    <cellStyle name="Примечание 9 16 2 5" xfId="38738"/>
    <cellStyle name="Примечание 9 16 3" xfId="14412"/>
    <cellStyle name="Примечание 9 16 3 2" xfId="16925"/>
    <cellStyle name="Примечание 9 16 3 2 2" xfId="30740"/>
    <cellStyle name="Примечание 9 16 3 2 3" xfId="40615"/>
    <cellStyle name="Примечание 9 16 3 3" xfId="19695"/>
    <cellStyle name="Примечание 9 16 3 3 2" xfId="33505"/>
    <cellStyle name="Примечание 9 16 3 3 3" xfId="43374"/>
    <cellStyle name="Примечание 9 16 3 4" xfId="28233"/>
    <cellStyle name="Примечание 9 16 3 5" xfId="38108"/>
    <cellStyle name="Примечание 9 16 4" xfId="21524"/>
    <cellStyle name="Примечание 9 16 5" xfId="21892"/>
    <cellStyle name="Примечание 9 16 6" xfId="22717"/>
    <cellStyle name="Примечание 9 16 7" xfId="24221"/>
    <cellStyle name="Примечание 9 16 8" xfId="26019"/>
    <cellStyle name="Примечание 9 16 9" xfId="35894"/>
    <cellStyle name="Примечание 9 17" xfId="12225"/>
    <cellStyle name="Примечание 9 17 2" xfId="15123"/>
    <cellStyle name="Примечание 9 17 2 2" xfId="20406"/>
    <cellStyle name="Примечание 9 17 2 2 2" xfId="23261"/>
    <cellStyle name="Примечание 9 17 2 2 3" xfId="34216"/>
    <cellStyle name="Примечание 9 17 2 2 4" xfId="44084"/>
    <cellStyle name="Примечание 9 17 2 3" xfId="23677"/>
    <cellStyle name="Примечание 9 17 2 4" xfId="28943"/>
    <cellStyle name="Примечание 9 17 2 5" xfId="38818"/>
    <cellStyle name="Примечание 9 17 3" xfId="15125"/>
    <cellStyle name="Примечание 9 17 3 2" xfId="17163"/>
    <cellStyle name="Примечание 9 17 3 2 2" xfId="30977"/>
    <cellStyle name="Примечание 9 17 3 2 3" xfId="40852"/>
    <cellStyle name="Примечание 9 17 3 3" xfId="20408"/>
    <cellStyle name="Примечание 9 17 3 3 2" xfId="34218"/>
    <cellStyle name="Примечание 9 17 3 3 3" xfId="44086"/>
    <cellStyle name="Примечание 9 17 3 4" xfId="28945"/>
    <cellStyle name="Примечание 9 17 3 5" xfId="38820"/>
    <cellStyle name="Примечание 9 17 4" xfId="21604"/>
    <cellStyle name="Примечание 9 17 5" xfId="21940"/>
    <cellStyle name="Примечание 9 17 6" xfId="22797"/>
    <cellStyle name="Примечание 9 17 7" xfId="24301"/>
    <cellStyle name="Примечание 9 17 8" xfId="26099"/>
    <cellStyle name="Примечание 9 17 9" xfId="35974"/>
    <cellStyle name="Примечание 9 18" xfId="11839"/>
    <cellStyle name="Примечание 9 18 2" xfId="14737"/>
    <cellStyle name="Примечание 9 18 2 2" xfId="20020"/>
    <cellStyle name="Примечание 9 18 2 2 2" xfId="33830"/>
    <cellStyle name="Примечание 9 18 2 2 3" xfId="43698"/>
    <cellStyle name="Примечание 9 18 2 3" xfId="28557"/>
    <cellStyle name="Примечание 9 18 2 4" xfId="38432"/>
    <cellStyle name="Примечание 9 18 3" xfId="14263"/>
    <cellStyle name="Примечание 9 18 3 2" xfId="16905"/>
    <cellStyle name="Примечание 9 18 3 2 2" xfId="30720"/>
    <cellStyle name="Примечание 9 18 3 2 3" xfId="40595"/>
    <cellStyle name="Примечание 9 18 3 3" xfId="19546"/>
    <cellStyle name="Примечание 9 18 3 3 2" xfId="33356"/>
    <cellStyle name="Примечание 9 18 3 3 3" xfId="43225"/>
    <cellStyle name="Примечание 9 18 3 4" xfId="28084"/>
    <cellStyle name="Примечание 9 18 3 5" xfId="37959"/>
    <cellStyle name="Примечание 9 18 4" xfId="15970"/>
    <cellStyle name="Примечание 9 18 4 2" xfId="23262"/>
    <cellStyle name="Примечание 9 18 4 3" xfId="29789"/>
    <cellStyle name="Примечание 9 18 4 4" xfId="39664"/>
    <cellStyle name="Примечание 9 18 5" xfId="25713"/>
    <cellStyle name="Примечание 9 18 6" xfId="35588"/>
    <cellStyle name="Примечание 9 19" xfId="13564"/>
    <cellStyle name="Примечание 9 19 2" xfId="16262"/>
    <cellStyle name="Примечание 9 19 2 2" xfId="30079"/>
    <cellStyle name="Примечание 9 19 2 3" xfId="39954"/>
    <cellStyle name="Примечание 9 19 3" xfId="18893"/>
    <cellStyle name="Примечание 9 19 3 2" xfId="32703"/>
    <cellStyle name="Примечание 9 19 3 3" xfId="42574"/>
    <cellStyle name="Примечание 9 19 4" xfId="27433"/>
    <cellStyle name="Примечание 9 19 5" xfId="37308"/>
    <cellStyle name="Примечание 9 2" xfId="2238"/>
    <cellStyle name="Примечание 9 2 10" xfId="2932"/>
    <cellStyle name="Примечание 9 2 10 2" xfId="12901"/>
    <cellStyle name="Примечание 9 2 10 2 2" xfId="18233"/>
    <cellStyle name="Примечание 9 2 10 2 2 2" xfId="32043"/>
    <cellStyle name="Примечание 9 2 10 2 2 3" xfId="41916"/>
    <cellStyle name="Примечание 9 2 10 2 3" xfId="26775"/>
    <cellStyle name="Примечание 9 2 10 2 4" xfId="36650"/>
    <cellStyle name="Примечание 9 2 10 3" xfId="14124"/>
    <cellStyle name="Примечание 9 2 10 3 2" xfId="16767"/>
    <cellStyle name="Примечание 9 2 10 3 2 2" xfId="30582"/>
    <cellStyle name="Примечание 9 2 10 3 2 3" xfId="40457"/>
    <cellStyle name="Примечание 9 2 10 3 3" xfId="19407"/>
    <cellStyle name="Примечание 9 2 10 3 3 2" xfId="33217"/>
    <cellStyle name="Примечание 9 2 10 3 3 3" xfId="43086"/>
    <cellStyle name="Примечание 9 2 10 3 4" xfId="27945"/>
    <cellStyle name="Примечание 9 2 10 3 5" xfId="37820"/>
    <cellStyle name="Примечание 9 2 10 4" xfId="15622"/>
    <cellStyle name="Примечание 9 2 10 4 2" xfId="29441"/>
    <cellStyle name="Примечание 9 2 10 4 3" xfId="39316"/>
    <cellStyle name="Примечание 9 2 10 5" xfId="25349"/>
    <cellStyle name="Примечание 9 2 10 6" xfId="35224"/>
    <cellStyle name="Примечание 9 2 11" xfId="2980"/>
    <cellStyle name="Примечание 9 2 11 2" xfId="12948"/>
    <cellStyle name="Примечание 9 2 11 2 2" xfId="18280"/>
    <cellStyle name="Примечание 9 2 11 2 2 2" xfId="32090"/>
    <cellStyle name="Примечание 9 2 11 2 2 3" xfId="41963"/>
    <cellStyle name="Примечание 9 2 11 2 3" xfId="26822"/>
    <cellStyle name="Примечание 9 2 11 2 4" xfId="36697"/>
    <cellStyle name="Примечание 9 2 11 3" xfId="14171"/>
    <cellStyle name="Примечание 9 2 11 3 2" xfId="16814"/>
    <cellStyle name="Примечание 9 2 11 3 2 2" xfId="30629"/>
    <cellStyle name="Примечание 9 2 11 3 2 3" xfId="40504"/>
    <cellStyle name="Примечание 9 2 11 3 3" xfId="19454"/>
    <cellStyle name="Примечание 9 2 11 3 3 2" xfId="33264"/>
    <cellStyle name="Примечание 9 2 11 3 3 3" xfId="43133"/>
    <cellStyle name="Примечание 9 2 11 3 4" xfId="27992"/>
    <cellStyle name="Примечание 9 2 11 3 5" xfId="37867"/>
    <cellStyle name="Примечание 9 2 11 4" xfId="15669"/>
    <cellStyle name="Примечание 9 2 11 4 2" xfId="29488"/>
    <cellStyle name="Примечание 9 2 11 4 3" xfId="39363"/>
    <cellStyle name="Примечание 9 2 11 5" xfId="25396"/>
    <cellStyle name="Примечание 9 2 11 6" xfId="35271"/>
    <cellStyle name="Примечание 9 2 12" xfId="3039"/>
    <cellStyle name="Примечание 9 2 12 2" xfId="13004"/>
    <cellStyle name="Примечание 9 2 12 2 2" xfId="18336"/>
    <cellStyle name="Примечание 9 2 12 2 2 2" xfId="32146"/>
    <cellStyle name="Примечание 9 2 12 2 2 3" xfId="42019"/>
    <cellStyle name="Примечание 9 2 12 2 3" xfId="26878"/>
    <cellStyle name="Примечание 9 2 12 2 4" xfId="36753"/>
    <cellStyle name="Примечание 9 2 12 3" xfId="14227"/>
    <cellStyle name="Примечание 9 2 12 3 2" xfId="16870"/>
    <cellStyle name="Примечание 9 2 12 3 2 2" xfId="30685"/>
    <cellStyle name="Примечание 9 2 12 3 2 3" xfId="40560"/>
    <cellStyle name="Примечание 9 2 12 3 3" xfId="19510"/>
    <cellStyle name="Примечание 9 2 12 3 3 2" xfId="33320"/>
    <cellStyle name="Примечание 9 2 12 3 3 3" xfId="43189"/>
    <cellStyle name="Примечание 9 2 12 3 4" xfId="28048"/>
    <cellStyle name="Примечание 9 2 12 3 5" xfId="37923"/>
    <cellStyle name="Примечание 9 2 12 4" xfId="15709"/>
    <cellStyle name="Примечание 9 2 12 4 2" xfId="29528"/>
    <cellStyle name="Примечание 9 2 12 4 3" xfId="39403"/>
    <cellStyle name="Примечание 9 2 12 5" xfId="25452"/>
    <cellStyle name="Примечание 9 2 12 6" xfId="35327"/>
    <cellStyle name="Примечание 9 2 13" xfId="3031"/>
    <cellStyle name="Примечание 9 2 13 2" xfId="12998"/>
    <cellStyle name="Примечание 9 2 13 2 2" xfId="18330"/>
    <cellStyle name="Примечание 9 2 13 2 2 2" xfId="32140"/>
    <cellStyle name="Примечание 9 2 13 2 2 3" xfId="42013"/>
    <cellStyle name="Примечание 9 2 13 2 3" xfId="26872"/>
    <cellStyle name="Примечание 9 2 13 2 4" xfId="36747"/>
    <cellStyle name="Примечание 9 2 13 3" xfId="14221"/>
    <cellStyle name="Примечание 9 2 13 3 2" xfId="16864"/>
    <cellStyle name="Примечание 9 2 13 3 2 2" xfId="30679"/>
    <cellStyle name="Примечание 9 2 13 3 2 3" xfId="40554"/>
    <cellStyle name="Примечание 9 2 13 3 3" xfId="19504"/>
    <cellStyle name="Примечание 9 2 13 3 3 2" xfId="33314"/>
    <cellStyle name="Примечание 9 2 13 3 3 3" xfId="43183"/>
    <cellStyle name="Примечание 9 2 13 3 4" xfId="28042"/>
    <cellStyle name="Примечание 9 2 13 3 5" xfId="37917"/>
    <cellStyle name="Примечание 9 2 13 4" xfId="15703"/>
    <cellStyle name="Примечание 9 2 13 4 2" xfId="29522"/>
    <cellStyle name="Примечание 9 2 13 4 3" xfId="39397"/>
    <cellStyle name="Примечание 9 2 13 5" xfId="25446"/>
    <cellStyle name="Примечание 9 2 13 6" xfId="35321"/>
    <cellStyle name="Примечание 9 2 14" xfId="11840"/>
    <cellStyle name="Примечание 9 2 14 2" xfId="14738"/>
    <cellStyle name="Примечание 9 2 14 2 2" xfId="20021"/>
    <cellStyle name="Примечание 9 2 14 2 2 2" xfId="33831"/>
    <cellStyle name="Примечание 9 2 14 2 2 3" xfId="43699"/>
    <cellStyle name="Примечание 9 2 14 2 3" xfId="28558"/>
    <cellStyle name="Примечание 9 2 14 2 4" xfId="38433"/>
    <cellStyle name="Примечание 9 2 14 3" xfId="14264"/>
    <cellStyle name="Примечание 9 2 14 3 2" xfId="16906"/>
    <cellStyle name="Примечание 9 2 14 3 2 2" xfId="30721"/>
    <cellStyle name="Примечание 9 2 14 3 2 3" xfId="40596"/>
    <cellStyle name="Примечание 9 2 14 3 3" xfId="19547"/>
    <cellStyle name="Примечание 9 2 14 3 3 2" xfId="33357"/>
    <cellStyle name="Примечание 9 2 14 3 3 3" xfId="43226"/>
    <cellStyle name="Примечание 9 2 14 3 4" xfId="28085"/>
    <cellStyle name="Примечание 9 2 14 3 5" xfId="37960"/>
    <cellStyle name="Примечание 9 2 14 4" xfId="15971"/>
    <cellStyle name="Примечание 9 2 14 4 2" xfId="24587"/>
    <cellStyle name="Примечание 9 2 14 4 3" xfId="29790"/>
    <cellStyle name="Примечание 9 2 14 4 4" xfId="39665"/>
    <cellStyle name="Примечание 9 2 14 5" xfId="25714"/>
    <cellStyle name="Примечание 9 2 14 6" xfId="35589"/>
    <cellStyle name="Примечание 9 2 15" xfId="12402"/>
    <cellStyle name="Примечание 9 2 15 2" xfId="17734"/>
    <cellStyle name="Примечание 9 2 15 2 2" xfId="31544"/>
    <cellStyle name="Примечание 9 2 15 2 3" xfId="41417"/>
    <cellStyle name="Примечание 9 2 15 3" xfId="26276"/>
    <cellStyle name="Примечание 9 2 15 4" xfId="36151"/>
    <cellStyle name="Примечание 9 2 16" xfId="13565"/>
    <cellStyle name="Примечание 9 2 16 2" xfId="16263"/>
    <cellStyle name="Примечание 9 2 16 2 2" xfId="30080"/>
    <cellStyle name="Примечание 9 2 16 2 3" xfId="39955"/>
    <cellStyle name="Примечание 9 2 16 3" xfId="18894"/>
    <cellStyle name="Примечание 9 2 16 3 2" xfId="32704"/>
    <cellStyle name="Примечание 9 2 16 3 3" xfId="42575"/>
    <cellStyle name="Примечание 9 2 16 4" xfId="27434"/>
    <cellStyle name="Примечание 9 2 16 5" xfId="37309"/>
    <cellStyle name="Примечание 9 2 17" xfId="13515"/>
    <cellStyle name="Примечание 9 2 17 2" xfId="18844"/>
    <cellStyle name="Примечание 9 2 17 2 2" xfId="32654"/>
    <cellStyle name="Примечание 9 2 17 2 3" xfId="42525"/>
    <cellStyle name="Примечание 9 2 17 3" xfId="27384"/>
    <cellStyle name="Примечание 9 2 17 4" xfId="37259"/>
    <cellStyle name="Примечание 9 2 18" xfId="17416"/>
    <cellStyle name="Примечание 9 2 18 2" xfId="31227"/>
    <cellStyle name="Примечание 9 2 18 3" xfId="41101"/>
    <cellStyle name="Примечание 9 2 19" xfId="24852"/>
    <cellStyle name="Примечание 9 2 2" xfId="2611"/>
    <cellStyle name="Примечание 9 2 2 2" xfId="10932"/>
    <cellStyle name="Примечание 9 2 2 3" xfId="12597"/>
    <cellStyle name="Примечание 9 2 2 3 2" xfId="17929"/>
    <cellStyle name="Примечание 9 2 2 3 2 2" xfId="31739"/>
    <cellStyle name="Примечание 9 2 2 3 2 3" xfId="41612"/>
    <cellStyle name="Примечание 9 2 2 3 3" xfId="26471"/>
    <cellStyle name="Примечание 9 2 2 3 4" xfId="36346"/>
    <cellStyle name="Примечание 9 2 2 4" xfId="13819"/>
    <cellStyle name="Примечание 9 2 2 4 2" xfId="16462"/>
    <cellStyle name="Примечание 9 2 2 4 2 2" xfId="30278"/>
    <cellStyle name="Примечание 9 2 2 4 2 3" xfId="40153"/>
    <cellStyle name="Примечание 9 2 2 4 3" xfId="19102"/>
    <cellStyle name="Примечание 9 2 2 4 3 2" xfId="32912"/>
    <cellStyle name="Примечание 9 2 2 4 3 3" xfId="42782"/>
    <cellStyle name="Примечание 9 2 2 4 4" xfId="27641"/>
    <cellStyle name="Примечание 9 2 2 4 5" xfId="37516"/>
    <cellStyle name="Примечание 9 2 2 5" xfId="15317"/>
    <cellStyle name="Примечание 9 2 2 5 2" xfId="29137"/>
    <cellStyle name="Примечание 9 2 2 5 3" xfId="39012"/>
    <cellStyle name="Примечание 9 2 2 6" xfId="25045"/>
    <cellStyle name="Примечание 9 2 2 7" xfId="34920"/>
    <cellStyle name="Примечание 9 2 20" xfId="34467"/>
    <cellStyle name="Примечание 9 2 21" xfId="34717"/>
    <cellStyle name="Примечание 9 2 3" xfId="2429"/>
    <cellStyle name="Примечание 9 2 3 2" xfId="12434"/>
    <cellStyle name="Примечание 9 2 3 2 2" xfId="17766"/>
    <cellStyle name="Примечание 9 2 3 2 2 2" xfId="31576"/>
    <cellStyle name="Примечание 9 2 3 2 2 3" xfId="41449"/>
    <cellStyle name="Примечание 9 2 3 2 3" xfId="26308"/>
    <cellStyle name="Примечание 9 2 3 2 4" xfId="36183"/>
    <cellStyle name="Примечание 9 2 3 3" xfId="13656"/>
    <cellStyle name="Примечание 9 2 3 3 2" xfId="16299"/>
    <cellStyle name="Примечание 9 2 3 3 2 2" xfId="30115"/>
    <cellStyle name="Примечание 9 2 3 3 2 3" xfId="39990"/>
    <cellStyle name="Примечание 9 2 3 3 3" xfId="18939"/>
    <cellStyle name="Примечание 9 2 3 3 3 2" xfId="32749"/>
    <cellStyle name="Примечание 9 2 3 3 3 3" xfId="42619"/>
    <cellStyle name="Примечание 9 2 3 3 4" xfId="27478"/>
    <cellStyle name="Примечание 9 2 3 3 5" xfId="37353"/>
    <cellStyle name="Примечание 9 2 3 4" xfId="15154"/>
    <cellStyle name="Примечание 9 2 3 4 2" xfId="28974"/>
    <cellStyle name="Примечание 9 2 3 4 3" xfId="38849"/>
    <cellStyle name="Примечание 9 2 3 5" xfId="24882"/>
    <cellStyle name="Примечание 9 2 3 6" xfId="34757"/>
    <cellStyle name="Примечание 9 2 4" xfId="2546"/>
    <cellStyle name="Примечание 9 2 4 2" xfId="12532"/>
    <cellStyle name="Примечание 9 2 4 2 2" xfId="17864"/>
    <cellStyle name="Примечание 9 2 4 2 2 2" xfId="31674"/>
    <cellStyle name="Примечание 9 2 4 2 2 3" xfId="41547"/>
    <cellStyle name="Примечание 9 2 4 2 3" xfId="26406"/>
    <cellStyle name="Примечание 9 2 4 2 4" xfId="36281"/>
    <cellStyle name="Примечание 9 2 4 3" xfId="13754"/>
    <cellStyle name="Примечание 9 2 4 3 2" xfId="16397"/>
    <cellStyle name="Примечание 9 2 4 3 2 2" xfId="30213"/>
    <cellStyle name="Примечание 9 2 4 3 2 3" xfId="40088"/>
    <cellStyle name="Примечание 9 2 4 3 3" xfId="19037"/>
    <cellStyle name="Примечание 9 2 4 3 3 2" xfId="32847"/>
    <cellStyle name="Примечание 9 2 4 3 3 3" xfId="42717"/>
    <cellStyle name="Примечание 9 2 4 3 4" xfId="27576"/>
    <cellStyle name="Примечание 9 2 4 3 5" xfId="37451"/>
    <cellStyle name="Примечание 9 2 4 4" xfId="15252"/>
    <cellStyle name="Примечание 9 2 4 4 2" xfId="29072"/>
    <cellStyle name="Примечание 9 2 4 4 3" xfId="38947"/>
    <cellStyle name="Примечание 9 2 4 5" xfId="24980"/>
    <cellStyle name="Примечание 9 2 4 6" xfId="34855"/>
    <cellStyle name="Примечание 9 2 5" xfId="2723"/>
    <cellStyle name="Примечание 9 2 5 2" xfId="12699"/>
    <cellStyle name="Примечание 9 2 5 2 2" xfId="18031"/>
    <cellStyle name="Примечание 9 2 5 2 2 2" xfId="31841"/>
    <cellStyle name="Примечание 9 2 5 2 2 3" xfId="41714"/>
    <cellStyle name="Примечание 9 2 5 2 3" xfId="26573"/>
    <cellStyle name="Примечание 9 2 5 2 4" xfId="36448"/>
    <cellStyle name="Примечание 9 2 5 3" xfId="13922"/>
    <cellStyle name="Примечание 9 2 5 3 2" xfId="16565"/>
    <cellStyle name="Примечание 9 2 5 3 2 2" xfId="30380"/>
    <cellStyle name="Примечание 9 2 5 3 2 3" xfId="40255"/>
    <cellStyle name="Примечание 9 2 5 3 3" xfId="19205"/>
    <cellStyle name="Примечание 9 2 5 3 3 2" xfId="33015"/>
    <cellStyle name="Примечание 9 2 5 3 3 3" xfId="42884"/>
    <cellStyle name="Примечание 9 2 5 3 4" xfId="27743"/>
    <cellStyle name="Примечание 9 2 5 3 5" xfId="37618"/>
    <cellStyle name="Примечание 9 2 5 4" xfId="15420"/>
    <cellStyle name="Примечание 9 2 5 4 2" xfId="29239"/>
    <cellStyle name="Примечание 9 2 5 4 3" xfId="39114"/>
    <cellStyle name="Примечание 9 2 5 5" xfId="25147"/>
    <cellStyle name="Примечание 9 2 5 6" xfId="35022"/>
    <cellStyle name="Примечание 9 2 6" xfId="2646"/>
    <cellStyle name="Примечание 9 2 6 2" xfId="12632"/>
    <cellStyle name="Примечание 9 2 6 2 2" xfId="17964"/>
    <cellStyle name="Примечание 9 2 6 2 2 2" xfId="31774"/>
    <cellStyle name="Примечание 9 2 6 2 2 3" xfId="41647"/>
    <cellStyle name="Примечание 9 2 6 2 3" xfId="26506"/>
    <cellStyle name="Примечание 9 2 6 2 4" xfId="36381"/>
    <cellStyle name="Примечание 9 2 6 3" xfId="13854"/>
    <cellStyle name="Примечание 9 2 6 3 2" xfId="16497"/>
    <cellStyle name="Примечание 9 2 6 3 2 2" xfId="30313"/>
    <cellStyle name="Примечание 9 2 6 3 2 3" xfId="40188"/>
    <cellStyle name="Примечание 9 2 6 3 3" xfId="19137"/>
    <cellStyle name="Примечание 9 2 6 3 3 2" xfId="32947"/>
    <cellStyle name="Примечание 9 2 6 3 3 3" xfId="42817"/>
    <cellStyle name="Примечание 9 2 6 3 4" xfId="27676"/>
    <cellStyle name="Примечание 9 2 6 3 5" xfId="37551"/>
    <cellStyle name="Примечание 9 2 6 4" xfId="15352"/>
    <cellStyle name="Примечание 9 2 6 4 2" xfId="29172"/>
    <cellStyle name="Примечание 9 2 6 4 3" xfId="39047"/>
    <cellStyle name="Примечание 9 2 6 5" xfId="25080"/>
    <cellStyle name="Примечание 9 2 6 6" xfId="34955"/>
    <cellStyle name="Примечание 9 2 7" xfId="2774"/>
    <cellStyle name="Примечание 9 2 7 2" xfId="12750"/>
    <cellStyle name="Примечание 9 2 7 2 2" xfId="18082"/>
    <cellStyle name="Примечание 9 2 7 2 2 2" xfId="31892"/>
    <cellStyle name="Примечание 9 2 7 2 2 3" xfId="41765"/>
    <cellStyle name="Примечание 9 2 7 2 3" xfId="26624"/>
    <cellStyle name="Примечание 9 2 7 2 4" xfId="36499"/>
    <cellStyle name="Примечание 9 2 7 3" xfId="13973"/>
    <cellStyle name="Примечание 9 2 7 3 2" xfId="16616"/>
    <cellStyle name="Примечание 9 2 7 3 2 2" xfId="30431"/>
    <cellStyle name="Примечание 9 2 7 3 2 3" xfId="40306"/>
    <cellStyle name="Примечание 9 2 7 3 3" xfId="19256"/>
    <cellStyle name="Примечание 9 2 7 3 3 2" xfId="33066"/>
    <cellStyle name="Примечание 9 2 7 3 3 3" xfId="42935"/>
    <cellStyle name="Примечание 9 2 7 3 4" xfId="27794"/>
    <cellStyle name="Примечание 9 2 7 3 5" xfId="37669"/>
    <cellStyle name="Примечание 9 2 7 4" xfId="15471"/>
    <cellStyle name="Примечание 9 2 7 4 2" xfId="29290"/>
    <cellStyle name="Примечание 9 2 7 4 3" xfId="39165"/>
    <cellStyle name="Примечание 9 2 7 5" xfId="25198"/>
    <cellStyle name="Примечание 9 2 7 6" xfId="35073"/>
    <cellStyle name="Примечание 9 2 8" xfId="2830"/>
    <cellStyle name="Примечание 9 2 8 2" xfId="12802"/>
    <cellStyle name="Примечание 9 2 8 2 2" xfId="18134"/>
    <cellStyle name="Примечание 9 2 8 2 2 2" xfId="31944"/>
    <cellStyle name="Примечание 9 2 8 2 2 3" xfId="41817"/>
    <cellStyle name="Примечание 9 2 8 2 3" xfId="26676"/>
    <cellStyle name="Примечание 9 2 8 2 4" xfId="36551"/>
    <cellStyle name="Примечание 9 2 8 3" xfId="14025"/>
    <cellStyle name="Примечание 9 2 8 3 2" xfId="16668"/>
    <cellStyle name="Примечание 9 2 8 3 2 2" xfId="30483"/>
    <cellStyle name="Примечание 9 2 8 3 2 3" xfId="40358"/>
    <cellStyle name="Примечание 9 2 8 3 3" xfId="19308"/>
    <cellStyle name="Примечание 9 2 8 3 3 2" xfId="33118"/>
    <cellStyle name="Примечание 9 2 8 3 3 3" xfId="42987"/>
    <cellStyle name="Примечание 9 2 8 3 4" xfId="27846"/>
    <cellStyle name="Примечание 9 2 8 3 5" xfId="37721"/>
    <cellStyle name="Примечание 9 2 8 4" xfId="15523"/>
    <cellStyle name="Примечание 9 2 8 4 2" xfId="29342"/>
    <cellStyle name="Примечание 9 2 8 4 3" xfId="39217"/>
    <cellStyle name="Примечание 9 2 8 5" xfId="25250"/>
    <cellStyle name="Примечание 9 2 8 6" xfId="35125"/>
    <cellStyle name="Примечание 9 2 9" xfId="2878"/>
    <cellStyle name="Примечание 9 2 9 2" xfId="12848"/>
    <cellStyle name="Примечание 9 2 9 2 2" xfId="18180"/>
    <cellStyle name="Примечание 9 2 9 2 2 2" xfId="31990"/>
    <cellStyle name="Примечание 9 2 9 2 2 3" xfId="41863"/>
    <cellStyle name="Примечание 9 2 9 2 3" xfId="26722"/>
    <cellStyle name="Примечание 9 2 9 2 4" xfId="36597"/>
    <cellStyle name="Примечание 9 2 9 3" xfId="14071"/>
    <cellStyle name="Примечание 9 2 9 3 2" xfId="16714"/>
    <cellStyle name="Примечание 9 2 9 3 2 2" xfId="30529"/>
    <cellStyle name="Примечание 9 2 9 3 2 3" xfId="40404"/>
    <cellStyle name="Примечание 9 2 9 3 3" xfId="19354"/>
    <cellStyle name="Примечание 9 2 9 3 3 2" xfId="33164"/>
    <cellStyle name="Примечание 9 2 9 3 3 3" xfId="43033"/>
    <cellStyle name="Примечание 9 2 9 3 4" xfId="27892"/>
    <cellStyle name="Примечание 9 2 9 3 5" xfId="37767"/>
    <cellStyle name="Примечание 9 2 9 4" xfId="15569"/>
    <cellStyle name="Примечание 9 2 9 4 2" xfId="29388"/>
    <cellStyle name="Примечание 9 2 9 4 3" xfId="39263"/>
    <cellStyle name="Примечание 9 2 9 5" xfId="25296"/>
    <cellStyle name="Примечание 9 2 9 6" xfId="35171"/>
    <cellStyle name="Примечание 9 20" xfId="13514"/>
    <cellStyle name="Примечание 9 20 2" xfId="18843"/>
    <cellStyle name="Примечание 9 20 2 2" xfId="32653"/>
    <cellStyle name="Примечание 9 20 2 3" xfId="42524"/>
    <cellStyle name="Примечание 9 20 3" xfId="27383"/>
    <cellStyle name="Примечание 9 20 4" xfId="37258"/>
    <cellStyle name="Примечание 9 21" xfId="17415"/>
    <cellStyle name="Примечание 9 21 2" xfId="21115"/>
    <cellStyle name="Примечание 9 21 3" xfId="31226"/>
    <cellStyle name="Примечание 9 21 4" xfId="41100"/>
    <cellStyle name="Примечание 9 22" xfId="23901"/>
    <cellStyle name="Примечание 9 23" xfId="24851"/>
    <cellStyle name="Примечание 9 24" xfId="34466"/>
    <cellStyle name="Примечание 9 25" xfId="34716"/>
    <cellStyle name="Примечание 9 3" xfId="2239"/>
    <cellStyle name="Примечание 9 3 10" xfId="2933"/>
    <cellStyle name="Примечание 9 3 10 2" xfId="12902"/>
    <cellStyle name="Примечание 9 3 10 2 2" xfId="18234"/>
    <cellStyle name="Примечание 9 3 10 2 2 2" xfId="32044"/>
    <cellStyle name="Примечание 9 3 10 2 2 3" xfId="41917"/>
    <cellStyle name="Примечание 9 3 10 2 3" xfId="26776"/>
    <cellStyle name="Примечание 9 3 10 2 4" xfId="36651"/>
    <cellStyle name="Примечание 9 3 10 3" xfId="14125"/>
    <cellStyle name="Примечание 9 3 10 3 2" xfId="16768"/>
    <cellStyle name="Примечание 9 3 10 3 2 2" xfId="30583"/>
    <cellStyle name="Примечание 9 3 10 3 2 3" xfId="40458"/>
    <cellStyle name="Примечание 9 3 10 3 3" xfId="19408"/>
    <cellStyle name="Примечание 9 3 10 3 3 2" xfId="33218"/>
    <cellStyle name="Примечание 9 3 10 3 3 3" xfId="43087"/>
    <cellStyle name="Примечание 9 3 10 3 4" xfId="27946"/>
    <cellStyle name="Примечание 9 3 10 3 5" xfId="37821"/>
    <cellStyle name="Примечание 9 3 10 4" xfId="15623"/>
    <cellStyle name="Примечание 9 3 10 4 2" xfId="29442"/>
    <cellStyle name="Примечание 9 3 10 4 3" xfId="39317"/>
    <cellStyle name="Примечание 9 3 10 5" xfId="25350"/>
    <cellStyle name="Примечание 9 3 10 6" xfId="35225"/>
    <cellStyle name="Примечание 9 3 11" xfId="2981"/>
    <cellStyle name="Примечание 9 3 11 2" xfId="12949"/>
    <cellStyle name="Примечание 9 3 11 2 2" xfId="18281"/>
    <cellStyle name="Примечание 9 3 11 2 2 2" xfId="32091"/>
    <cellStyle name="Примечание 9 3 11 2 2 3" xfId="41964"/>
    <cellStyle name="Примечание 9 3 11 2 3" xfId="26823"/>
    <cellStyle name="Примечание 9 3 11 2 4" xfId="36698"/>
    <cellStyle name="Примечание 9 3 11 3" xfId="14172"/>
    <cellStyle name="Примечание 9 3 11 3 2" xfId="16815"/>
    <cellStyle name="Примечание 9 3 11 3 2 2" xfId="30630"/>
    <cellStyle name="Примечание 9 3 11 3 2 3" xfId="40505"/>
    <cellStyle name="Примечание 9 3 11 3 3" xfId="19455"/>
    <cellStyle name="Примечание 9 3 11 3 3 2" xfId="33265"/>
    <cellStyle name="Примечание 9 3 11 3 3 3" xfId="43134"/>
    <cellStyle name="Примечание 9 3 11 3 4" xfId="27993"/>
    <cellStyle name="Примечание 9 3 11 3 5" xfId="37868"/>
    <cellStyle name="Примечание 9 3 11 4" xfId="15670"/>
    <cellStyle name="Примечание 9 3 11 4 2" xfId="29489"/>
    <cellStyle name="Примечание 9 3 11 4 3" xfId="39364"/>
    <cellStyle name="Примечание 9 3 11 5" xfId="25397"/>
    <cellStyle name="Примечание 9 3 11 6" xfId="35272"/>
    <cellStyle name="Примечание 9 3 12" xfId="3040"/>
    <cellStyle name="Примечание 9 3 12 2" xfId="13005"/>
    <cellStyle name="Примечание 9 3 12 2 2" xfId="18337"/>
    <cellStyle name="Примечание 9 3 12 2 2 2" xfId="32147"/>
    <cellStyle name="Примечание 9 3 12 2 2 3" xfId="42020"/>
    <cellStyle name="Примечание 9 3 12 2 3" xfId="26879"/>
    <cellStyle name="Примечание 9 3 12 2 4" xfId="36754"/>
    <cellStyle name="Примечание 9 3 12 3" xfId="14228"/>
    <cellStyle name="Примечание 9 3 12 3 2" xfId="16871"/>
    <cellStyle name="Примечание 9 3 12 3 2 2" xfId="30686"/>
    <cellStyle name="Примечание 9 3 12 3 2 3" xfId="40561"/>
    <cellStyle name="Примечание 9 3 12 3 3" xfId="19511"/>
    <cellStyle name="Примечание 9 3 12 3 3 2" xfId="33321"/>
    <cellStyle name="Примечание 9 3 12 3 3 3" xfId="43190"/>
    <cellStyle name="Примечание 9 3 12 3 4" xfId="28049"/>
    <cellStyle name="Примечание 9 3 12 3 5" xfId="37924"/>
    <cellStyle name="Примечание 9 3 12 4" xfId="15710"/>
    <cellStyle name="Примечание 9 3 12 4 2" xfId="29529"/>
    <cellStyle name="Примечание 9 3 12 4 3" xfId="39404"/>
    <cellStyle name="Примечание 9 3 12 5" xfId="25453"/>
    <cellStyle name="Примечание 9 3 12 6" xfId="35328"/>
    <cellStyle name="Примечание 9 3 13" xfId="3033"/>
    <cellStyle name="Примечание 9 3 13 2" xfId="12999"/>
    <cellStyle name="Примечание 9 3 13 2 2" xfId="18331"/>
    <cellStyle name="Примечание 9 3 13 2 2 2" xfId="32141"/>
    <cellStyle name="Примечание 9 3 13 2 2 3" xfId="42014"/>
    <cellStyle name="Примечание 9 3 13 2 3" xfId="26873"/>
    <cellStyle name="Примечание 9 3 13 2 4" xfId="36748"/>
    <cellStyle name="Примечание 9 3 13 3" xfId="14222"/>
    <cellStyle name="Примечание 9 3 13 3 2" xfId="16865"/>
    <cellStyle name="Примечание 9 3 13 3 2 2" xfId="30680"/>
    <cellStyle name="Примечание 9 3 13 3 2 3" xfId="40555"/>
    <cellStyle name="Примечание 9 3 13 3 3" xfId="19505"/>
    <cellStyle name="Примечание 9 3 13 3 3 2" xfId="33315"/>
    <cellStyle name="Примечание 9 3 13 3 3 3" xfId="43184"/>
    <cellStyle name="Примечание 9 3 13 3 4" xfId="28043"/>
    <cellStyle name="Примечание 9 3 13 3 5" xfId="37918"/>
    <cellStyle name="Примечание 9 3 13 4" xfId="15704"/>
    <cellStyle name="Примечание 9 3 13 4 2" xfId="29523"/>
    <cellStyle name="Примечание 9 3 13 4 3" xfId="39398"/>
    <cellStyle name="Примечание 9 3 13 5" xfId="25447"/>
    <cellStyle name="Примечание 9 3 13 6" xfId="35322"/>
    <cellStyle name="Примечание 9 3 14" xfId="11841"/>
    <cellStyle name="Примечание 9 3 14 2" xfId="14739"/>
    <cellStyle name="Примечание 9 3 14 2 2" xfId="20022"/>
    <cellStyle name="Примечание 9 3 14 2 2 2" xfId="33832"/>
    <cellStyle name="Примечание 9 3 14 2 2 3" xfId="43700"/>
    <cellStyle name="Примечание 9 3 14 2 3" xfId="28559"/>
    <cellStyle name="Примечание 9 3 14 2 4" xfId="38434"/>
    <cellStyle name="Примечание 9 3 14 3" xfId="13047"/>
    <cellStyle name="Примечание 9 3 14 3 2" xfId="15998"/>
    <cellStyle name="Примечание 9 3 14 3 2 2" xfId="29817"/>
    <cellStyle name="Примечание 9 3 14 3 2 3" xfId="39692"/>
    <cellStyle name="Примечание 9 3 14 3 3" xfId="18379"/>
    <cellStyle name="Примечание 9 3 14 3 3 2" xfId="32189"/>
    <cellStyle name="Примечание 9 3 14 3 3 3" xfId="42062"/>
    <cellStyle name="Примечание 9 3 14 3 4" xfId="26921"/>
    <cellStyle name="Примечание 9 3 14 3 5" xfId="36796"/>
    <cellStyle name="Примечание 9 3 14 4" xfId="15972"/>
    <cellStyle name="Примечание 9 3 14 4 2" xfId="24588"/>
    <cellStyle name="Примечание 9 3 14 4 3" xfId="29791"/>
    <cellStyle name="Примечание 9 3 14 4 4" xfId="39666"/>
    <cellStyle name="Примечание 9 3 14 5" xfId="25715"/>
    <cellStyle name="Примечание 9 3 14 6" xfId="35590"/>
    <cellStyle name="Примечание 9 3 15" xfId="12403"/>
    <cellStyle name="Примечание 9 3 15 2" xfId="17735"/>
    <cellStyle name="Примечание 9 3 15 2 2" xfId="31545"/>
    <cellStyle name="Примечание 9 3 15 2 3" xfId="41418"/>
    <cellStyle name="Примечание 9 3 15 3" xfId="26277"/>
    <cellStyle name="Примечание 9 3 15 4" xfId="36152"/>
    <cellStyle name="Примечание 9 3 16" xfId="13566"/>
    <cellStyle name="Примечание 9 3 16 2" xfId="16264"/>
    <cellStyle name="Примечание 9 3 16 2 2" xfId="30081"/>
    <cellStyle name="Примечание 9 3 16 2 3" xfId="39956"/>
    <cellStyle name="Примечание 9 3 16 3" xfId="18895"/>
    <cellStyle name="Примечание 9 3 16 3 2" xfId="32705"/>
    <cellStyle name="Примечание 9 3 16 3 3" xfId="42576"/>
    <cellStyle name="Примечание 9 3 16 4" xfId="27435"/>
    <cellStyle name="Примечание 9 3 16 5" xfId="37310"/>
    <cellStyle name="Примечание 9 3 17" xfId="13516"/>
    <cellStyle name="Примечание 9 3 17 2" xfId="18845"/>
    <cellStyle name="Примечание 9 3 17 2 2" xfId="32655"/>
    <cellStyle name="Примечание 9 3 17 2 3" xfId="42526"/>
    <cellStyle name="Примечание 9 3 17 3" xfId="27385"/>
    <cellStyle name="Примечание 9 3 17 4" xfId="37260"/>
    <cellStyle name="Примечание 9 3 18" xfId="17417"/>
    <cellStyle name="Примечание 9 3 18 2" xfId="31228"/>
    <cellStyle name="Примечание 9 3 18 3" xfId="41102"/>
    <cellStyle name="Примечание 9 3 19" xfId="24853"/>
    <cellStyle name="Примечание 9 3 2" xfId="2612"/>
    <cellStyle name="Примечание 9 3 2 2" xfId="10933"/>
    <cellStyle name="Примечание 9 3 2 3" xfId="12598"/>
    <cellStyle name="Примечание 9 3 2 3 2" xfId="17930"/>
    <cellStyle name="Примечание 9 3 2 3 2 2" xfId="31740"/>
    <cellStyle name="Примечание 9 3 2 3 2 3" xfId="41613"/>
    <cellStyle name="Примечание 9 3 2 3 3" xfId="26472"/>
    <cellStyle name="Примечание 9 3 2 3 4" xfId="36347"/>
    <cellStyle name="Примечание 9 3 2 4" xfId="13820"/>
    <cellStyle name="Примечание 9 3 2 4 2" xfId="16463"/>
    <cellStyle name="Примечание 9 3 2 4 2 2" xfId="30279"/>
    <cellStyle name="Примечание 9 3 2 4 2 3" xfId="40154"/>
    <cellStyle name="Примечание 9 3 2 4 3" xfId="19103"/>
    <cellStyle name="Примечание 9 3 2 4 3 2" xfId="32913"/>
    <cellStyle name="Примечание 9 3 2 4 3 3" xfId="42783"/>
    <cellStyle name="Примечание 9 3 2 4 4" xfId="27642"/>
    <cellStyle name="Примечание 9 3 2 4 5" xfId="37517"/>
    <cellStyle name="Примечание 9 3 2 5" xfId="15318"/>
    <cellStyle name="Примечание 9 3 2 5 2" xfId="29138"/>
    <cellStyle name="Примечание 9 3 2 5 3" xfId="39013"/>
    <cellStyle name="Примечание 9 3 2 6" xfId="25046"/>
    <cellStyle name="Примечание 9 3 2 7" xfId="34921"/>
    <cellStyle name="Примечание 9 3 20" xfId="34468"/>
    <cellStyle name="Примечание 9 3 21" xfId="34718"/>
    <cellStyle name="Примечание 9 3 3" xfId="2428"/>
    <cellStyle name="Примечание 9 3 3 2" xfId="12433"/>
    <cellStyle name="Примечание 9 3 3 2 2" xfId="17765"/>
    <cellStyle name="Примечание 9 3 3 2 2 2" xfId="31575"/>
    <cellStyle name="Примечание 9 3 3 2 2 3" xfId="41448"/>
    <cellStyle name="Примечание 9 3 3 2 3" xfId="26307"/>
    <cellStyle name="Примечание 9 3 3 2 4" xfId="36182"/>
    <cellStyle name="Примечание 9 3 3 3" xfId="13655"/>
    <cellStyle name="Примечание 9 3 3 3 2" xfId="16298"/>
    <cellStyle name="Примечание 9 3 3 3 2 2" xfId="30114"/>
    <cellStyle name="Примечание 9 3 3 3 2 3" xfId="39989"/>
    <cellStyle name="Примечание 9 3 3 3 3" xfId="18938"/>
    <cellStyle name="Примечание 9 3 3 3 3 2" xfId="32748"/>
    <cellStyle name="Примечание 9 3 3 3 3 3" xfId="42618"/>
    <cellStyle name="Примечание 9 3 3 3 4" xfId="27477"/>
    <cellStyle name="Примечание 9 3 3 3 5" xfId="37352"/>
    <cellStyle name="Примечание 9 3 3 4" xfId="15153"/>
    <cellStyle name="Примечание 9 3 3 4 2" xfId="28973"/>
    <cellStyle name="Примечание 9 3 3 4 3" xfId="38848"/>
    <cellStyle name="Примечание 9 3 3 5" xfId="24881"/>
    <cellStyle name="Примечание 9 3 3 6" xfId="34756"/>
    <cellStyle name="Примечание 9 3 4" xfId="2547"/>
    <cellStyle name="Примечание 9 3 4 2" xfId="12533"/>
    <cellStyle name="Примечание 9 3 4 2 2" xfId="17865"/>
    <cellStyle name="Примечание 9 3 4 2 2 2" xfId="31675"/>
    <cellStyle name="Примечание 9 3 4 2 2 3" xfId="41548"/>
    <cellStyle name="Примечание 9 3 4 2 3" xfId="26407"/>
    <cellStyle name="Примечание 9 3 4 2 4" xfId="36282"/>
    <cellStyle name="Примечание 9 3 4 3" xfId="13755"/>
    <cellStyle name="Примечание 9 3 4 3 2" xfId="16398"/>
    <cellStyle name="Примечание 9 3 4 3 2 2" xfId="30214"/>
    <cellStyle name="Примечание 9 3 4 3 2 3" xfId="40089"/>
    <cellStyle name="Примечание 9 3 4 3 3" xfId="19038"/>
    <cellStyle name="Примечание 9 3 4 3 3 2" xfId="32848"/>
    <cellStyle name="Примечание 9 3 4 3 3 3" xfId="42718"/>
    <cellStyle name="Примечание 9 3 4 3 4" xfId="27577"/>
    <cellStyle name="Примечание 9 3 4 3 5" xfId="37452"/>
    <cellStyle name="Примечание 9 3 4 4" xfId="15253"/>
    <cellStyle name="Примечание 9 3 4 4 2" xfId="29073"/>
    <cellStyle name="Примечание 9 3 4 4 3" xfId="38948"/>
    <cellStyle name="Примечание 9 3 4 5" xfId="24981"/>
    <cellStyle name="Примечание 9 3 4 6" xfId="34856"/>
    <cellStyle name="Примечание 9 3 5" xfId="2724"/>
    <cellStyle name="Примечание 9 3 5 2" xfId="12700"/>
    <cellStyle name="Примечание 9 3 5 2 2" xfId="18032"/>
    <cellStyle name="Примечание 9 3 5 2 2 2" xfId="31842"/>
    <cellStyle name="Примечание 9 3 5 2 2 3" xfId="41715"/>
    <cellStyle name="Примечание 9 3 5 2 3" xfId="26574"/>
    <cellStyle name="Примечание 9 3 5 2 4" xfId="36449"/>
    <cellStyle name="Примечание 9 3 5 3" xfId="13923"/>
    <cellStyle name="Примечание 9 3 5 3 2" xfId="16566"/>
    <cellStyle name="Примечание 9 3 5 3 2 2" xfId="30381"/>
    <cellStyle name="Примечание 9 3 5 3 2 3" xfId="40256"/>
    <cellStyle name="Примечание 9 3 5 3 3" xfId="19206"/>
    <cellStyle name="Примечание 9 3 5 3 3 2" xfId="33016"/>
    <cellStyle name="Примечание 9 3 5 3 3 3" xfId="42885"/>
    <cellStyle name="Примечание 9 3 5 3 4" xfId="27744"/>
    <cellStyle name="Примечание 9 3 5 3 5" xfId="37619"/>
    <cellStyle name="Примечание 9 3 5 4" xfId="15421"/>
    <cellStyle name="Примечание 9 3 5 4 2" xfId="29240"/>
    <cellStyle name="Примечание 9 3 5 4 3" xfId="39115"/>
    <cellStyle name="Примечание 9 3 5 5" xfId="25148"/>
    <cellStyle name="Примечание 9 3 5 6" xfId="35023"/>
    <cellStyle name="Примечание 9 3 6" xfId="2647"/>
    <cellStyle name="Примечание 9 3 6 2" xfId="12633"/>
    <cellStyle name="Примечание 9 3 6 2 2" xfId="17965"/>
    <cellStyle name="Примечание 9 3 6 2 2 2" xfId="31775"/>
    <cellStyle name="Примечание 9 3 6 2 2 3" xfId="41648"/>
    <cellStyle name="Примечание 9 3 6 2 3" xfId="26507"/>
    <cellStyle name="Примечание 9 3 6 2 4" xfId="36382"/>
    <cellStyle name="Примечание 9 3 6 3" xfId="13855"/>
    <cellStyle name="Примечание 9 3 6 3 2" xfId="16498"/>
    <cellStyle name="Примечание 9 3 6 3 2 2" xfId="30314"/>
    <cellStyle name="Примечание 9 3 6 3 2 3" xfId="40189"/>
    <cellStyle name="Примечание 9 3 6 3 3" xfId="19138"/>
    <cellStyle name="Примечание 9 3 6 3 3 2" xfId="32948"/>
    <cellStyle name="Примечание 9 3 6 3 3 3" xfId="42818"/>
    <cellStyle name="Примечание 9 3 6 3 4" xfId="27677"/>
    <cellStyle name="Примечание 9 3 6 3 5" xfId="37552"/>
    <cellStyle name="Примечание 9 3 6 4" xfId="15353"/>
    <cellStyle name="Примечание 9 3 6 4 2" xfId="29173"/>
    <cellStyle name="Примечание 9 3 6 4 3" xfId="39048"/>
    <cellStyle name="Примечание 9 3 6 5" xfId="25081"/>
    <cellStyle name="Примечание 9 3 6 6" xfId="34956"/>
    <cellStyle name="Примечание 9 3 7" xfId="2776"/>
    <cellStyle name="Примечание 9 3 7 2" xfId="12751"/>
    <cellStyle name="Примечание 9 3 7 2 2" xfId="18083"/>
    <cellStyle name="Примечание 9 3 7 2 2 2" xfId="31893"/>
    <cellStyle name="Примечание 9 3 7 2 2 3" xfId="41766"/>
    <cellStyle name="Примечание 9 3 7 2 3" xfId="26625"/>
    <cellStyle name="Примечание 9 3 7 2 4" xfId="36500"/>
    <cellStyle name="Примечание 9 3 7 3" xfId="13974"/>
    <cellStyle name="Примечание 9 3 7 3 2" xfId="16617"/>
    <cellStyle name="Примечание 9 3 7 3 2 2" xfId="30432"/>
    <cellStyle name="Примечание 9 3 7 3 2 3" xfId="40307"/>
    <cellStyle name="Примечание 9 3 7 3 3" xfId="19257"/>
    <cellStyle name="Примечание 9 3 7 3 3 2" xfId="33067"/>
    <cellStyle name="Примечание 9 3 7 3 3 3" xfId="42936"/>
    <cellStyle name="Примечание 9 3 7 3 4" xfId="27795"/>
    <cellStyle name="Примечание 9 3 7 3 5" xfId="37670"/>
    <cellStyle name="Примечание 9 3 7 4" xfId="15472"/>
    <cellStyle name="Примечание 9 3 7 4 2" xfId="29291"/>
    <cellStyle name="Примечание 9 3 7 4 3" xfId="39166"/>
    <cellStyle name="Примечание 9 3 7 5" xfId="25199"/>
    <cellStyle name="Примечание 9 3 7 6" xfId="35074"/>
    <cellStyle name="Примечание 9 3 8" xfId="2831"/>
    <cellStyle name="Примечание 9 3 8 2" xfId="12803"/>
    <cellStyle name="Примечание 9 3 8 2 2" xfId="18135"/>
    <cellStyle name="Примечание 9 3 8 2 2 2" xfId="31945"/>
    <cellStyle name="Примечание 9 3 8 2 2 3" xfId="41818"/>
    <cellStyle name="Примечание 9 3 8 2 3" xfId="26677"/>
    <cellStyle name="Примечание 9 3 8 2 4" xfId="36552"/>
    <cellStyle name="Примечание 9 3 8 3" xfId="14026"/>
    <cellStyle name="Примечание 9 3 8 3 2" xfId="16669"/>
    <cellStyle name="Примечание 9 3 8 3 2 2" xfId="30484"/>
    <cellStyle name="Примечание 9 3 8 3 2 3" xfId="40359"/>
    <cellStyle name="Примечание 9 3 8 3 3" xfId="19309"/>
    <cellStyle name="Примечание 9 3 8 3 3 2" xfId="33119"/>
    <cellStyle name="Примечание 9 3 8 3 3 3" xfId="42988"/>
    <cellStyle name="Примечание 9 3 8 3 4" xfId="27847"/>
    <cellStyle name="Примечание 9 3 8 3 5" xfId="37722"/>
    <cellStyle name="Примечание 9 3 8 4" xfId="15524"/>
    <cellStyle name="Примечание 9 3 8 4 2" xfId="29343"/>
    <cellStyle name="Примечание 9 3 8 4 3" xfId="39218"/>
    <cellStyle name="Примечание 9 3 8 5" xfId="25251"/>
    <cellStyle name="Примечание 9 3 8 6" xfId="35126"/>
    <cellStyle name="Примечание 9 3 9" xfId="2879"/>
    <cellStyle name="Примечание 9 3 9 2" xfId="12849"/>
    <cellStyle name="Примечание 9 3 9 2 2" xfId="18181"/>
    <cellStyle name="Примечание 9 3 9 2 2 2" xfId="31991"/>
    <cellStyle name="Примечание 9 3 9 2 2 3" xfId="41864"/>
    <cellStyle name="Примечание 9 3 9 2 3" xfId="26723"/>
    <cellStyle name="Примечание 9 3 9 2 4" xfId="36598"/>
    <cellStyle name="Примечание 9 3 9 3" xfId="14072"/>
    <cellStyle name="Примечание 9 3 9 3 2" xfId="16715"/>
    <cellStyle name="Примечание 9 3 9 3 2 2" xfId="30530"/>
    <cellStyle name="Примечание 9 3 9 3 2 3" xfId="40405"/>
    <cellStyle name="Примечание 9 3 9 3 3" xfId="19355"/>
    <cellStyle name="Примечание 9 3 9 3 3 2" xfId="33165"/>
    <cellStyle name="Примечание 9 3 9 3 3 3" xfId="43034"/>
    <cellStyle name="Примечание 9 3 9 3 4" xfId="27893"/>
    <cellStyle name="Примечание 9 3 9 3 5" xfId="37768"/>
    <cellStyle name="Примечание 9 3 9 4" xfId="15570"/>
    <cellStyle name="Примечание 9 3 9 4 2" xfId="29389"/>
    <cellStyle name="Примечание 9 3 9 4 3" xfId="39264"/>
    <cellStyle name="Примечание 9 3 9 5" xfId="25297"/>
    <cellStyle name="Примечание 9 3 9 6" xfId="35172"/>
    <cellStyle name="Примечание 9 4" xfId="2610"/>
    <cellStyle name="Примечание 9 4 2" xfId="10926"/>
    <cellStyle name="Примечание 9 4 3" xfId="12596"/>
    <cellStyle name="Примечание 9 4 3 2" xfId="17928"/>
    <cellStyle name="Примечание 9 4 3 2 2" xfId="31738"/>
    <cellStyle name="Примечание 9 4 3 2 3" xfId="41611"/>
    <cellStyle name="Примечание 9 4 3 3" xfId="26470"/>
    <cellStyle name="Примечание 9 4 3 4" xfId="36345"/>
    <cellStyle name="Примечание 9 4 4" xfId="13818"/>
    <cellStyle name="Примечание 9 4 4 2" xfId="16461"/>
    <cellStyle name="Примечание 9 4 4 2 2" xfId="30277"/>
    <cellStyle name="Примечание 9 4 4 2 3" xfId="40152"/>
    <cellStyle name="Примечание 9 4 4 3" xfId="19101"/>
    <cellStyle name="Примечание 9 4 4 3 2" xfId="32911"/>
    <cellStyle name="Примечание 9 4 4 3 3" xfId="42781"/>
    <cellStyle name="Примечание 9 4 4 4" xfId="27640"/>
    <cellStyle name="Примечание 9 4 4 5" xfId="37515"/>
    <cellStyle name="Примечание 9 4 5" xfId="15316"/>
    <cellStyle name="Примечание 9 4 5 2" xfId="29136"/>
    <cellStyle name="Примечание 9 4 5 3" xfId="39011"/>
    <cellStyle name="Примечание 9 4 6" xfId="25044"/>
    <cellStyle name="Примечание 9 4 7" xfId="34919"/>
    <cellStyle name="Примечание 9 5" xfId="2430"/>
    <cellStyle name="Примечание 9 5 2" xfId="10934"/>
    <cellStyle name="Примечание 9 5 3" xfId="12435"/>
    <cellStyle name="Примечание 9 5 3 2" xfId="17767"/>
    <cellStyle name="Примечание 9 5 3 2 2" xfId="31577"/>
    <cellStyle name="Примечание 9 5 3 2 3" xfId="41450"/>
    <cellStyle name="Примечание 9 5 3 3" xfId="26309"/>
    <cellStyle name="Примечание 9 5 3 4" xfId="36184"/>
    <cellStyle name="Примечание 9 5 4" xfId="13657"/>
    <cellStyle name="Примечание 9 5 4 2" xfId="16300"/>
    <cellStyle name="Примечание 9 5 4 2 2" xfId="30116"/>
    <cellStyle name="Примечание 9 5 4 2 3" xfId="39991"/>
    <cellStyle name="Примечание 9 5 4 3" xfId="18940"/>
    <cellStyle name="Примечание 9 5 4 3 2" xfId="32750"/>
    <cellStyle name="Примечание 9 5 4 3 3" xfId="42620"/>
    <cellStyle name="Примечание 9 5 4 4" xfId="27479"/>
    <cellStyle name="Примечание 9 5 4 5" xfId="37354"/>
    <cellStyle name="Примечание 9 5 5" xfId="15155"/>
    <cellStyle name="Примечание 9 5 5 2" xfId="28975"/>
    <cellStyle name="Примечание 9 5 5 3" xfId="38850"/>
    <cellStyle name="Примечание 9 5 6" xfId="24883"/>
    <cellStyle name="Примечание 9 5 7" xfId="34758"/>
    <cellStyle name="Примечание 9 6" xfId="2545"/>
    <cellStyle name="Примечание 9 6 2" xfId="10935"/>
    <cellStyle name="Примечание 9 6 3" xfId="12531"/>
    <cellStyle name="Примечание 9 6 3 2" xfId="17863"/>
    <cellStyle name="Примечание 9 6 3 2 2" xfId="31673"/>
    <cellStyle name="Примечание 9 6 3 2 3" xfId="41546"/>
    <cellStyle name="Примечание 9 6 3 3" xfId="26405"/>
    <cellStyle name="Примечание 9 6 3 4" xfId="36280"/>
    <cellStyle name="Примечание 9 6 4" xfId="13753"/>
    <cellStyle name="Примечание 9 6 4 2" xfId="16396"/>
    <cellStyle name="Примечание 9 6 4 2 2" xfId="30212"/>
    <cellStyle name="Примечание 9 6 4 2 3" xfId="40087"/>
    <cellStyle name="Примечание 9 6 4 3" xfId="19036"/>
    <cellStyle name="Примечание 9 6 4 3 2" xfId="32846"/>
    <cellStyle name="Примечание 9 6 4 3 3" xfId="42716"/>
    <cellStyle name="Примечание 9 6 4 4" xfId="27575"/>
    <cellStyle name="Примечание 9 6 4 5" xfId="37450"/>
    <cellStyle name="Примечание 9 6 5" xfId="15251"/>
    <cellStyle name="Примечание 9 6 5 2" xfId="29071"/>
    <cellStyle name="Примечание 9 6 5 3" xfId="38946"/>
    <cellStyle name="Примечание 9 6 6" xfId="24979"/>
    <cellStyle name="Примечание 9 6 7" xfId="34854"/>
    <cellStyle name="Примечание 9 7" xfId="2722"/>
    <cellStyle name="Примечание 9 7 2" xfId="10936"/>
    <cellStyle name="Примечание 9 7 3" xfId="12698"/>
    <cellStyle name="Примечание 9 7 3 2" xfId="18030"/>
    <cellStyle name="Примечание 9 7 3 2 2" xfId="31840"/>
    <cellStyle name="Примечание 9 7 3 2 3" xfId="41713"/>
    <cellStyle name="Примечание 9 7 3 3" xfId="26572"/>
    <cellStyle name="Примечание 9 7 3 4" xfId="36447"/>
    <cellStyle name="Примечание 9 7 4" xfId="13921"/>
    <cellStyle name="Примечание 9 7 4 2" xfId="16564"/>
    <cellStyle name="Примечание 9 7 4 2 2" xfId="30379"/>
    <cellStyle name="Примечание 9 7 4 2 3" xfId="40254"/>
    <cellStyle name="Примечание 9 7 4 3" xfId="19204"/>
    <cellStyle name="Примечание 9 7 4 3 2" xfId="33014"/>
    <cellStyle name="Примечание 9 7 4 3 3" xfId="42883"/>
    <cellStyle name="Примечание 9 7 4 4" xfId="27742"/>
    <cellStyle name="Примечание 9 7 4 5" xfId="37617"/>
    <cellStyle name="Примечание 9 7 5" xfId="15419"/>
    <cellStyle name="Примечание 9 7 5 2" xfId="29238"/>
    <cellStyle name="Примечание 9 7 5 3" xfId="39113"/>
    <cellStyle name="Примечание 9 7 6" xfId="25146"/>
    <cellStyle name="Примечание 9 7 7" xfId="35021"/>
    <cellStyle name="Примечание 9 8" xfId="2645"/>
    <cellStyle name="Примечание 9 8 2" xfId="10937"/>
    <cellStyle name="Примечание 9 8 3" xfId="12631"/>
    <cellStyle name="Примечание 9 8 3 2" xfId="17963"/>
    <cellStyle name="Примечание 9 8 3 2 2" xfId="31773"/>
    <cellStyle name="Примечание 9 8 3 2 3" xfId="41646"/>
    <cellStyle name="Примечание 9 8 3 3" xfId="26505"/>
    <cellStyle name="Примечание 9 8 3 4" xfId="36380"/>
    <cellStyle name="Примечание 9 8 4" xfId="13853"/>
    <cellStyle name="Примечание 9 8 4 2" xfId="16496"/>
    <cellStyle name="Примечание 9 8 4 2 2" xfId="30312"/>
    <cellStyle name="Примечание 9 8 4 2 3" xfId="40187"/>
    <cellStyle name="Примечание 9 8 4 3" xfId="19136"/>
    <cellStyle name="Примечание 9 8 4 3 2" xfId="32946"/>
    <cellStyle name="Примечание 9 8 4 3 3" xfId="42816"/>
    <cellStyle name="Примечание 9 8 4 4" xfId="27675"/>
    <cellStyle name="Примечание 9 8 4 5" xfId="37550"/>
    <cellStyle name="Примечание 9 8 5" xfId="15351"/>
    <cellStyle name="Примечание 9 8 5 2" xfId="29171"/>
    <cellStyle name="Примечание 9 8 5 3" xfId="39046"/>
    <cellStyle name="Примечание 9 8 6" xfId="25079"/>
    <cellStyle name="Примечание 9 8 7" xfId="34954"/>
    <cellStyle name="Примечание 9 9" xfId="2773"/>
    <cellStyle name="Примечание 9 9 2" xfId="10938"/>
    <cellStyle name="Примечание 9 9 3" xfId="12749"/>
    <cellStyle name="Примечание 9 9 3 2" xfId="18081"/>
    <cellStyle name="Примечание 9 9 3 2 2" xfId="31891"/>
    <cellStyle name="Примечание 9 9 3 2 3" xfId="41764"/>
    <cellStyle name="Примечание 9 9 3 3" xfId="26623"/>
    <cellStyle name="Примечание 9 9 3 4" xfId="36498"/>
    <cellStyle name="Примечание 9 9 4" xfId="13972"/>
    <cellStyle name="Примечание 9 9 4 2" xfId="16615"/>
    <cellStyle name="Примечание 9 9 4 2 2" xfId="30430"/>
    <cellStyle name="Примечание 9 9 4 2 3" xfId="40305"/>
    <cellStyle name="Примечание 9 9 4 3" xfId="19255"/>
    <cellStyle name="Примечание 9 9 4 3 2" xfId="33065"/>
    <cellStyle name="Примечание 9 9 4 3 3" xfId="42934"/>
    <cellStyle name="Примечание 9 9 4 4" xfId="27793"/>
    <cellStyle name="Примечание 9 9 4 5" xfId="37668"/>
    <cellStyle name="Примечание 9 9 5" xfId="15470"/>
    <cellStyle name="Примечание 9 9 5 2" xfId="29289"/>
    <cellStyle name="Примечание 9 9 5 3" xfId="39164"/>
    <cellStyle name="Примечание 9 9 6" xfId="25197"/>
    <cellStyle name="Примечание 9 9 7" xfId="35072"/>
    <cellStyle name="Связанная ячейка 10" xfId="2240"/>
    <cellStyle name="Связанная ячейка 10 10" xfId="10940"/>
    <cellStyle name="Связанная ячейка 10 11" xfId="10941"/>
    <cellStyle name="Связанная ячейка 10 12" xfId="10942"/>
    <cellStyle name="Связанная ячейка 10 13" xfId="10943"/>
    <cellStyle name="Связанная ячейка 10 14" xfId="10944"/>
    <cellStyle name="Связанная ячейка 10 2" xfId="2241"/>
    <cellStyle name="Связанная ячейка 10 2 2" xfId="10945"/>
    <cellStyle name="Связанная ячейка 10 3" xfId="2242"/>
    <cellStyle name="Связанная ячейка 10 3 2" xfId="10946"/>
    <cellStyle name="Связанная ячейка 10 4" xfId="10939"/>
    <cellStyle name="Связанная ячейка 10 5" xfId="10947"/>
    <cellStyle name="Связанная ячейка 10 6" xfId="10948"/>
    <cellStyle name="Связанная ячейка 10 7" xfId="10949"/>
    <cellStyle name="Связанная ячейка 10 8" xfId="10950"/>
    <cellStyle name="Связанная ячейка 10 9" xfId="10951"/>
    <cellStyle name="Связанная ячейка 11" xfId="2243"/>
    <cellStyle name="Связанная ячейка 11 10" xfId="10953"/>
    <cellStyle name="Связанная ячейка 11 11" xfId="10954"/>
    <cellStyle name="Связанная ячейка 11 12" xfId="10955"/>
    <cellStyle name="Связанная ячейка 11 13" xfId="10956"/>
    <cellStyle name="Связанная ячейка 11 14" xfId="10957"/>
    <cellStyle name="Связанная ячейка 11 2" xfId="2244"/>
    <cellStyle name="Связанная ячейка 11 2 2" xfId="10958"/>
    <cellStyle name="Связанная ячейка 11 3" xfId="2245"/>
    <cellStyle name="Связанная ячейка 11 3 2" xfId="10959"/>
    <cellStyle name="Связанная ячейка 11 4" xfId="10952"/>
    <cellStyle name="Связанная ячейка 11 5" xfId="10960"/>
    <cellStyle name="Связанная ячейка 11 6" xfId="10961"/>
    <cellStyle name="Связанная ячейка 11 7" xfId="10962"/>
    <cellStyle name="Связанная ячейка 11 8" xfId="10963"/>
    <cellStyle name="Связанная ячейка 11 9" xfId="10964"/>
    <cellStyle name="Связанная ячейка 12" xfId="2246"/>
    <cellStyle name="Связанная ячейка 12 10" xfId="10966"/>
    <cellStyle name="Связанная ячейка 12 11" xfId="10967"/>
    <cellStyle name="Связанная ячейка 12 12" xfId="10968"/>
    <cellStyle name="Связанная ячейка 12 13" xfId="10969"/>
    <cellStyle name="Связанная ячейка 12 14" xfId="10970"/>
    <cellStyle name="Связанная ячейка 12 2" xfId="2247"/>
    <cellStyle name="Связанная ячейка 12 2 2" xfId="10971"/>
    <cellStyle name="Связанная ячейка 12 3" xfId="2248"/>
    <cellStyle name="Связанная ячейка 12 3 2" xfId="10972"/>
    <cellStyle name="Связанная ячейка 12 4" xfId="10965"/>
    <cellStyle name="Связанная ячейка 12 5" xfId="10973"/>
    <cellStyle name="Связанная ячейка 12 6" xfId="10974"/>
    <cellStyle name="Связанная ячейка 12 7" xfId="10975"/>
    <cellStyle name="Связанная ячейка 12 8" xfId="10976"/>
    <cellStyle name="Связанная ячейка 12 9" xfId="10977"/>
    <cellStyle name="Связанная ячейка 13" xfId="2249"/>
    <cellStyle name="Связанная ячейка 13 10" xfId="10979"/>
    <cellStyle name="Связанная ячейка 13 11" xfId="10980"/>
    <cellStyle name="Связанная ячейка 13 12" xfId="10981"/>
    <cellStyle name="Связанная ячейка 13 13" xfId="10982"/>
    <cellStyle name="Связанная ячейка 13 14" xfId="10983"/>
    <cellStyle name="Связанная ячейка 13 2" xfId="2250"/>
    <cellStyle name="Связанная ячейка 13 2 2" xfId="10984"/>
    <cellStyle name="Связанная ячейка 13 3" xfId="2251"/>
    <cellStyle name="Связанная ячейка 13 3 2" xfId="10985"/>
    <cellStyle name="Связанная ячейка 13 4" xfId="10978"/>
    <cellStyle name="Связанная ячейка 13 5" xfId="10986"/>
    <cellStyle name="Связанная ячейка 13 6" xfId="10987"/>
    <cellStyle name="Связанная ячейка 13 7" xfId="10988"/>
    <cellStyle name="Связанная ячейка 13 8" xfId="10989"/>
    <cellStyle name="Связанная ячейка 13 9" xfId="10990"/>
    <cellStyle name="Связанная ячейка 14" xfId="2252"/>
    <cellStyle name="Связанная ячейка 14 10" xfId="10992"/>
    <cellStyle name="Связанная ячейка 14 11" xfId="10993"/>
    <cellStyle name="Связанная ячейка 14 12" xfId="10994"/>
    <cellStyle name="Связанная ячейка 14 13" xfId="10995"/>
    <cellStyle name="Связанная ячейка 14 14" xfId="10996"/>
    <cellStyle name="Связанная ячейка 14 2" xfId="2253"/>
    <cellStyle name="Связанная ячейка 14 2 2" xfId="10997"/>
    <cellStyle name="Связанная ячейка 14 3" xfId="2254"/>
    <cellStyle name="Связанная ячейка 14 3 2" xfId="10998"/>
    <cellStyle name="Связанная ячейка 14 4" xfId="10991"/>
    <cellStyle name="Связанная ячейка 14 5" xfId="10999"/>
    <cellStyle name="Связанная ячейка 14 6" xfId="11000"/>
    <cellStyle name="Связанная ячейка 14 7" xfId="11001"/>
    <cellStyle name="Связанная ячейка 14 8" xfId="11002"/>
    <cellStyle name="Связанная ячейка 14 9" xfId="11003"/>
    <cellStyle name="Связанная ячейка 15" xfId="2255"/>
    <cellStyle name="Связанная ячейка 15 10" xfId="11005"/>
    <cellStyle name="Связанная ячейка 15 11" xfId="11006"/>
    <cellStyle name="Связанная ячейка 15 12" xfId="11007"/>
    <cellStyle name="Связанная ячейка 15 13" xfId="11008"/>
    <cellStyle name="Связанная ячейка 15 14" xfId="11009"/>
    <cellStyle name="Связанная ячейка 15 2" xfId="2256"/>
    <cellStyle name="Связанная ячейка 15 2 2" xfId="11010"/>
    <cellStyle name="Связанная ячейка 15 3" xfId="2257"/>
    <cellStyle name="Связанная ячейка 15 3 2" xfId="11011"/>
    <cellStyle name="Связанная ячейка 15 4" xfId="11004"/>
    <cellStyle name="Связанная ячейка 15 5" xfId="11012"/>
    <cellStyle name="Связанная ячейка 15 6" xfId="11013"/>
    <cellStyle name="Связанная ячейка 15 7" xfId="11014"/>
    <cellStyle name="Связанная ячейка 15 8" xfId="11015"/>
    <cellStyle name="Связанная ячейка 15 9" xfId="11016"/>
    <cellStyle name="Связанная ячейка 16" xfId="2258"/>
    <cellStyle name="Связанная ячейка 16 10" xfId="11018"/>
    <cellStyle name="Связанная ячейка 16 11" xfId="11019"/>
    <cellStyle name="Связанная ячейка 16 12" xfId="11020"/>
    <cellStyle name="Связанная ячейка 16 13" xfId="11021"/>
    <cellStyle name="Связанная ячейка 16 14" xfId="11022"/>
    <cellStyle name="Связанная ячейка 16 2" xfId="2259"/>
    <cellStyle name="Связанная ячейка 16 2 2" xfId="11023"/>
    <cellStyle name="Связанная ячейка 16 3" xfId="2260"/>
    <cellStyle name="Связанная ячейка 16 3 2" xfId="11024"/>
    <cellStyle name="Связанная ячейка 16 4" xfId="11017"/>
    <cellStyle name="Связанная ячейка 16 5" xfId="11025"/>
    <cellStyle name="Связанная ячейка 16 6" xfId="11026"/>
    <cellStyle name="Связанная ячейка 16 7" xfId="11027"/>
    <cellStyle name="Связанная ячейка 16 8" xfId="11028"/>
    <cellStyle name="Связанная ячейка 16 9" xfId="11029"/>
    <cellStyle name="Связанная ячейка 17" xfId="2261"/>
    <cellStyle name="Связанная ячейка 17 10" xfId="11031"/>
    <cellStyle name="Связанная ячейка 17 11" xfId="11032"/>
    <cellStyle name="Связанная ячейка 17 12" xfId="11033"/>
    <cellStyle name="Связанная ячейка 17 13" xfId="11034"/>
    <cellStyle name="Связанная ячейка 17 14" xfId="11035"/>
    <cellStyle name="Связанная ячейка 17 2" xfId="2262"/>
    <cellStyle name="Связанная ячейка 17 2 2" xfId="11036"/>
    <cellStyle name="Связанная ячейка 17 3" xfId="2263"/>
    <cellStyle name="Связанная ячейка 17 3 2" xfId="11037"/>
    <cellStyle name="Связанная ячейка 17 4" xfId="11030"/>
    <cellStyle name="Связанная ячейка 17 5" xfId="11038"/>
    <cellStyle name="Связанная ячейка 17 6" xfId="11039"/>
    <cellStyle name="Связанная ячейка 17 7" xfId="11040"/>
    <cellStyle name="Связанная ячейка 17 8" xfId="11041"/>
    <cellStyle name="Связанная ячейка 17 9" xfId="11042"/>
    <cellStyle name="Связанная ячейка 18" xfId="2264"/>
    <cellStyle name="Связанная ячейка 18 2" xfId="2265"/>
    <cellStyle name="Связанная ячейка 18 2 2" xfId="11044"/>
    <cellStyle name="Связанная ячейка 18 3" xfId="11043"/>
    <cellStyle name="Связанная ячейка 19" xfId="2266"/>
    <cellStyle name="Связанная ячейка 19 2" xfId="2267"/>
    <cellStyle name="Связанная ячейка 19 2 2" xfId="11046"/>
    <cellStyle name="Связанная ячейка 19 3" xfId="11045"/>
    <cellStyle name="Связанная ячейка 2" xfId="2268"/>
    <cellStyle name="Связанная ячейка 2 10" xfId="11048"/>
    <cellStyle name="Связанная ячейка 2 11" xfId="11049"/>
    <cellStyle name="Связанная ячейка 2 12" xfId="11050"/>
    <cellStyle name="Связанная ячейка 2 13" xfId="11051"/>
    <cellStyle name="Связанная ячейка 2 14" xfId="11052"/>
    <cellStyle name="Связанная ячейка 2 2" xfId="2269"/>
    <cellStyle name="Связанная ячейка 2 2 2" xfId="11053"/>
    <cellStyle name="Связанная ячейка 2 3" xfId="2270"/>
    <cellStyle name="Связанная ячейка 2 3 2" xfId="11054"/>
    <cellStyle name="Связанная ячейка 2 4" xfId="11047"/>
    <cellStyle name="Связанная ячейка 2 5" xfId="11055"/>
    <cellStyle name="Связанная ячейка 2 6" xfId="11056"/>
    <cellStyle name="Связанная ячейка 2 7" xfId="11057"/>
    <cellStyle name="Связанная ячейка 2 8" xfId="11058"/>
    <cellStyle name="Связанная ячейка 2 9" xfId="11059"/>
    <cellStyle name="Связанная ячейка 3" xfId="2271"/>
    <cellStyle name="Связанная ячейка 3 10" xfId="11061"/>
    <cellStyle name="Связанная ячейка 3 11" xfId="11062"/>
    <cellStyle name="Связанная ячейка 3 12" xfId="11063"/>
    <cellStyle name="Связанная ячейка 3 13" xfId="11064"/>
    <cellStyle name="Связанная ячейка 3 14" xfId="11065"/>
    <cellStyle name="Связанная ячейка 3 2" xfId="2272"/>
    <cellStyle name="Связанная ячейка 3 2 2" xfId="11066"/>
    <cellStyle name="Связанная ячейка 3 3" xfId="2273"/>
    <cellStyle name="Связанная ячейка 3 3 2" xfId="11067"/>
    <cellStyle name="Связанная ячейка 3 4" xfId="11060"/>
    <cellStyle name="Связанная ячейка 3 5" xfId="11068"/>
    <cellStyle name="Связанная ячейка 3 6" xfId="11069"/>
    <cellStyle name="Связанная ячейка 3 7" xfId="11070"/>
    <cellStyle name="Связанная ячейка 3 8" xfId="11071"/>
    <cellStyle name="Связанная ячейка 3 9" xfId="11072"/>
    <cellStyle name="Связанная ячейка 4" xfId="2274"/>
    <cellStyle name="Связанная ячейка 4 10" xfId="11074"/>
    <cellStyle name="Связанная ячейка 4 11" xfId="11075"/>
    <cellStyle name="Связанная ячейка 4 12" xfId="11076"/>
    <cellStyle name="Связанная ячейка 4 13" xfId="11077"/>
    <cellStyle name="Связанная ячейка 4 14" xfId="11078"/>
    <cellStyle name="Связанная ячейка 4 2" xfId="2275"/>
    <cellStyle name="Связанная ячейка 4 2 2" xfId="11079"/>
    <cellStyle name="Связанная ячейка 4 3" xfId="2276"/>
    <cellStyle name="Связанная ячейка 4 3 2" xfId="11080"/>
    <cellStyle name="Связанная ячейка 4 4" xfId="11073"/>
    <cellStyle name="Связанная ячейка 4 5" xfId="11081"/>
    <cellStyle name="Связанная ячейка 4 6" xfId="11082"/>
    <cellStyle name="Связанная ячейка 4 7" xfId="11083"/>
    <cellStyle name="Связанная ячейка 4 8" xfId="11084"/>
    <cellStyle name="Связанная ячейка 4 9" xfId="11085"/>
    <cellStyle name="Связанная ячейка 5" xfId="2277"/>
    <cellStyle name="Связанная ячейка 5 10" xfId="11087"/>
    <cellStyle name="Связанная ячейка 5 11" xfId="11088"/>
    <cellStyle name="Связанная ячейка 5 12" xfId="11089"/>
    <cellStyle name="Связанная ячейка 5 13" xfId="11090"/>
    <cellStyle name="Связанная ячейка 5 14" xfId="11091"/>
    <cellStyle name="Связанная ячейка 5 2" xfId="2278"/>
    <cellStyle name="Связанная ячейка 5 2 2" xfId="11092"/>
    <cellStyle name="Связанная ячейка 5 3" xfId="2279"/>
    <cellStyle name="Связанная ячейка 5 3 2" xfId="11093"/>
    <cellStyle name="Связанная ячейка 5 4" xfId="11086"/>
    <cellStyle name="Связанная ячейка 5 5" xfId="11094"/>
    <cellStyle name="Связанная ячейка 5 6" xfId="11095"/>
    <cellStyle name="Связанная ячейка 5 7" xfId="11096"/>
    <cellStyle name="Связанная ячейка 5 8" xfId="11097"/>
    <cellStyle name="Связанная ячейка 5 9" xfId="11098"/>
    <cellStyle name="Связанная ячейка 6" xfId="2280"/>
    <cellStyle name="Связанная ячейка 6 10" xfId="11100"/>
    <cellStyle name="Связанная ячейка 6 11" xfId="11101"/>
    <cellStyle name="Связанная ячейка 6 12" xfId="11102"/>
    <cellStyle name="Связанная ячейка 6 13" xfId="11103"/>
    <cellStyle name="Связанная ячейка 6 14" xfId="11104"/>
    <cellStyle name="Связанная ячейка 6 2" xfId="2281"/>
    <cellStyle name="Связанная ячейка 6 2 2" xfId="11105"/>
    <cellStyle name="Связанная ячейка 6 3" xfId="2282"/>
    <cellStyle name="Связанная ячейка 6 3 2" xfId="11106"/>
    <cellStyle name="Связанная ячейка 6 4" xfId="11099"/>
    <cellStyle name="Связанная ячейка 6 5" xfId="11107"/>
    <cellStyle name="Связанная ячейка 6 6" xfId="11108"/>
    <cellStyle name="Связанная ячейка 6 7" xfId="11109"/>
    <cellStyle name="Связанная ячейка 6 8" xfId="11110"/>
    <cellStyle name="Связанная ячейка 6 9" xfId="11111"/>
    <cellStyle name="Связанная ячейка 7" xfId="2283"/>
    <cellStyle name="Связанная ячейка 7 10" xfId="11113"/>
    <cellStyle name="Связанная ячейка 7 11" xfId="11114"/>
    <cellStyle name="Связанная ячейка 7 12" xfId="11115"/>
    <cellStyle name="Связанная ячейка 7 13" xfId="11116"/>
    <cellStyle name="Связанная ячейка 7 14" xfId="11117"/>
    <cellStyle name="Связанная ячейка 7 2" xfId="2284"/>
    <cellStyle name="Связанная ячейка 7 2 2" xfId="11118"/>
    <cellStyle name="Связанная ячейка 7 3" xfId="2285"/>
    <cellStyle name="Связанная ячейка 7 3 2" xfId="11119"/>
    <cellStyle name="Связанная ячейка 7 4" xfId="11112"/>
    <cellStyle name="Связанная ячейка 7 5" xfId="11120"/>
    <cellStyle name="Связанная ячейка 7 6" xfId="11121"/>
    <cellStyle name="Связанная ячейка 7 7" xfId="11122"/>
    <cellStyle name="Связанная ячейка 7 8" xfId="11123"/>
    <cellStyle name="Связанная ячейка 7 9" xfId="11124"/>
    <cellStyle name="Связанная ячейка 8" xfId="2286"/>
    <cellStyle name="Связанная ячейка 8 10" xfId="11126"/>
    <cellStyle name="Связанная ячейка 8 11" xfId="11127"/>
    <cellStyle name="Связанная ячейка 8 12" xfId="11128"/>
    <cellStyle name="Связанная ячейка 8 13" xfId="11129"/>
    <cellStyle name="Связанная ячейка 8 14" xfId="11130"/>
    <cellStyle name="Связанная ячейка 8 2" xfId="2287"/>
    <cellStyle name="Связанная ячейка 8 2 2" xfId="11131"/>
    <cellStyle name="Связанная ячейка 8 3" xfId="2288"/>
    <cellStyle name="Связанная ячейка 8 3 2" xfId="11132"/>
    <cellStyle name="Связанная ячейка 8 4" xfId="11125"/>
    <cellStyle name="Связанная ячейка 8 5" xfId="11133"/>
    <cellStyle name="Связанная ячейка 8 6" xfId="11134"/>
    <cellStyle name="Связанная ячейка 8 7" xfId="11135"/>
    <cellStyle name="Связанная ячейка 8 8" xfId="11136"/>
    <cellStyle name="Связанная ячейка 8 9" xfId="11137"/>
    <cellStyle name="Связанная ячейка 9" xfId="2289"/>
    <cellStyle name="Связанная ячейка 9 10" xfId="11139"/>
    <cellStyle name="Связанная ячейка 9 11" xfId="11140"/>
    <cellStyle name="Связанная ячейка 9 12" xfId="11141"/>
    <cellStyle name="Связанная ячейка 9 13" xfId="11142"/>
    <cellStyle name="Связанная ячейка 9 14" xfId="11143"/>
    <cellStyle name="Связанная ячейка 9 2" xfId="2290"/>
    <cellStyle name="Связанная ячейка 9 2 2" xfId="11144"/>
    <cellStyle name="Связанная ячейка 9 3" xfId="2291"/>
    <cellStyle name="Связанная ячейка 9 3 2" xfId="11145"/>
    <cellStyle name="Связанная ячейка 9 4" xfId="11138"/>
    <cellStyle name="Связанная ячейка 9 5" xfId="11146"/>
    <cellStyle name="Связанная ячейка 9 6" xfId="11147"/>
    <cellStyle name="Связанная ячейка 9 7" xfId="11148"/>
    <cellStyle name="Связанная ячейка 9 8" xfId="11149"/>
    <cellStyle name="Связанная ячейка 9 9" xfId="11150"/>
    <cellStyle name="Текст предупреждения 10" xfId="2292"/>
    <cellStyle name="Текст предупреждения 10 10" xfId="11152"/>
    <cellStyle name="Текст предупреждения 10 11" xfId="11153"/>
    <cellStyle name="Текст предупреждения 10 12" xfId="11154"/>
    <cellStyle name="Текст предупреждения 10 13" xfId="11155"/>
    <cellStyle name="Текст предупреждения 10 14" xfId="11156"/>
    <cellStyle name="Текст предупреждения 10 2" xfId="2293"/>
    <cellStyle name="Текст предупреждения 10 2 2" xfId="11157"/>
    <cellStyle name="Текст предупреждения 10 3" xfId="2294"/>
    <cellStyle name="Текст предупреждения 10 3 2" xfId="11158"/>
    <cellStyle name="Текст предупреждения 10 4" xfId="11151"/>
    <cellStyle name="Текст предупреждения 10 5" xfId="11159"/>
    <cellStyle name="Текст предупреждения 10 6" xfId="11160"/>
    <cellStyle name="Текст предупреждения 10 7" xfId="11161"/>
    <cellStyle name="Текст предупреждения 10 8" xfId="11162"/>
    <cellStyle name="Текст предупреждения 10 9" xfId="11163"/>
    <cellStyle name="Текст предупреждения 11" xfId="2295"/>
    <cellStyle name="Текст предупреждения 11 10" xfId="11165"/>
    <cellStyle name="Текст предупреждения 11 11" xfId="11166"/>
    <cellStyle name="Текст предупреждения 11 12" xfId="11167"/>
    <cellStyle name="Текст предупреждения 11 13" xfId="11168"/>
    <cellStyle name="Текст предупреждения 11 14" xfId="11169"/>
    <cellStyle name="Текст предупреждения 11 2" xfId="2296"/>
    <cellStyle name="Текст предупреждения 11 2 2" xfId="11170"/>
    <cellStyle name="Текст предупреждения 11 3" xfId="2297"/>
    <cellStyle name="Текст предупреждения 11 3 2" xfId="11171"/>
    <cellStyle name="Текст предупреждения 11 4" xfId="11164"/>
    <cellStyle name="Текст предупреждения 11 5" xfId="11172"/>
    <cellStyle name="Текст предупреждения 11 6" xfId="11173"/>
    <cellStyle name="Текст предупреждения 11 7" xfId="11174"/>
    <cellStyle name="Текст предупреждения 11 8" xfId="11175"/>
    <cellStyle name="Текст предупреждения 11 9" xfId="11176"/>
    <cellStyle name="Текст предупреждения 12" xfId="2298"/>
    <cellStyle name="Текст предупреждения 12 10" xfId="11178"/>
    <cellStyle name="Текст предупреждения 12 11" xfId="11179"/>
    <cellStyle name="Текст предупреждения 12 12" xfId="11180"/>
    <cellStyle name="Текст предупреждения 12 13" xfId="11181"/>
    <cellStyle name="Текст предупреждения 12 14" xfId="11182"/>
    <cellStyle name="Текст предупреждения 12 2" xfId="2299"/>
    <cellStyle name="Текст предупреждения 12 2 2" xfId="11183"/>
    <cellStyle name="Текст предупреждения 12 3" xfId="2300"/>
    <cellStyle name="Текст предупреждения 12 3 2" xfId="11184"/>
    <cellStyle name="Текст предупреждения 12 4" xfId="11177"/>
    <cellStyle name="Текст предупреждения 12 5" xfId="11185"/>
    <cellStyle name="Текст предупреждения 12 6" xfId="11186"/>
    <cellStyle name="Текст предупреждения 12 7" xfId="11187"/>
    <cellStyle name="Текст предупреждения 12 8" xfId="11188"/>
    <cellStyle name="Текст предупреждения 12 9" xfId="11189"/>
    <cellStyle name="Текст предупреждения 13" xfId="2301"/>
    <cellStyle name="Текст предупреждения 13 10" xfId="11191"/>
    <cellStyle name="Текст предупреждения 13 11" xfId="11192"/>
    <cellStyle name="Текст предупреждения 13 12" xfId="11193"/>
    <cellStyle name="Текст предупреждения 13 13" xfId="11194"/>
    <cellStyle name="Текст предупреждения 13 14" xfId="11195"/>
    <cellStyle name="Текст предупреждения 13 2" xfId="2302"/>
    <cellStyle name="Текст предупреждения 13 2 2" xfId="11196"/>
    <cellStyle name="Текст предупреждения 13 3" xfId="2303"/>
    <cellStyle name="Текст предупреждения 13 3 2" xfId="11197"/>
    <cellStyle name="Текст предупреждения 13 4" xfId="11190"/>
    <cellStyle name="Текст предупреждения 13 5" xfId="11198"/>
    <cellStyle name="Текст предупреждения 13 6" xfId="11199"/>
    <cellStyle name="Текст предупреждения 13 7" xfId="11200"/>
    <cellStyle name="Текст предупреждения 13 8" xfId="11201"/>
    <cellStyle name="Текст предупреждения 13 9" xfId="11202"/>
    <cellStyle name="Текст предупреждения 14" xfId="2304"/>
    <cellStyle name="Текст предупреждения 14 10" xfId="11204"/>
    <cellStyle name="Текст предупреждения 14 11" xfId="11205"/>
    <cellStyle name="Текст предупреждения 14 12" xfId="11206"/>
    <cellStyle name="Текст предупреждения 14 13" xfId="11207"/>
    <cellStyle name="Текст предупреждения 14 14" xfId="11208"/>
    <cellStyle name="Текст предупреждения 14 2" xfId="2305"/>
    <cellStyle name="Текст предупреждения 14 2 2" xfId="11209"/>
    <cellStyle name="Текст предупреждения 14 3" xfId="2306"/>
    <cellStyle name="Текст предупреждения 14 3 2" xfId="11210"/>
    <cellStyle name="Текст предупреждения 14 4" xfId="11203"/>
    <cellStyle name="Текст предупреждения 14 5" xfId="11211"/>
    <cellStyle name="Текст предупреждения 14 6" xfId="11212"/>
    <cellStyle name="Текст предупреждения 14 7" xfId="11213"/>
    <cellStyle name="Текст предупреждения 14 8" xfId="11214"/>
    <cellStyle name="Текст предупреждения 14 9" xfId="11215"/>
    <cellStyle name="Текст предупреждения 15" xfId="2307"/>
    <cellStyle name="Текст предупреждения 15 10" xfId="11217"/>
    <cellStyle name="Текст предупреждения 15 11" xfId="11218"/>
    <cellStyle name="Текст предупреждения 15 12" xfId="11219"/>
    <cellStyle name="Текст предупреждения 15 13" xfId="11220"/>
    <cellStyle name="Текст предупреждения 15 14" xfId="11221"/>
    <cellStyle name="Текст предупреждения 15 2" xfId="2308"/>
    <cellStyle name="Текст предупреждения 15 2 2" xfId="11222"/>
    <cellStyle name="Текст предупреждения 15 3" xfId="2309"/>
    <cellStyle name="Текст предупреждения 15 3 2" xfId="11223"/>
    <cellStyle name="Текст предупреждения 15 4" xfId="11216"/>
    <cellStyle name="Текст предупреждения 15 5" xfId="11224"/>
    <cellStyle name="Текст предупреждения 15 6" xfId="11225"/>
    <cellStyle name="Текст предупреждения 15 7" xfId="11226"/>
    <cellStyle name="Текст предупреждения 15 8" xfId="11227"/>
    <cellStyle name="Текст предупреждения 15 9" xfId="11228"/>
    <cellStyle name="Текст предупреждения 16" xfId="2310"/>
    <cellStyle name="Текст предупреждения 16 10" xfId="11230"/>
    <cellStyle name="Текст предупреждения 16 11" xfId="11231"/>
    <cellStyle name="Текст предупреждения 16 12" xfId="11232"/>
    <cellStyle name="Текст предупреждения 16 13" xfId="11233"/>
    <cellStyle name="Текст предупреждения 16 14" xfId="11234"/>
    <cellStyle name="Текст предупреждения 16 2" xfId="2311"/>
    <cellStyle name="Текст предупреждения 16 2 2" xfId="11235"/>
    <cellStyle name="Текст предупреждения 16 3" xfId="2312"/>
    <cellStyle name="Текст предупреждения 16 3 2" xfId="11236"/>
    <cellStyle name="Текст предупреждения 16 4" xfId="11229"/>
    <cellStyle name="Текст предупреждения 16 5" xfId="11237"/>
    <cellStyle name="Текст предупреждения 16 6" xfId="11238"/>
    <cellStyle name="Текст предупреждения 16 7" xfId="11239"/>
    <cellStyle name="Текст предупреждения 16 8" xfId="11240"/>
    <cellStyle name="Текст предупреждения 16 9" xfId="11241"/>
    <cellStyle name="Текст предупреждения 17" xfId="2313"/>
    <cellStyle name="Текст предупреждения 17 10" xfId="11243"/>
    <cellStyle name="Текст предупреждения 17 11" xfId="11244"/>
    <cellStyle name="Текст предупреждения 17 12" xfId="11245"/>
    <cellStyle name="Текст предупреждения 17 13" xfId="11246"/>
    <cellStyle name="Текст предупреждения 17 14" xfId="11247"/>
    <cellStyle name="Текст предупреждения 17 2" xfId="2314"/>
    <cellStyle name="Текст предупреждения 17 2 2" xfId="11248"/>
    <cellStyle name="Текст предупреждения 17 3" xfId="2315"/>
    <cellStyle name="Текст предупреждения 17 3 2" xfId="11249"/>
    <cellStyle name="Текст предупреждения 17 4" xfId="11242"/>
    <cellStyle name="Текст предупреждения 17 5" xfId="11250"/>
    <cellStyle name="Текст предупреждения 17 6" xfId="11251"/>
    <cellStyle name="Текст предупреждения 17 7" xfId="11252"/>
    <cellStyle name="Текст предупреждения 17 8" xfId="11253"/>
    <cellStyle name="Текст предупреждения 17 9" xfId="11254"/>
    <cellStyle name="Текст предупреждения 18" xfId="2316"/>
    <cellStyle name="Текст предупреждения 18 2" xfId="2317"/>
    <cellStyle name="Текст предупреждения 18 2 2" xfId="11256"/>
    <cellStyle name="Текст предупреждения 18 3" xfId="11255"/>
    <cellStyle name="Текст предупреждения 19" xfId="2318"/>
    <cellStyle name="Текст предупреждения 19 2" xfId="2319"/>
    <cellStyle name="Текст предупреждения 19 2 2" xfId="11258"/>
    <cellStyle name="Текст предупреждения 19 3" xfId="11257"/>
    <cellStyle name="Текст предупреждения 2" xfId="2320"/>
    <cellStyle name="Текст предупреждения 2 10" xfId="11260"/>
    <cellStyle name="Текст предупреждения 2 11" xfId="11261"/>
    <cellStyle name="Текст предупреждения 2 12" xfId="11262"/>
    <cellStyle name="Текст предупреждения 2 13" xfId="11263"/>
    <cellStyle name="Текст предупреждения 2 14" xfId="11264"/>
    <cellStyle name="Текст предупреждения 2 2" xfId="2321"/>
    <cellStyle name="Текст предупреждения 2 2 2" xfId="11265"/>
    <cellStyle name="Текст предупреждения 2 3" xfId="2322"/>
    <cellStyle name="Текст предупреждения 2 3 2" xfId="11266"/>
    <cellStyle name="Текст предупреждения 2 4" xfId="11259"/>
    <cellStyle name="Текст предупреждения 2 5" xfId="11267"/>
    <cellStyle name="Текст предупреждения 2 6" xfId="11268"/>
    <cellStyle name="Текст предупреждения 2 7" xfId="11269"/>
    <cellStyle name="Текст предупреждения 2 8" xfId="11270"/>
    <cellStyle name="Текст предупреждения 2 9" xfId="11271"/>
    <cellStyle name="Текст предупреждения 3" xfId="2323"/>
    <cellStyle name="Текст предупреждения 3 10" xfId="11273"/>
    <cellStyle name="Текст предупреждения 3 11" xfId="11274"/>
    <cellStyle name="Текст предупреждения 3 12" xfId="11275"/>
    <cellStyle name="Текст предупреждения 3 13" xfId="11276"/>
    <cellStyle name="Текст предупреждения 3 14" xfId="11277"/>
    <cellStyle name="Текст предупреждения 3 2" xfId="2324"/>
    <cellStyle name="Текст предупреждения 3 2 2" xfId="11278"/>
    <cellStyle name="Текст предупреждения 3 3" xfId="2325"/>
    <cellStyle name="Текст предупреждения 3 3 2" xfId="11279"/>
    <cellStyle name="Текст предупреждения 3 4" xfId="11272"/>
    <cellStyle name="Текст предупреждения 3 5" xfId="11280"/>
    <cellStyle name="Текст предупреждения 3 6" xfId="11281"/>
    <cellStyle name="Текст предупреждения 3 7" xfId="11282"/>
    <cellStyle name="Текст предупреждения 3 8" xfId="11283"/>
    <cellStyle name="Текст предупреждения 3 9" xfId="11284"/>
    <cellStyle name="Текст предупреждения 4" xfId="2326"/>
    <cellStyle name="Текст предупреждения 4 10" xfId="11286"/>
    <cellStyle name="Текст предупреждения 4 11" xfId="11287"/>
    <cellStyle name="Текст предупреждения 4 12" xfId="11288"/>
    <cellStyle name="Текст предупреждения 4 13" xfId="11289"/>
    <cellStyle name="Текст предупреждения 4 14" xfId="11290"/>
    <cellStyle name="Текст предупреждения 4 2" xfId="2327"/>
    <cellStyle name="Текст предупреждения 4 2 2" xfId="11291"/>
    <cellStyle name="Текст предупреждения 4 3" xfId="2328"/>
    <cellStyle name="Текст предупреждения 4 3 2" xfId="11292"/>
    <cellStyle name="Текст предупреждения 4 4" xfId="11285"/>
    <cellStyle name="Текст предупреждения 4 5" xfId="11293"/>
    <cellStyle name="Текст предупреждения 4 6" xfId="11294"/>
    <cellStyle name="Текст предупреждения 4 7" xfId="11295"/>
    <cellStyle name="Текст предупреждения 4 8" xfId="11296"/>
    <cellStyle name="Текст предупреждения 4 9" xfId="11297"/>
    <cellStyle name="Текст предупреждения 5" xfId="2329"/>
    <cellStyle name="Текст предупреждения 5 10" xfId="11299"/>
    <cellStyle name="Текст предупреждения 5 11" xfId="11300"/>
    <cellStyle name="Текст предупреждения 5 12" xfId="11301"/>
    <cellStyle name="Текст предупреждения 5 13" xfId="11302"/>
    <cellStyle name="Текст предупреждения 5 14" xfId="11303"/>
    <cellStyle name="Текст предупреждения 5 2" xfId="2330"/>
    <cellStyle name="Текст предупреждения 5 2 2" xfId="11304"/>
    <cellStyle name="Текст предупреждения 5 3" xfId="2331"/>
    <cellStyle name="Текст предупреждения 5 3 2" xfId="11305"/>
    <cellStyle name="Текст предупреждения 5 4" xfId="11298"/>
    <cellStyle name="Текст предупреждения 5 5" xfId="11306"/>
    <cellStyle name="Текст предупреждения 5 6" xfId="11307"/>
    <cellStyle name="Текст предупреждения 5 7" xfId="11308"/>
    <cellStyle name="Текст предупреждения 5 8" xfId="11309"/>
    <cellStyle name="Текст предупреждения 5 9" xfId="11310"/>
    <cellStyle name="Текст предупреждения 6" xfId="2332"/>
    <cellStyle name="Текст предупреждения 6 10" xfId="11312"/>
    <cellStyle name="Текст предупреждения 6 11" xfId="11313"/>
    <cellStyle name="Текст предупреждения 6 12" xfId="11314"/>
    <cellStyle name="Текст предупреждения 6 13" xfId="11315"/>
    <cellStyle name="Текст предупреждения 6 14" xfId="11316"/>
    <cellStyle name="Текст предупреждения 6 2" xfId="2333"/>
    <cellStyle name="Текст предупреждения 6 2 2" xfId="11317"/>
    <cellStyle name="Текст предупреждения 6 3" xfId="2334"/>
    <cellStyle name="Текст предупреждения 6 3 2" xfId="11318"/>
    <cellStyle name="Текст предупреждения 6 4" xfId="11311"/>
    <cellStyle name="Текст предупреждения 6 5" xfId="11319"/>
    <cellStyle name="Текст предупреждения 6 6" xfId="11320"/>
    <cellStyle name="Текст предупреждения 6 7" xfId="11321"/>
    <cellStyle name="Текст предупреждения 6 8" xfId="11322"/>
    <cellStyle name="Текст предупреждения 6 9" xfId="11323"/>
    <cellStyle name="Текст предупреждения 7" xfId="2335"/>
    <cellStyle name="Текст предупреждения 7 10" xfId="11325"/>
    <cellStyle name="Текст предупреждения 7 11" xfId="11326"/>
    <cellStyle name="Текст предупреждения 7 12" xfId="11327"/>
    <cellStyle name="Текст предупреждения 7 13" xfId="11328"/>
    <cellStyle name="Текст предупреждения 7 14" xfId="11329"/>
    <cellStyle name="Текст предупреждения 7 2" xfId="2336"/>
    <cellStyle name="Текст предупреждения 7 2 2" xfId="11330"/>
    <cellStyle name="Текст предупреждения 7 3" xfId="2337"/>
    <cellStyle name="Текст предупреждения 7 3 2" xfId="11331"/>
    <cellStyle name="Текст предупреждения 7 4" xfId="11324"/>
    <cellStyle name="Текст предупреждения 7 5" xfId="11332"/>
    <cellStyle name="Текст предупреждения 7 6" xfId="11333"/>
    <cellStyle name="Текст предупреждения 7 7" xfId="11334"/>
    <cellStyle name="Текст предупреждения 7 8" xfId="11335"/>
    <cellStyle name="Текст предупреждения 7 9" xfId="11336"/>
    <cellStyle name="Текст предупреждения 8" xfId="2338"/>
    <cellStyle name="Текст предупреждения 8 10" xfId="11338"/>
    <cellStyle name="Текст предупреждения 8 11" xfId="11339"/>
    <cellStyle name="Текст предупреждения 8 12" xfId="11340"/>
    <cellStyle name="Текст предупреждения 8 13" xfId="11341"/>
    <cellStyle name="Текст предупреждения 8 14" xfId="11342"/>
    <cellStyle name="Текст предупреждения 8 2" xfId="2339"/>
    <cellStyle name="Текст предупреждения 8 2 2" xfId="11343"/>
    <cellStyle name="Текст предупреждения 8 3" xfId="2340"/>
    <cellStyle name="Текст предупреждения 8 3 2" xfId="11344"/>
    <cellStyle name="Текст предупреждения 8 4" xfId="11337"/>
    <cellStyle name="Текст предупреждения 8 5" xfId="11345"/>
    <cellStyle name="Текст предупреждения 8 6" xfId="11346"/>
    <cellStyle name="Текст предупреждения 8 7" xfId="11347"/>
    <cellStyle name="Текст предупреждения 8 8" xfId="11348"/>
    <cellStyle name="Текст предупреждения 8 9" xfId="11349"/>
    <cellStyle name="Текст предупреждения 9" xfId="2341"/>
    <cellStyle name="Текст предупреждения 9 10" xfId="11351"/>
    <cellStyle name="Текст предупреждения 9 11" xfId="11352"/>
    <cellStyle name="Текст предупреждения 9 12" xfId="11353"/>
    <cellStyle name="Текст предупреждения 9 13" xfId="11354"/>
    <cellStyle name="Текст предупреждения 9 14" xfId="11355"/>
    <cellStyle name="Текст предупреждения 9 2" xfId="2342"/>
    <cellStyle name="Текст предупреждения 9 2 2" xfId="11356"/>
    <cellStyle name="Текст предупреждения 9 3" xfId="2343"/>
    <cellStyle name="Текст предупреждения 9 3 2" xfId="11357"/>
    <cellStyle name="Текст предупреждения 9 4" xfId="11350"/>
    <cellStyle name="Текст предупреждения 9 5" xfId="11358"/>
    <cellStyle name="Текст предупреждения 9 6" xfId="11359"/>
    <cellStyle name="Текст предупреждения 9 7" xfId="11360"/>
    <cellStyle name="Текст предупреждения 9 8" xfId="11361"/>
    <cellStyle name="Текст предупреждения 9 9" xfId="11362"/>
    <cellStyle name="Финансовый" xfId="2344" builtinId="3"/>
    <cellStyle name="Финансовый 10" xfId="2824"/>
    <cellStyle name="Финансовый 10 2" xfId="2345"/>
    <cellStyle name="Финансовый 10 2 2" xfId="11363"/>
    <cellStyle name="Финансовый 10 2 3" xfId="3221"/>
    <cellStyle name="Финансовый 10 3" xfId="11364"/>
    <cellStyle name="Финансовый 10 4" xfId="11365"/>
    <cellStyle name="Финансовый 10 5" xfId="11366"/>
    <cellStyle name="Финансовый 10 6" xfId="11367"/>
    <cellStyle name="Финансовый 10 7" xfId="11368"/>
    <cellStyle name="Финансовый 11" xfId="13567"/>
    <cellStyle name="Финансовый 12" xfId="13568"/>
    <cellStyle name="Финансовый 13" xfId="13569"/>
    <cellStyle name="Финансовый 14" xfId="13570"/>
    <cellStyle name="Финансовый 15" xfId="13571"/>
    <cellStyle name="Финансовый 16" xfId="13572"/>
    <cellStyle name="Финансовый 17" xfId="13573"/>
    <cellStyle name="Финансовый 18" xfId="13574"/>
    <cellStyle name="Финансовый 19" xfId="13575"/>
    <cellStyle name="Финансовый 2" xfId="2346"/>
    <cellStyle name="Финансовый 2 10" xfId="3037"/>
    <cellStyle name="Финансовый 2 11" xfId="3032"/>
    <cellStyle name="Финансовый 2 12" xfId="3041"/>
    <cellStyle name="Финансовый 2 13" xfId="3043"/>
    <cellStyle name="Финансовый 2 14" xfId="3044"/>
    <cellStyle name="Финансовый 2 15" xfId="3045"/>
    <cellStyle name="Финансовый 2 2" xfId="2690"/>
    <cellStyle name="Финансовый 2 2 2" xfId="11369"/>
    <cellStyle name="Финансовый 2 2 3" xfId="22063"/>
    <cellStyle name="Финансовый 2 3" xfId="2697"/>
    <cellStyle name="Финансовый 2 4" xfId="2692"/>
    <cellStyle name="Финансовый 2 5" xfId="2775"/>
    <cellStyle name="Финансовый 2 6" xfId="2829"/>
    <cellStyle name="Финансовый 2 7" xfId="2877"/>
    <cellStyle name="Финансовый 2 8" xfId="2930"/>
    <cellStyle name="Финансовый 2 9" xfId="2984"/>
    <cellStyle name="Финансовый 20" xfId="13576"/>
    <cellStyle name="Финансовый 21" xfId="13577"/>
    <cellStyle name="Финансовый 22" xfId="13578"/>
    <cellStyle name="Финансовый 23" xfId="13579"/>
    <cellStyle name="Финансовый 24" xfId="13580"/>
    <cellStyle name="Финансовый 25" xfId="13581"/>
    <cellStyle name="Финансовый 26" xfId="13582"/>
    <cellStyle name="Финансовый 27" xfId="13583"/>
    <cellStyle name="Финансовый 28" xfId="13584"/>
    <cellStyle name="Финансовый 29" xfId="13585"/>
    <cellStyle name="Финансовый 3" xfId="2696"/>
    <cellStyle name="Финансовый 3 2" xfId="13586"/>
    <cellStyle name="Финансовый 3 2 2" xfId="22067"/>
    <cellStyle name="Финансовый 30" xfId="13587"/>
    <cellStyle name="Финансовый 31" xfId="13588"/>
    <cellStyle name="Финансовый 32" xfId="13589"/>
    <cellStyle name="Финансовый 33" xfId="13590"/>
    <cellStyle name="Финансовый 34" xfId="13591"/>
    <cellStyle name="Финансовый 35" xfId="13592"/>
    <cellStyle name="Финансовый 36" xfId="13593"/>
    <cellStyle name="Финансовый 37" xfId="13594"/>
    <cellStyle name="Финансовый 38" xfId="13595"/>
    <cellStyle name="Финансовый 39" xfId="13596"/>
    <cellStyle name="Финансовый 4" xfId="13597"/>
    <cellStyle name="Финансовый 40" xfId="13598"/>
    <cellStyle name="Финансовый 41" xfId="13599"/>
    <cellStyle name="Финансовый 42" xfId="13600"/>
    <cellStyle name="Финансовый 43" xfId="13601"/>
    <cellStyle name="Финансовый 44" xfId="13602"/>
    <cellStyle name="Финансовый 45" xfId="13603"/>
    <cellStyle name="Финансовый 46" xfId="13604"/>
    <cellStyle name="Финансовый 48" xfId="13605"/>
    <cellStyle name="Финансовый 49" xfId="13606"/>
    <cellStyle name="Финансовый 5" xfId="13607"/>
    <cellStyle name="Финансовый 50" xfId="13608"/>
    <cellStyle name="Финансовый 6" xfId="13609"/>
    <cellStyle name="Финансовый 7" xfId="13610"/>
    <cellStyle name="Финансовый 8" xfId="13611"/>
    <cellStyle name="Финансовый 9" xfId="13612"/>
    <cellStyle name="Хороший 10" xfId="2347"/>
    <cellStyle name="Хороший 10 10" xfId="11371"/>
    <cellStyle name="Хороший 10 11" xfId="11372"/>
    <cellStyle name="Хороший 10 12" xfId="11373"/>
    <cellStyle name="Хороший 10 13" xfId="11374"/>
    <cellStyle name="Хороший 10 14" xfId="11375"/>
    <cellStyle name="Хороший 10 2" xfId="2348"/>
    <cellStyle name="Хороший 10 2 2" xfId="11376"/>
    <cellStyle name="Хороший 10 3" xfId="2349"/>
    <cellStyle name="Хороший 10 3 2" xfId="11377"/>
    <cellStyle name="Хороший 10 4" xfId="11370"/>
    <cellStyle name="Хороший 10 5" xfId="11378"/>
    <cellStyle name="Хороший 10 6" xfId="11379"/>
    <cellStyle name="Хороший 10 7" xfId="11380"/>
    <cellStyle name="Хороший 10 8" xfId="11381"/>
    <cellStyle name="Хороший 10 9" xfId="11382"/>
    <cellStyle name="Хороший 11" xfId="2350"/>
    <cellStyle name="Хороший 11 10" xfId="11384"/>
    <cellStyle name="Хороший 11 11" xfId="11385"/>
    <cellStyle name="Хороший 11 12" xfId="11386"/>
    <cellStyle name="Хороший 11 13" xfId="11387"/>
    <cellStyle name="Хороший 11 14" xfId="11388"/>
    <cellStyle name="Хороший 11 2" xfId="2351"/>
    <cellStyle name="Хороший 11 2 2" xfId="11389"/>
    <cellStyle name="Хороший 11 3" xfId="2352"/>
    <cellStyle name="Хороший 11 3 2" xfId="11390"/>
    <cellStyle name="Хороший 11 4" xfId="11383"/>
    <cellStyle name="Хороший 11 5" xfId="11391"/>
    <cellStyle name="Хороший 11 6" xfId="11392"/>
    <cellStyle name="Хороший 11 7" xfId="11393"/>
    <cellStyle name="Хороший 11 8" xfId="11394"/>
    <cellStyle name="Хороший 11 9" xfId="11395"/>
    <cellStyle name="Хороший 12" xfId="2353"/>
    <cellStyle name="Хороший 12 10" xfId="11397"/>
    <cellStyle name="Хороший 12 11" xfId="11398"/>
    <cellStyle name="Хороший 12 12" xfId="11399"/>
    <cellStyle name="Хороший 12 13" xfId="11400"/>
    <cellStyle name="Хороший 12 14" xfId="11401"/>
    <cellStyle name="Хороший 12 2" xfId="2354"/>
    <cellStyle name="Хороший 12 2 2" xfId="11402"/>
    <cellStyle name="Хороший 12 3" xfId="2355"/>
    <cellStyle name="Хороший 12 3 2" xfId="11403"/>
    <cellStyle name="Хороший 12 4" xfId="11396"/>
    <cellStyle name="Хороший 12 5" xfId="11404"/>
    <cellStyle name="Хороший 12 6" xfId="11405"/>
    <cellStyle name="Хороший 12 7" xfId="11406"/>
    <cellStyle name="Хороший 12 8" xfId="11407"/>
    <cellStyle name="Хороший 12 9" xfId="11408"/>
    <cellStyle name="Хороший 13" xfId="2356"/>
    <cellStyle name="Хороший 13 10" xfId="11410"/>
    <cellStyle name="Хороший 13 11" xfId="11411"/>
    <cellStyle name="Хороший 13 12" xfId="11412"/>
    <cellStyle name="Хороший 13 13" xfId="11413"/>
    <cellStyle name="Хороший 13 14" xfId="11414"/>
    <cellStyle name="Хороший 13 2" xfId="2357"/>
    <cellStyle name="Хороший 13 2 2" xfId="11415"/>
    <cellStyle name="Хороший 13 3" xfId="2358"/>
    <cellStyle name="Хороший 13 3 2" xfId="11416"/>
    <cellStyle name="Хороший 13 4" xfId="11409"/>
    <cellStyle name="Хороший 13 5" xfId="11417"/>
    <cellStyle name="Хороший 13 6" xfId="11418"/>
    <cellStyle name="Хороший 13 7" xfId="11419"/>
    <cellStyle name="Хороший 13 8" xfId="11420"/>
    <cellStyle name="Хороший 13 9" xfId="11421"/>
    <cellStyle name="Хороший 14" xfId="2359"/>
    <cellStyle name="Хороший 14 10" xfId="11423"/>
    <cellStyle name="Хороший 14 11" xfId="11424"/>
    <cellStyle name="Хороший 14 12" xfId="11425"/>
    <cellStyle name="Хороший 14 13" xfId="11426"/>
    <cellStyle name="Хороший 14 14" xfId="11427"/>
    <cellStyle name="Хороший 14 2" xfId="2360"/>
    <cellStyle name="Хороший 14 2 2" xfId="11428"/>
    <cellStyle name="Хороший 14 3" xfId="2361"/>
    <cellStyle name="Хороший 14 3 2" xfId="11429"/>
    <cellStyle name="Хороший 14 4" xfId="11422"/>
    <cellStyle name="Хороший 14 5" xfId="11430"/>
    <cellStyle name="Хороший 14 6" xfId="11431"/>
    <cellStyle name="Хороший 14 7" xfId="11432"/>
    <cellStyle name="Хороший 14 8" xfId="11433"/>
    <cellStyle name="Хороший 14 9" xfId="11434"/>
    <cellStyle name="Хороший 15" xfId="2362"/>
    <cellStyle name="Хороший 15 10" xfId="11436"/>
    <cellStyle name="Хороший 15 11" xfId="11437"/>
    <cellStyle name="Хороший 15 12" xfId="11438"/>
    <cellStyle name="Хороший 15 13" xfId="11439"/>
    <cellStyle name="Хороший 15 14" xfId="11440"/>
    <cellStyle name="Хороший 15 2" xfId="2363"/>
    <cellStyle name="Хороший 15 2 2" xfId="11441"/>
    <cellStyle name="Хороший 15 3" xfId="2364"/>
    <cellStyle name="Хороший 15 3 2" xfId="11442"/>
    <cellStyle name="Хороший 15 4" xfId="11435"/>
    <cellStyle name="Хороший 15 5" xfId="11443"/>
    <cellStyle name="Хороший 15 6" xfId="11444"/>
    <cellStyle name="Хороший 15 7" xfId="11445"/>
    <cellStyle name="Хороший 15 8" xfId="11446"/>
    <cellStyle name="Хороший 15 9" xfId="11447"/>
    <cellStyle name="Хороший 16" xfId="2365"/>
    <cellStyle name="Хороший 16 10" xfId="11449"/>
    <cellStyle name="Хороший 16 11" xfId="11450"/>
    <cellStyle name="Хороший 16 12" xfId="11451"/>
    <cellStyle name="Хороший 16 13" xfId="11452"/>
    <cellStyle name="Хороший 16 14" xfId="11453"/>
    <cellStyle name="Хороший 16 2" xfId="2366"/>
    <cellStyle name="Хороший 16 2 2" xfId="11454"/>
    <cellStyle name="Хороший 16 3" xfId="2367"/>
    <cellStyle name="Хороший 16 3 2" xfId="11455"/>
    <cellStyle name="Хороший 16 4" xfId="11448"/>
    <cellStyle name="Хороший 16 5" xfId="11456"/>
    <cellStyle name="Хороший 16 6" xfId="11457"/>
    <cellStyle name="Хороший 16 7" xfId="11458"/>
    <cellStyle name="Хороший 16 8" xfId="11459"/>
    <cellStyle name="Хороший 16 9" xfId="11460"/>
    <cellStyle name="Хороший 17" xfId="2368"/>
    <cellStyle name="Хороший 17 10" xfId="11462"/>
    <cellStyle name="Хороший 17 11" xfId="11463"/>
    <cellStyle name="Хороший 17 12" xfId="11464"/>
    <cellStyle name="Хороший 17 13" xfId="11465"/>
    <cellStyle name="Хороший 17 14" xfId="11466"/>
    <cellStyle name="Хороший 17 2" xfId="2369"/>
    <cellStyle name="Хороший 17 2 2" xfId="11467"/>
    <cellStyle name="Хороший 17 3" xfId="2370"/>
    <cellStyle name="Хороший 17 3 2" xfId="11468"/>
    <cellStyle name="Хороший 17 4" xfId="11461"/>
    <cellStyle name="Хороший 17 5" xfId="11469"/>
    <cellStyle name="Хороший 17 6" xfId="11470"/>
    <cellStyle name="Хороший 17 7" xfId="11471"/>
    <cellStyle name="Хороший 17 8" xfId="11472"/>
    <cellStyle name="Хороший 17 9" xfId="11473"/>
    <cellStyle name="Хороший 18" xfId="2371"/>
    <cellStyle name="Хороший 18 2" xfId="2372"/>
    <cellStyle name="Хороший 18 2 2" xfId="11475"/>
    <cellStyle name="Хороший 18 3" xfId="11474"/>
    <cellStyle name="Хороший 19" xfId="2373"/>
    <cellStyle name="Хороший 19 2" xfId="2374"/>
    <cellStyle name="Хороший 19 2 2" xfId="11477"/>
    <cellStyle name="Хороший 19 3" xfId="11476"/>
    <cellStyle name="Хороший 2" xfId="2375"/>
    <cellStyle name="Хороший 2 10" xfId="11479"/>
    <cellStyle name="Хороший 2 11" xfId="11480"/>
    <cellStyle name="Хороший 2 12" xfId="11481"/>
    <cellStyle name="Хороший 2 13" xfId="11482"/>
    <cellStyle name="Хороший 2 14" xfId="11483"/>
    <cellStyle name="Хороший 2 2" xfId="2376"/>
    <cellStyle name="Хороший 2 2 2" xfId="11484"/>
    <cellStyle name="Хороший 2 3" xfId="2377"/>
    <cellStyle name="Хороший 2 3 2" xfId="11485"/>
    <cellStyle name="Хороший 2 4" xfId="11478"/>
    <cellStyle name="Хороший 2 5" xfId="11486"/>
    <cellStyle name="Хороший 2 6" xfId="11487"/>
    <cellStyle name="Хороший 2 7" xfId="11488"/>
    <cellStyle name="Хороший 2 8" xfId="11489"/>
    <cellStyle name="Хороший 2 9" xfId="11490"/>
    <cellStyle name="Хороший 3" xfId="2378"/>
    <cellStyle name="Хороший 3 10" xfId="11492"/>
    <cellStyle name="Хороший 3 11" xfId="11493"/>
    <cellStyle name="Хороший 3 12" xfId="11494"/>
    <cellStyle name="Хороший 3 13" xfId="11495"/>
    <cellStyle name="Хороший 3 14" xfId="11496"/>
    <cellStyle name="Хороший 3 2" xfId="2379"/>
    <cellStyle name="Хороший 3 2 2" xfId="11497"/>
    <cellStyle name="Хороший 3 3" xfId="2380"/>
    <cellStyle name="Хороший 3 3 2" xfId="11498"/>
    <cellStyle name="Хороший 3 4" xfId="11491"/>
    <cellStyle name="Хороший 3 5" xfId="11499"/>
    <cellStyle name="Хороший 3 6" xfId="11500"/>
    <cellStyle name="Хороший 3 7" xfId="11501"/>
    <cellStyle name="Хороший 3 8" xfId="11502"/>
    <cellStyle name="Хороший 3 9" xfId="11503"/>
    <cellStyle name="Хороший 4" xfId="2381"/>
    <cellStyle name="Хороший 4 10" xfId="11505"/>
    <cellStyle name="Хороший 4 11" xfId="11506"/>
    <cellStyle name="Хороший 4 12" xfId="11507"/>
    <cellStyle name="Хороший 4 13" xfId="11508"/>
    <cellStyle name="Хороший 4 14" xfId="11509"/>
    <cellStyle name="Хороший 4 2" xfId="2382"/>
    <cellStyle name="Хороший 4 2 2" xfId="11510"/>
    <cellStyle name="Хороший 4 3" xfId="2383"/>
    <cellStyle name="Хороший 4 3 2" xfId="11511"/>
    <cellStyle name="Хороший 4 4" xfId="11504"/>
    <cellStyle name="Хороший 4 5" xfId="11512"/>
    <cellStyle name="Хороший 4 6" xfId="11513"/>
    <cellStyle name="Хороший 4 7" xfId="11514"/>
    <cellStyle name="Хороший 4 8" xfId="11515"/>
    <cellStyle name="Хороший 4 9" xfId="11516"/>
    <cellStyle name="Хороший 5" xfId="2384"/>
    <cellStyle name="Хороший 5 10" xfId="11518"/>
    <cellStyle name="Хороший 5 11" xfId="11519"/>
    <cellStyle name="Хороший 5 12" xfId="11520"/>
    <cellStyle name="Хороший 5 13" xfId="11521"/>
    <cellStyle name="Хороший 5 14" xfId="11522"/>
    <cellStyle name="Хороший 5 2" xfId="2385"/>
    <cellStyle name="Хороший 5 2 2" xfId="11523"/>
    <cellStyle name="Хороший 5 3" xfId="2386"/>
    <cellStyle name="Хороший 5 3 2" xfId="11524"/>
    <cellStyle name="Хороший 5 4" xfId="11517"/>
    <cellStyle name="Хороший 5 5" xfId="11525"/>
    <cellStyle name="Хороший 5 6" xfId="11526"/>
    <cellStyle name="Хороший 5 7" xfId="11527"/>
    <cellStyle name="Хороший 5 8" xfId="11528"/>
    <cellStyle name="Хороший 5 9" xfId="11529"/>
    <cellStyle name="Хороший 6" xfId="2387"/>
    <cellStyle name="Хороший 6 10" xfId="11531"/>
    <cellStyle name="Хороший 6 11" xfId="11532"/>
    <cellStyle name="Хороший 6 12" xfId="11533"/>
    <cellStyle name="Хороший 6 13" xfId="11534"/>
    <cellStyle name="Хороший 6 14" xfId="11535"/>
    <cellStyle name="Хороший 6 2" xfId="2388"/>
    <cellStyle name="Хороший 6 2 2" xfId="11536"/>
    <cellStyle name="Хороший 6 3" xfId="2389"/>
    <cellStyle name="Хороший 6 3 2" xfId="11537"/>
    <cellStyle name="Хороший 6 4" xfId="11530"/>
    <cellStyle name="Хороший 6 5" xfId="11538"/>
    <cellStyle name="Хороший 6 6" xfId="11539"/>
    <cellStyle name="Хороший 6 7" xfId="11540"/>
    <cellStyle name="Хороший 6 8" xfId="11541"/>
    <cellStyle name="Хороший 6 9" xfId="11542"/>
    <cellStyle name="Хороший 7" xfId="2390"/>
    <cellStyle name="Хороший 7 10" xfId="11544"/>
    <cellStyle name="Хороший 7 11" xfId="11545"/>
    <cellStyle name="Хороший 7 12" xfId="11546"/>
    <cellStyle name="Хороший 7 13" xfId="11547"/>
    <cellStyle name="Хороший 7 14" xfId="11548"/>
    <cellStyle name="Хороший 7 2" xfId="2391"/>
    <cellStyle name="Хороший 7 2 2" xfId="11549"/>
    <cellStyle name="Хороший 7 3" xfId="2392"/>
    <cellStyle name="Хороший 7 3 2" xfId="11550"/>
    <cellStyle name="Хороший 7 4" xfId="11543"/>
    <cellStyle name="Хороший 7 5" xfId="11551"/>
    <cellStyle name="Хороший 7 6" xfId="11552"/>
    <cellStyle name="Хороший 7 7" xfId="11553"/>
    <cellStyle name="Хороший 7 8" xfId="11554"/>
    <cellStyle name="Хороший 7 9" xfId="11555"/>
    <cellStyle name="Хороший 8" xfId="2393"/>
    <cellStyle name="Хороший 8 10" xfId="11557"/>
    <cellStyle name="Хороший 8 11" xfId="11558"/>
    <cellStyle name="Хороший 8 12" xfId="11559"/>
    <cellStyle name="Хороший 8 13" xfId="11560"/>
    <cellStyle name="Хороший 8 14" xfId="11561"/>
    <cellStyle name="Хороший 8 2" xfId="2394"/>
    <cellStyle name="Хороший 8 2 2" xfId="11562"/>
    <cellStyle name="Хороший 8 3" xfId="2395"/>
    <cellStyle name="Хороший 8 3 2" xfId="11563"/>
    <cellStyle name="Хороший 8 4" xfId="11556"/>
    <cellStyle name="Хороший 8 5" xfId="11564"/>
    <cellStyle name="Хороший 8 6" xfId="11565"/>
    <cellStyle name="Хороший 8 7" xfId="11566"/>
    <cellStyle name="Хороший 8 8" xfId="11567"/>
    <cellStyle name="Хороший 8 9" xfId="11568"/>
    <cellStyle name="Хороший 9" xfId="2396"/>
    <cellStyle name="Хороший 9 10" xfId="11570"/>
    <cellStyle name="Хороший 9 11" xfId="11571"/>
    <cellStyle name="Хороший 9 12" xfId="11572"/>
    <cellStyle name="Хороший 9 13" xfId="11573"/>
    <cellStyle name="Хороший 9 14" xfId="11574"/>
    <cellStyle name="Хороший 9 2" xfId="2397"/>
    <cellStyle name="Хороший 9 2 2" xfId="11575"/>
    <cellStyle name="Хороший 9 3" xfId="2398"/>
    <cellStyle name="Хороший 9 3 2" xfId="11576"/>
    <cellStyle name="Хороший 9 4" xfId="11569"/>
    <cellStyle name="Хороший 9 5" xfId="11577"/>
    <cellStyle name="Хороший 9 6" xfId="11578"/>
    <cellStyle name="Хороший 9 7" xfId="11579"/>
    <cellStyle name="Хороший 9 8" xfId="11580"/>
    <cellStyle name="Хороший 9 9" xfId="11581"/>
  </cellStyles>
  <dxfs count="6">
    <dxf>
      <font>
        <b/>
        <i val="0"/>
        <color indexed="9"/>
      </font>
      <fill>
        <patternFill>
          <bgColor indexed="56"/>
        </patternFill>
      </fill>
    </dxf>
    <dxf>
      <font>
        <b/>
        <i val="0"/>
      </font>
      <fill>
        <patternFill>
          <bgColor indexed="52"/>
        </patternFill>
      </fill>
    </dxf>
    <dxf>
      <font>
        <b/>
        <i val="0"/>
      </font>
      <fill>
        <patternFill>
          <bgColor indexed="44"/>
        </patternFill>
      </fill>
    </dxf>
    <dxf>
      <font>
        <b/>
        <i val="0"/>
        <color indexed="9"/>
      </font>
      <fill>
        <patternFill>
          <bgColor indexed="56"/>
        </patternFill>
      </fill>
    </dxf>
    <dxf>
      <font>
        <b/>
        <i val="0"/>
      </font>
      <fill>
        <patternFill>
          <bgColor indexed="52"/>
        </patternFill>
      </fill>
    </dxf>
    <dxf>
      <font>
        <b/>
        <i val="0"/>
      </font>
      <fill>
        <patternFill>
          <bgColor indexed="44"/>
        </patternFill>
      </fill>
    </dxf>
  </dxfs>
  <tableStyles count="0" defaultTableStyle="TableStyleMedium9" defaultPivotStyle="PivotStyleLight16"/>
  <colors>
    <mruColors>
      <color rgb="FFFF8080"/>
      <color rgb="FF33CCCC"/>
      <color rgb="FF333399"/>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34</xdr:col>
      <xdr:colOff>676275</xdr:colOff>
      <xdr:row>2</xdr:row>
      <xdr:rowOff>0</xdr:rowOff>
    </xdr:from>
    <xdr:to>
      <xdr:col>35</xdr:col>
      <xdr:colOff>161925</xdr:colOff>
      <xdr:row>2</xdr:row>
      <xdr:rowOff>28575</xdr:rowOff>
    </xdr:to>
    <xdr:sp macro="" textlink="">
      <xdr:nvSpPr>
        <xdr:cNvPr id="2" name="Text Box 1"/>
        <xdr:cNvSpPr txBox="1">
          <a:spLocks noChangeArrowheads="1"/>
        </xdr:cNvSpPr>
      </xdr:nvSpPr>
      <xdr:spPr bwMode="auto">
        <a:xfrm>
          <a:off x="23241000" y="1133475"/>
          <a:ext cx="1619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 name="Text Box 2"/>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4" name="Text Box 3"/>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5" name="Text Box 4"/>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6" name="Text Box 5"/>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7" name="Text Box 6"/>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8" name="Text Box 7"/>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9" name="Text Box 1"/>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0" name="Text Box 2"/>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1" name="Text Box 3"/>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2" name="Text Box 4"/>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3" name="Text Box 5"/>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4" name="Text Box 6"/>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15" name="Text Box 7"/>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200025</xdr:colOff>
      <xdr:row>18</xdr:row>
      <xdr:rowOff>85725</xdr:rowOff>
    </xdr:from>
    <xdr:to>
      <xdr:col>36</xdr:col>
      <xdr:colOff>266700</xdr:colOff>
      <xdr:row>18</xdr:row>
      <xdr:rowOff>133350</xdr:rowOff>
    </xdr:to>
    <xdr:sp macro="" textlink="">
      <xdr:nvSpPr>
        <xdr:cNvPr id="16" name="Text Box 3"/>
        <xdr:cNvSpPr txBox="1">
          <a:spLocks noChangeArrowheads="1"/>
        </xdr:cNvSpPr>
      </xdr:nvSpPr>
      <xdr:spPr bwMode="auto">
        <a:xfrm>
          <a:off x="23441025" y="397192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xdr:row>
      <xdr:rowOff>0</xdr:rowOff>
    </xdr:from>
    <xdr:to>
      <xdr:col>36</xdr:col>
      <xdr:colOff>66675</xdr:colOff>
      <xdr:row>2</xdr:row>
      <xdr:rowOff>47625</xdr:rowOff>
    </xdr:to>
    <xdr:sp macro="" textlink="">
      <xdr:nvSpPr>
        <xdr:cNvPr id="17" name="Text Box 4"/>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18" name="Text Box 5"/>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19" name="Text Box 6"/>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0" name="Text Box 7"/>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38100</xdr:rowOff>
    </xdr:to>
    <xdr:sp macro="" textlink="">
      <xdr:nvSpPr>
        <xdr:cNvPr id="21" name="Text Box 1"/>
        <xdr:cNvSpPr txBox="1">
          <a:spLocks noChangeArrowheads="1"/>
        </xdr:cNvSpPr>
      </xdr:nvSpPr>
      <xdr:spPr bwMode="auto">
        <a:xfrm>
          <a:off x="23241000" y="1133475"/>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2" name="Text Box 2"/>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3" name="Text Box 3"/>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24" name="Text Box 4"/>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28575</xdr:rowOff>
    </xdr:to>
    <xdr:sp macro="" textlink="">
      <xdr:nvSpPr>
        <xdr:cNvPr id="25" name="Text Box 1"/>
        <xdr:cNvSpPr txBox="1">
          <a:spLocks noChangeArrowheads="1"/>
        </xdr:cNvSpPr>
      </xdr:nvSpPr>
      <xdr:spPr bwMode="auto">
        <a:xfrm>
          <a:off x="23241000" y="1133475"/>
          <a:ext cx="1619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6" name="Text Box 2"/>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7" name="Text Box 3"/>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8" name="Text Box 4"/>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29" name="Text Box 5"/>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0" name="Text Box 6"/>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1" name="Text Box 7"/>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38100</xdr:rowOff>
    </xdr:to>
    <xdr:sp macro="" textlink="">
      <xdr:nvSpPr>
        <xdr:cNvPr id="32" name="Text Box 1"/>
        <xdr:cNvSpPr txBox="1">
          <a:spLocks noChangeArrowheads="1"/>
        </xdr:cNvSpPr>
      </xdr:nvSpPr>
      <xdr:spPr bwMode="auto">
        <a:xfrm>
          <a:off x="23241000" y="1133475"/>
          <a:ext cx="1619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3" name="Text Box 2"/>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4" name="Text Box 3"/>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5" name="Text Box 4"/>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6" name="Text Box 5"/>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7" name="Text Box 6"/>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35</xdr:col>
      <xdr:colOff>161925</xdr:colOff>
      <xdr:row>2</xdr:row>
      <xdr:rowOff>47625</xdr:rowOff>
    </xdr:to>
    <xdr:sp macro="" textlink="">
      <xdr:nvSpPr>
        <xdr:cNvPr id="38" name="Text Box 7"/>
        <xdr:cNvSpPr txBox="1">
          <a:spLocks noChangeArrowheads="1"/>
        </xdr:cNvSpPr>
      </xdr:nvSpPr>
      <xdr:spPr bwMode="auto">
        <a:xfrm>
          <a:off x="23241000" y="1133475"/>
          <a:ext cx="1619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38100</xdr:rowOff>
    </xdr:to>
    <xdr:sp macro="" textlink="">
      <xdr:nvSpPr>
        <xdr:cNvPr id="39" name="Text Box 1"/>
        <xdr:cNvSpPr txBox="1">
          <a:spLocks noChangeArrowheads="1"/>
        </xdr:cNvSpPr>
      </xdr:nvSpPr>
      <xdr:spPr bwMode="auto">
        <a:xfrm>
          <a:off x="23241000" y="1133475"/>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676275</xdr:colOff>
      <xdr:row>2</xdr:row>
      <xdr:rowOff>0</xdr:rowOff>
    </xdr:from>
    <xdr:to>
      <xdr:col>36</xdr:col>
      <xdr:colOff>66675</xdr:colOff>
      <xdr:row>2</xdr:row>
      <xdr:rowOff>47625</xdr:rowOff>
    </xdr:to>
    <xdr:sp macro="" textlink="">
      <xdr:nvSpPr>
        <xdr:cNvPr id="40" name="Text Box 2"/>
        <xdr:cNvSpPr txBox="1">
          <a:spLocks noChangeArrowheads="1"/>
        </xdr:cNvSpPr>
      </xdr:nvSpPr>
      <xdr:spPr bwMode="auto">
        <a:xfrm>
          <a:off x="23241000" y="113347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666750</xdr:colOff>
      <xdr:row>12</xdr:row>
      <xdr:rowOff>95250</xdr:rowOff>
    </xdr:from>
    <xdr:to>
      <xdr:col>37</xdr:col>
      <xdr:colOff>38100</xdr:colOff>
      <xdr:row>12</xdr:row>
      <xdr:rowOff>142875</xdr:rowOff>
    </xdr:to>
    <xdr:sp macro="" textlink="">
      <xdr:nvSpPr>
        <xdr:cNvPr id="41" name="Text Box 3"/>
        <xdr:cNvSpPr txBox="1">
          <a:spLocks noChangeArrowheads="1"/>
        </xdr:cNvSpPr>
      </xdr:nvSpPr>
      <xdr:spPr bwMode="auto">
        <a:xfrm>
          <a:off x="23907750" y="3009900"/>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161925</xdr:colOff>
      <xdr:row>12</xdr:row>
      <xdr:rowOff>47625</xdr:rowOff>
    </xdr:from>
    <xdr:to>
      <xdr:col>36</xdr:col>
      <xdr:colOff>228600</xdr:colOff>
      <xdr:row>12</xdr:row>
      <xdr:rowOff>85725</xdr:rowOff>
    </xdr:to>
    <xdr:sp macro="" textlink="">
      <xdr:nvSpPr>
        <xdr:cNvPr id="42" name="Text Box 1"/>
        <xdr:cNvSpPr txBox="1">
          <a:spLocks noChangeArrowheads="1"/>
        </xdr:cNvSpPr>
      </xdr:nvSpPr>
      <xdr:spPr bwMode="auto">
        <a:xfrm>
          <a:off x="23402925" y="2962275"/>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34</xdr:col>
      <xdr:colOff>723900</xdr:colOff>
      <xdr:row>9</xdr:row>
      <xdr:rowOff>66675</xdr:rowOff>
    </xdr:from>
    <xdr:to>
      <xdr:col>36</xdr:col>
      <xdr:colOff>66675</xdr:colOff>
      <xdr:row>9</xdr:row>
      <xdr:rowOff>114300</xdr:rowOff>
    </xdr:to>
    <xdr:sp macro="" textlink="">
      <xdr:nvSpPr>
        <xdr:cNvPr id="43" name="Text Box 2"/>
        <xdr:cNvSpPr txBox="1">
          <a:spLocks noChangeArrowheads="1"/>
        </xdr:cNvSpPr>
      </xdr:nvSpPr>
      <xdr:spPr bwMode="auto">
        <a:xfrm>
          <a:off x="23241000" y="2333625"/>
          <a:ext cx="685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167"/>
  <sheetViews>
    <sheetView tabSelected="1" view="pageBreakPreview" zoomScaleNormal="160" zoomScaleSheetLayoutView="100" workbookViewId="0">
      <pane xSplit="1" topLeftCell="B1" activePane="topRight" state="frozen"/>
      <selection activeCell="A4" sqref="A4"/>
      <selection pane="topRight" activeCell="A6" sqref="A6:XFD6"/>
    </sheetView>
  </sheetViews>
  <sheetFormatPr defaultColWidth="8.7109375" defaultRowHeight="12.75"/>
  <cols>
    <col min="1" max="1" width="57.5703125" style="142" customWidth="1"/>
    <col min="2" max="2" width="14.42578125" style="15" customWidth="1"/>
    <col min="3" max="3" width="10.42578125" style="142" customWidth="1"/>
    <col min="4" max="4" width="11.140625" style="142" customWidth="1"/>
    <col min="5" max="6" width="9.42578125" style="142" customWidth="1"/>
    <col min="7" max="8" width="9.140625" style="142"/>
    <col min="9" max="9" width="9.28515625" style="142" customWidth="1"/>
    <col min="10" max="10" width="10.140625" style="142" customWidth="1"/>
    <col min="11" max="11" width="9.42578125" style="142" customWidth="1"/>
    <col min="12" max="12" width="9.7109375" style="142" customWidth="1"/>
    <col min="13" max="13" width="10.140625" style="142" customWidth="1"/>
    <col min="14" max="14" width="10.42578125" style="142" customWidth="1"/>
    <col min="15" max="15" width="11.5703125" style="142" customWidth="1"/>
    <col min="16" max="16" width="11.28515625" style="142" customWidth="1"/>
    <col min="17" max="17" width="11.140625" style="142" customWidth="1"/>
    <col min="18" max="18" width="10" style="142" customWidth="1"/>
    <col min="19" max="19" width="10.5703125" style="142" customWidth="1"/>
    <col min="20" max="20" width="12.5703125" style="142" customWidth="1"/>
    <col min="21" max="21" width="12.42578125" style="142" customWidth="1"/>
    <col min="22" max="22" width="13.5703125" style="142" customWidth="1"/>
    <col min="23" max="24" width="12.42578125" style="15" customWidth="1"/>
    <col min="25" max="25" width="12.140625" style="15" customWidth="1"/>
    <col min="26" max="26" width="13.28515625" style="15" customWidth="1"/>
    <col min="27" max="27" width="13.140625" style="15" customWidth="1"/>
    <col min="28" max="28" width="10.28515625" style="15" customWidth="1"/>
    <col min="29" max="29" width="11.5703125" style="15" customWidth="1"/>
    <col min="30" max="30" width="12.28515625" style="15" customWidth="1"/>
    <col min="31" max="31" width="12.5703125" style="15" customWidth="1"/>
    <col min="32" max="32" width="13.85546875" style="15" customWidth="1"/>
    <col min="33" max="33" width="14" style="15" customWidth="1"/>
    <col min="34" max="34" width="12.85546875" style="15" customWidth="1"/>
    <col min="35" max="35" width="14.140625" style="15" customWidth="1"/>
    <col min="36" max="37" width="13" style="15" customWidth="1"/>
    <col min="38" max="38" width="13.42578125" style="15" customWidth="1"/>
    <col min="39" max="39" width="14.140625" style="15" customWidth="1"/>
    <col min="40" max="40" width="13.140625" style="15" customWidth="1"/>
    <col min="41" max="44" width="13" style="15" customWidth="1"/>
    <col min="45" max="45" width="12.85546875" style="15" customWidth="1"/>
    <col min="46" max="46" width="12.5703125" style="15" customWidth="1"/>
    <col min="47" max="47" width="12.85546875" style="15" customWidth="1"/>
    <col min="48" max="48" width="11.85546875" style="15" customWidth="1"/>
    <col min="49" max="49" width="11.5703125" style="15" customWidth="1"/>
    <col min="50" max="50" width="12.5703125" style="15" customWidth="1"/>
    <col min="51" max="51" width="11.140625" style="15" customWidth="1"/>
    <col min="52" max="52" width="12.85546875" style="15" customWidth="1"/>
    <col min="53" max="53" width="12.5703125" style="15" customWidth="1"/>
    <col min="54" max="54" width="11.7109375" style="15" customWidth="1"/>
    <col min="55" max="55" width="11.28515625" style="15" customWidth="1"/>
    <col min="56" max="56" width="11.140625" style="15" customWidth="1"/>
    <col min="57" max="57" width="11.28515625" style="15" customWidth="1"/>
    <col min="58" max="58" width="10.85546875" style="15" customWidth="1"/>
    <col min="59" max="59" width="11.5703125" style="15" customWidth="1"/>
    <col min="60" max="61" width="10.85546875" style="15" customWidth="1"/>
    <col min="62" max="62" width="11.28515625" style="15" customWidth="1"/>
    <col min="63" max="63" width="11.42578125" style="15" customWidth="1"/>
    <col min="64" max="64" width="11.5703125" style="15" customWidth="1"/>
    <col min="65" max="16384" width="8.7109375" style="15"/>
  </cols>
  <sheetData>
    <row r="1" spans="1:47">
      <c r="A1" s="20"/>
      <c r="B1" s="21"/>
      <c r="C1" s="22"/>
      <c r="D1" s="22"/>
      <c r="E1" s="22"/>
      <c r="F1" s="22"/>
      <c r="G1" s="22"/>
      <c r="H1" s="22"/>
      <c r="I1" s="22"/>
      <c r="J1" s="22"/>
      <c r="K1" s="22"/>
      <c r="L1" s="22"/>
      <c r="M1" s="22"/>
      <c r="N1" s="23"/>
      <c r="O1" s="23"/>
      <c r="P1" s="23"/>
      <c r="Q1" s="23"/>
      <c r="R1" s="20"/>
      <c r="S1" s="20"/>
      <c r="T1" s="23"/>
      <c r="U1" s="23"/>
      <c r="V1" s="23"/>
      <c r="W1" s="24"/>
      <c r="X1" s="24"/>
      <c r="Y1" s="24"/>
      <c r="Z1" s="24"/>
      <c r="AA1" s="24"/>
      <c r="AB1" s="24"/>
      <c r="AC1" s="24"/>
      <c r="AD1" s="24"/>
      <c r="AE1" s="25"/>
    </row>
    <row r="2" spans="1:47" s="11" customFormat="1" ht="27.75" customHeight="1">
      <c r="A2" s="656"/>
      <c r="B2" s="656"/>
      <c r="C2" s="656"/>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c r="AD2" s="656"/>
      <c r="AE2" s="656"/>
      <c r="AF2" s="656"/>
      <c r="AG2" s="656"/>
      <c r="AH2" s="656"/>
    </row>
    <row r="3" spans="1:47" s="11" customFormat="1" ht="15.75">
      <c r="A3" s="657"/>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row>
    <row r="4" spans="1:47" s="2" customFormat="1" ht="49.5" customHeight="1">
      <c r="A4" s="1103" t="s">
        <v>99</v>
      </c>
      <c r="B4" s="1103"/>
      <c r="C4" s="1103"/>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495"/>
      <c r="AJ4" s="495"/>
      <c r="AK4" s="495"/>
      <c r="AL4" s="495"/>
      <c r="AM4" s="495"/>
      <c r="AN4" s="495"/>
      <c r="AO4" s="490"/>
      <c r="AP4" s="490"/>
      <c r="AQ4" s="490"/>
      <c r="AR4" s="490"/>
      <c r="AS4" s="490"/>
      <c r="AT4" s="490"/>
      <c r="AU4" s="490"/>
    </row>
    <row r="5" spans="1:47" s="2" customFormat="1">
      <c r="A5" s="496"/>
      <c r="C5" s="498"/>
      <c r="D5" s="498"/>
      <c r="E5" s="498"/>
      <c r="F5" s="498"/>
      <c r="G5" s="498"/>
      <c r="H5" s="498"/>
      <c r="I5" s="498"/>
      <c r="J5" s="498"/>
      <c r="K5" s="498"/>
      <c r="L5" s="498"/>
      <c r="M5" s="498"/>
      <c r="N5" s="498"/>
      <c r="O5" s="498"/>
      <c r="P5" s="498"/>
      <c r="Q5" s="498"/>
      <c r="R5" s="498"/>
      <c r="S5" s="498"/>
      <c r="T5" s="498"/>
      <c r="U5" s="499"/>
      <c r="V5" s="500"/>
      <c r="W5" s="500"/>
      <c r="X5" s="500"/>
      <c r="Y5" s="498"/>
      <c r="Z5" s="498"/>
      <c r="AA5" s="498"/>
      <c r="AB5" s="498"/>
      <c r="AC5" s="498"/>
      <c r="AD5" s="498"/>
      <c r="AE5" s="501"/>
      <c r="AF5" s="502"/>
      <c r="AG5" s="503"/>
      <c r="AH5" s="502"/>
      <c r="AI5" s="502"/>
      <c r="AJ5" s="502"/>
      <c r="AK5" s="502"/>
      <c r="AL5" s="502"/>
      <c r="AM5" s="502"/>
      <c r="AN5" s="502"/>
      <c r="AO5" s="504"/>
      <c r="AP5" s="502"/>
      <c r="AQ5" s="502"/>
      <c r="AR5" s="502"/>
      <c r="AS5" s="502"/>
      <c r="AT5" s="505"/>
      <c r="AU5" s="505"/>
    </row>
    <row r="6" spans="1:47" s="1117" customFormat="1" ht="15">
      <c r="A6" s="1116" t="s">
        <v>548</v>
      </c>
      <c r="C6" s="1118"/>
      <c r="D6" s="1118"/>
      <c r="E6" s="1118"/>
      <c r="F6" s="1118"/>
      <c r="G6" s="1118"/>
      <c r="H6" s="1118"/>
      <c r="I6" s="1118"/>
      <c r="J6" s="1118"/>
      <c r="K6" s="1118"/>
      <c r="L6" s="1118"/>
      <c r="M6" s="1118"/>
      <c r="N6" s="1118"/>
      <c r="O6" s="1118"/>
      <c r="P6" s="1118"/>
      <c r="Q6" s="1118"/>
      <c r="R6" s="1118"/>
      <c r="S6" s="1118"/>
      <c r="T6" s="1118"/>
      <c r="U6" s="1119"/>
      <c r="V6" s="1120"/>
      <c r="W6" s="1120"/>
      <c r="X6" s="1120"/>
      <c r="Y6" s="1118"/>
      <c r="Z6" s="1118"/>
      <c r="AA6" s="1118"/>
      <c r="AB6" s="1118"/>
      <c r="AC6" s="1118"/>
      <c r="AD6" s="1118"/>
      <c r="AG6" s="1121"/>
      <c r="AK6" s="1122"/>
      <c r="AO6" s="1123"/>
      <c r="AS6" s="1122"/>
    </row>
    <row r="7" spans="1:47" s="2" customFormat="1">
      <c r="A7" s="508"/>
      <c r="B7" s="497"/>
      <c r="C7" s="498"/>
      <c r="D7" s="498"/>
      <c r="E7" s="498"/>
      <c r="F7" s="498"/>
      <c r="G7" s="498"/>
      <c r="H7" s="498"/>
      <c r="I7" s="498"/>
      <c r="J7" s="498"/>
      <c r="K7" s="498"/>
      <c r="L7" s="498"/>
      <c r="M7" s="498"/>
      <c r="N7" s="498"/>
      <c r="O7" s="498"/>
      <c r="P7" s="498"/>
      <c r="Q7" s="498"/>
      <c r="R7" s="498"/>
      <c r="S7" s="498"/>
      <c r="T7" s="498"/>
      <c r="U7" s="498"/>
      <c r="V7" s="498"/>
      <c r="W7" s="498"/>
      <c r="X7" s="498"/>
      <c r="Y7" s="498"/>
      <c r="Z7" s="498"/>
      <c r="AA7" s="498"/>
      <c r="AD7" s="509"/>
      <c r="AE7" s="501"/>
      <c r="AF7" s="502"/>
      <c r="AG7" s="503"/>
      <c r="AH7" s="502"/>
      <c r="AI7" s="502"/>
      <c r="AJ7" s="502"/>
      <c r="AK7" s="502"/>
      <c r="AL7" s="502"/>
      <c r="AM7" s="502"/>
      <c r="AN7" s="502"/>
      <c r="AO7" s="504"/>
      <c r="AP7" s="504"/>
      <c r="AQ7" s="502"/>
      <c r="AR7" s="502"/>
      <c r="AS7" s="502"/>
      <c r="AT7" s="505"/>
      <c r="AU7" s="505"/>
    </row>
    <row r="8" spans="1:47" s="2" customFormat="1">
      <c r="A8" s="508"/>
      <c r="B8" s="497"/>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C8" s="507"/>
      <c r="AD8" s="509"/>
      <c r="AE8" s="501"/>
      <c r="AF8" s="502"/>
      <c r="AG8" s="503"/>
      <c r="AH8" s="502"/>
      <c r="AI8" s="502"/>
      <c r="AJ8" s="502"/>
      <c r="AK8" s="502"/>
      <c r="AL8" s="502"/>
      <c r="AM8" s="502"/>
      <c r="AN8" s="502"/>
      <c r="AO8" s="504"/>
      <c r="AP8" s="504"/>
      <c r="AQ8" s="502"/>
      <c r="AR8" s="502"/>
      <c r="AS8" s="502"/>
      <c r="AT8" s="505"/>
      <c r="AU8" s="505"/>
    </row>
    <row r="9" spans="1:47" s="2" customFormat="1">
      <c r="A9" s="508"/>
      <c r="B9" s="497"/>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D9" s="509"/>
      <c r="AE9" s="501"/>
      <c r="AF9" s="502"/>
      <c r="AG9" s="503"/>
      <c r="AH9" s="502"/>
      <c r="AI9" s="502"/>
      <c r="AJ9" s="502"/>
      <c r="AK9" s="502"/>
      <c r="AL9" s="502"/>
      <c r="AM9" s="502"/>
      <c r="AN9" s="502"/>
      <c r="AO9" s="504"/>
      <c r="AP9" s="504"/>
      <c r="AQ9" s="502"/>
      <c r="AR9" s="502"/>
      <c r="AS9" s="502"/>
      <c r="AT9" s="505"/>
      <c r="AU9" s="505"/>
    </row>
    <row r="10" spans="1:47" s="2" customFormat="1">
      <c r="A10" s="508"/>
      <c r="B10" s="497"/>
      <c r="C10" s="498"/>
      <c r="D10" s="498"/>
      <c r="E10" s="498"/>
      <c r="F10" s="498"/>
      <c r="G10" s="498"/>
      <c r="H10" s="498"/>
      <c r="I10" s="498"/>
      <c r="J10" s="498"/>
      <c r="K10" s="498"/>
      <c r="L10" s="498"/>
      <c r="M10" s="498"/>
      <c r="N10" s="498"/>
      <c r="O10" s="498"/>
      <c r="P10" s="498"/>
      <c r="Q10" s="498"/>
      <c r="R10" s="498"/>
      <c r="S10" s="498"/>
      <c r="T10" s="498"/>
      <c r="U10" s="498"/>
      <c r="V10" s="498"/>
      <c r="W10" s="498"/>
      <c r="X10" s="498"/>
      <c r="Y10" s="498"/>
      <c r="Z10" s="498"/>
      <c r="AA10" s="498"/>
      <c r="AD10" s="509"/>
      <c r="AE10" s="501"/>
      <c r="AF10" s="502"/>
      <c r="AG10" s="503"/>
      <c r="AH10" s="502"/>
      <c r="AI10" s="502"/>
      <c r="AJ10" s="502"/>
      <c r="AK10" s="502"/>
      <c r="AL10" s="502"/>
      <c r="AM10" s="502"/>
      <c r="AN10" s="502"/>
      <c r="AO10" s="504"/>
      <c r="AP10" s="504"/>
      <c r="AQ10" s="502"/>
      <c r="AR10" s="502"/>
      <c r="AS10" s="502"/>
      <c r="AT10" s="505"/>
      <c r="AU10" s="505"/>
    </row>
    <row r="11" spans="1:47" s="2" customFormat="1">
      <c r="A11" s="508"/>
      <c r="B11" s="497"/>
      <c r="C11" s="498"/>
      <c r="D11" s="498"/>
      <c r="E11" s="498"/>
      <c r="F11" s="498"/>
      <c r="G11" s="498"/>
      <c r="H11" s="498"/>
      <c r="I11" s="498"/>
      <c r="J11" s="498"/>
      <c r="K11" s="498"/>
      <c r="L11" s="498"/>
      <c r="M11" s="498"/>
      <c r="N11" s="498"/>
      <c r="O11" s="498"/>
      <c r="P11" s="498"/>
      <c r="Q11" s="498"/>
      <c r="R11" s="498"/>
      <c r="S11" s="498"/>
      <c r="T11" s="498"/>
      <c r="U11" s="498"/>
      <c r="V11" s="498"/>
      <c r="W11" s="498"/>
      <c r="X11" s="498"/>
      <c r="Y11" s="498"/>
      <c r="Z11" s="498"/>
      <c r="AA11" s="498"/>
      <c r="AC11" s="507"/>
      <c r="AD11" s="509"/>
      <c r="AE11" s="501"/>
      <c r="AF11" s="502"/>
      <c r="AG11" s="503"/>
      <c r="AH11" s="502"/>
      <c r="AI11" s="502"/>
      <c r="AJ11" s="502"/>
      <c r="AK11" s="502"/>
      <c r="AL11" s="502"/>
      <c r="AM11" s="502"/>
      <c r="AN11" s="502"/>
      <c r="AO11" s="504"/>
      <c r="AP11" s="504"/>
      <c r="AQ11" s="502"/>
      <c r="AR11" s="502"/>
      <c r="AS11" s="502"/>
      <c r="AT11" s="505"/>
      <c r="AU11" s="505"/>
    </row>
    <row r="12" spans="1:47" s="2" customFormat="1">
      <c r="A12" s="508"/>
      <c r="B12" s="497"/>
      <c r="C12" s="498"/>
      <c r="D12" s="498"/>
      <c r="E12" s="498"/>
      <c r="F12" s="498"/>
      <c r="G12" s="498"/>
      <c r="H12" s="498"/>
      <c r="I12" s="498"/>
      <c r="J12" s="498"/>
      <c r="K12" s="498"/>
      <c r="L12" s="498"/>
      <c r="M12" s="498"/>
      <c r="N12" s="498"/>
      <c r="O12" s="498"/>
      <c r="P12" s="498"/>
      <c r="Q12" s="498"/>
      <c r="R12" s="498"/>
      <c r="S12" s="498"/>
      <c r="T12" s="498"/>
      <c r="U12" s="498"/>
      <c r="V12" s="498"/>
      <c r="W12" s="498"/>
      <c r="X12" s="498"/>
      <c r="Y12" s="498"/>
      <c r="Z12" s="498"/>
      <c r="AA12" s="498"/>
      <c r="AD12" s="509"/>
      <c r="AE12" s="501"/>
      <c r="AF12" s="502"/>
      <c r="AG12" s="503"/>
      <c r="AH12" s="502"/>
      <c r="AI12" s="502"/>
      <c r="AJ12" s="502"/>
      <c r="AK12" s="502"/>
      <c r="AL12" s="502"/>
      <c r="AM12" s="502"/>
      <c r="AN12" s="502"/>
      <c r="AO12" s="504"/>
      <c r="AP12" s="504"/>
      <c r="AQ12" s="502"/>
      <c r="AR12" s="502"/>
      <c r="AS12" s="502"/>
      <c r="AT12" s="505"/>
      <c r="AU12" s="505"/>
    </row>
    <row r="13" spans="1:47" s="2" customFormat="1">
      <c r="A13" s="508"/>
      <c r="B13" s="497"/>
      <c r="C13" s="498"/>
      <c r="D13" s="498"/>
      <c r="E13" s="498"/>
      <c r="F13" s="498"/>
      <c r="G13" s="498"/>
      <c r="H13" s="498"/>
      <c r="I13" s="498"/>
      <c r="J13" s="498"/>
      <c r="K13" s="498"/>
      <c r="L13" s="498"/>
      <c r="M13" s="498"/>
      <c r="N13" s="498"/>
      <c r="O13" s="498"/>
      <c r="P13" s="498"/>
      <c r="Q13" s="498"/>
      <c r="R13" s="498"/>
      <c r="S13" s="498"/>
      <c r="T13" s="498"/>
      <c r="U13" s="498"/>
      <c r="V13" s="498"/>
      <c r="W13" s="498"/>
      <c r="X13" s="498"/>
      <c r="Y13" s="498"/>
      <c r="Z13" s="498"/>
      <c r="AA13" s="498"/>
      <c r="AC13" s="507"/>
      <c r="AD13" s="509"/>
      <c r="AE13" s="501"/>
      <c r="AF13" s="502"/>
      <c r="AG13" s="503"/>
      <c r="AH13" s="502"/>
      <c r="AI13" s="502"/>
      <c r="AJ13" s="502"/>
      <c r="AK13" s="502"/>
      <c r="AL13" s="502"/>
      <c r="AM13" s="502"/>
      <c r="AN13" s="502"/>
      <c r="AO13" s="504"/>
      <c r="AP13" s="504"/>
      <c r="AQ13" s="502"/>
      <c r="AR13" s="502"/>
      <c r="AS13" s="502"/>
      <c r="AT13" s="505"/>
      <c r="AU13" s="505"/>
    </row>
    <row r="14" spans="1:47" s="2" customFormat="1">
      <c r="A14" s="508"/>
      <c r="B14" s="497"/>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8"/>
      <c r="AA14" s="498"/>
      <c r="AD14" s="509"/>
      <c r="AE14" s="501"/>
      <c r="AF14" s="502"/>
      <c r="AG14" s="503"/>
      <c r="AH14" s="502"/>
      <c r="AI14" s="502"/>
      <c r="AJ14" s="502"/>
      <c r="AK14" s="502"/>
      <c r="AL14" s="502"/>
      <c r="AM14" s="502"/>
      <c r="AN14" s="502"/>
      <c r="AO14" s="504"/>
      <c r="AP14" s="504"/>
      <c r="AQ14" s="502"/>
      <c r="AR14" s="502"/>
      <c r="AS14" s="502"/>
      <c r="AT14" s="505"/>
      <c r="AU14" s="505"/>
    </row>
    <row r="15" spans="1:47" s="2" customFormat="1">
      <c r="A15" s="510"/>
      <c r="B15" s="497"/>
      <c r="C15" s="498"/>
      <c r="D15" s="498"/>
      <c r="E15" s="498"/>
      <c r="F15" s="498"/>
      <c r="G15" s="498"/>
      <c r="H15" s="498"/>
      <c r="I15" s="498"/>
      <c r="J15" s="498"/>
      <c r="K15" s="498"/>
      <c r="L15" s="498"/>
      <c r="M15" s="498"/>
      <c r="N15" s="498"/>
      <c r="O15" s="498"/>
      <c r="P15" s="498"/>
      <c r="Q15" s="498"/>
      <c r="R15" s="498"/>
      <c r="S15" s="498"/>
      <c r="T15" s="498"/>
      <c r="U15" s="498"/>
      <c r="V15" s="498"/>
      <c r="W15" s="498"/>
      <c r="X15" s="498"/>
      <c r="Y15" s="498"/>
      <c r="Z15" s="498"/>
      <c r="AA15" s="498"/>
      <c r="AB15" s="498"/>
      <c r="AC15" s="498"/>
      <c r="AD15" s="511"/>
      <c r="AE15" s="233"/>
      <c r="AG15" s="233"/>
      <c r="AK15" s="502"/>
      <c r="AL15" s="502"/>
      <c r="AM15" s="512"/>
      <c r="AP15" s="504"/>
      <c r="AS15" s="502"/>
      <c r="AT15" s="505"/>
      <c r="AU15" s="505"/>
    </row>
    <row r="16" spans="1:47" s="2" customFormat="1">
      <c r="A16" s="496"/>
      <c r="B16" s="513"/>
      <c r="C16" s="498"/>
      <c r="D16" s="498"/>
      <c r="E16" s="498"/>
      <c r="F16" s="498"/>
      <c r="G16" s="498"/>
      <c r="H16" s="498"/>
      <c r="I16" s="498"/>
      <c r="J16" s="498"/>
      <c r="K16" s="498"/>
      <c r="L16" s="498"/>
      <c r="M16" s="498"/>
      <c r="N16" s="498"/>
      <c r="O16" s="498"/>
      <c r="P16" s="498"/>
      <c r="Q16" s="498"/>
      <c r="R16" s="498"/>
      <c r="S16" s="498"/>
      <c r="T16" s="498"/>
      <c r="U16" s="498"/>
      <c r="V16" s="498"/>
      <c r="W16" s="498"/>
      <c r="X16" s="498"/>
      <c r="Y16" s="498"/>
      <c r="Z16" s="498"/>
      <c r="AA16" s="498"/>
      <c r="AC16" s="514"/>
      <c r="AF16" s="502"/>
      <c r="AG16" s="507"/>
      <c r="AH16" s="507"/>
      <c r="AI16" s="504"/>
      <c r="AJ16" s="507"/>
      <c r="AK16" s="502"/>
      <c r="AL16" s="507"/>
      <c r="AM16" s="507"/>
      <c r="AN16" s="507"/>
      <c r="AO16" s="507"/>
      <c r="AP16" s="507"/>
      <c r="AQ16" s="507"/>
      <c r="AR16" s="507"/>
      <c r="AS16" s="502"/>
      <c r="AT16" s="507"/>
      <c r="AU16" s="507"/>
    </row>
    <row r="17" spans="1:47" s="2" customFormat="1">
      <c r="A17" s="506"/>
      <c r="B17" s="513"/>
      <c r="C17" s="498"/>
      <c r="D17" s="498"/>
      <c r="E17" s="498"/>
      <c r="F17" s="498"/>
      <c r="G17" s="498"/>
      <c r="H17" s="498"/>
      <c r="I17" s="498"/>
      <c r="J17" s="498"/>
      <c r="K17" s="498"/>
      <c r="L17" s="498"/>
      <c r="M17" s="498"/>
      <c r="N17" s="498"/>
      <c r="O17" s="498"/>
      <c r="P17" s="498"/>
      <c r="Q17" s="498"/>
      <c r="R17" s="498"/>
      <c r="S17" s="498"/>
      <c r="T17" s="498"/>
      <c r="U17" s="498"/>
      <c r="V17" s="498"/>
      <c r="W17" s="498"/>
      <c r="X17" s="498"/>
      <c r="Y17" s="498"/>
      <c r="Z17" s="498"/>
      <c r="AA17" s="498"/>
      <c r="AC17" s="514"/>
      <c r="AE17" s="507"/>
      <c r="AJ17" s="233"/>
      <c r="AK17" s="502"/>
      <c r="AL17" s="502"/>
      <c r="AM17" s="502"/>
      <c r="AR17" s="233"/>
      <c r="AS17" s="502"/>
      <c r="AT17" s="233"/>
      <c r="AU17" s="233"/>
    </row>
    <row r="18" spans="1:47" s="2" customFormat="1">
      <c r="A18" s="508"/>
      <c r="C18" s="498"/>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C18" s="514"/>
      <c r="AE18" s="507"/>
      <c r="AF18" s="502"/>
      <c r="AG18" s="507"/>
      <c r="AH18" s="507"/>
      <c r="AI18" s="504"/>
      <c r="AJ18" s="507"/>
      <c r="AK18" s="502"/>
      <c r="AL18" s="502"/>
      <c r="AM18" s="502"/>
      <c r="AN18" s="507"/>
      <c r="AO18" s="507"/>
      <c r="AP18" s="507"/>
      <c r="AQ18" s="507"/>
      <c r="AR18" s="507"/>
      <c r="AS18" s="502"/>
      <c r="AT18" s="507"/>
      <c r="AU18" s="507"/>
    </row>
    <row r="19" spans="1:47" s="2" customFormat="1">
      <c r="A19" s="508"/>
      <c r="C19" s="498"/>
      <c r="D19" s="498"/>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C19" s="514"/>
      <c r="AE19" s="507"/>
      <c r="AF19" s="502"/>
      <c r="AG19" s="507"/>
      <c r="AH19" s="507"/>
      <c r="AI19" s="504"/>
      <c r="AJ19" s="507"/>
      <c r="AK19" s="502"/>
      <c r="AL19" s="502"/>
      <c r="AM19" s="502"/>
      <c r="AN19" s="507"/>
      <c r="AO19" s="507"/>
      <c r="AP19" s="507"/>
      <c r="AQ19" s="507"/>
      <c r="AR19" s="507"/>
      <c r="AS19" s="502"/>
      <c r="AT19" s="507"/>
      <c r="AU19" s="507"/>
    </row>
    <row r="20" spans="1:47" s="2" customFormat="1">
      <c r="A20" s="508"/>
      <c r="C20" s="498"/>
      <c r="D20" s="498"/>
      <c r="E20" s="498"/>
      <c r="F20" s="498"/>
      <c r="G20" s="498"/>
      <c r="H20" s="498"/>
      <c r="I20" s="498"/>
      <c r="J20" s="498"/>
      <c r="K20" s="498"/>
      <c r="L20" s="498"/>
      <c r="M20" s="498"/>
      <c r="N20" s="498"/>
      <c r="O20" s="498"/>
      <c r="P20" s="498"/>
      <c r="Q20" s="498"/>
      <c r="R20" s="498"/>
      <c r="S20" s="498"/>
      <c r="T20" s="498"/>
      <c r="U20" s="498"/>
      <c r="V20" s="498"/>
      <c r="W20" s="498"/>
      <c r="X20" s="498"/>
      <c r="Y20" s="498"/>
      <c r="Z20" s="498"/>
      <c r="AA20" s="498"/>
      <c r="AC20" s="514"/>
      <c r="AE20" s="507"/>
      <c r="AF20" s="502"/>
      <c r="AG20" s="507"/>
      <c r="AH20" s="507"/>
      <c r="AI20" s="504"/>
      <c r="AJ20" s="507"/>
      <c r="AK20" s="502"/>
      <c r="AL20" s="502"/>
      <c r="AM20" s="502"/>
      <c r="AN20" s="507"/>
      <c r="AO20" s="507"/>
      <c r="AP20" s="507"/>
      <c r="AQ20" s="507"/>
      <c r="AR20" s="507"/>
      <c r="AS20" s="502"/>
      <c r="AT20" s="507"/>
      <c r="AU20" s="507"/>
    </row>
    <row r="21" spans="1:47" s="2" customFormat="1">
      <c r="A21" s="508"/>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C21" s="514"/>
      <c r="AD21" s="507"/>
      <c r="AE21" s="507"/>
      <c r="AF21" s="502"/>
      <c r="AG21" s="507"/>
      <c r="AH21" s="507"/>
      <c r="AI21" s="504"/>
      <c r="AJ21" s="507"/>
      <c r="AK21" s="502"/>
      <c r="AL21" s="502"/>
      <c r="AM21" s="502"/>
      <c r="AN21" s="507"/>
      <c r="AO21" s="507"/>
      <c r="AP21" s="507"/>
      <c r="AQ21" s="507"/>
      <c r="AR21" s="507"/>
      <c r="AS21" s="502"/>
      <c r="AT21" s="507"/>
      <c r="AU21" s="507"/>
    </row>
    <row r="22" spans="1:47" s="2" customFormat="1">
      <c r="A22" s="508"/>
      <c r="C22" s="498"/>
      <c r="D22" s="498"/>
      <c r="E22" s="498"/>
      <c r="F22" s="498"/>
      <c r="G22" s="498"/>
      <c r="H22" s="498"/>
      <c r="I22" s="498"/>
      <c r="J22" s="498"/>
      <c r="K22" s="498"/>
      <c r="L22" s="498"/>
      <c r="M22" s="498"/>
      <c r="N22" s="498"/>
      <c r="O22" s="498"/>
      <c r="P22" s="498"/>
      <c r="Q22" s="498"/>
      <c r="R22" s="498"/>
      <c r="S22" s="498"/>
      <c r="T22" s="498"/>
      <c r="U22" s="498"/>
      <c r="V22" s="498"/>
      <c r="W22" s="498"/>
      <c r="X22" s="498"/>
      <c r="Y22" s="498"/>
      <c r="Z22" s="498"/>
      <c r="AA22" s="498"/>
      <c r="AC22" s="514"/>
      <c r="AE22" s="507"/>
      <c r="AF22" s="502"/>
      <c r="AG22" s="507"/>
      <c r="AH22" s="507"/>
      <c r="AI22" s="504"/>
      <c r="AJ22" s="507"/>
      <c r="AK22" s="502"/>
      <c r="AL22" s="502"/>
      <c r="AM22" s="502"/>
      <c r="AN22" s="507"/>
      <c r="AO22" s="507"/>
      <c r="AP22" s="507"/>
      <c r="AQ22" s="507"/>
      <c r="AR22" s="507"/>
      <c r="AS22" s="502"/>
      <c r="AT22" s="507"/>
      <c r="AU22" s="507"/>
    </row>
    <row r="23" spans="1:47" s="2" customFormat="1">
      <c r="A23" s="508"/>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8"/>
      <c r="AA23" s="498"/>
      <c r="AC23" s="514"/>
      <c r="AE23" s="507"/>
      <c r="AF23" s="502"/>
      <c r="AG23" s="507"/>
      <c r="AH23" s="507"/>
      <c r="AI23" s="504"/>
      <c r="AJ23" s="507"/>
      <c r="AK23" s="502"/>
      <c r="AL23" s="502"/>
      <c r="AM23" s="502"/>
      <c r="AN23" s="507"/>
      <c r="AO23" s="507"/>
      <c r="AP23" s="507"/>
      <c r="AQ23" s="507"/>
      <c r="AR23" s="507"/>
      <c r="AS23" s="502"/>
      <c r="AT23" s="507"/>
      <c r="AU23" s="507"/>
    </row>
    <row r="24" spans="1:47" s="2" customFormat="1">
      <c r="A24" s="508"/>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8"/>
      <c r="AA24" s="498"/>
      <c r="AC24" s="514"/>
      <c r="AE24" s="507"/>
      <c r="AF24" s="502"/>
      <c r="AG24" s="507"/>
      <c r="AH24" s="507"/>
      <c r="AI24" s="504"/>
      <c r="AJ24" s="507"/>
      <c r="AK24" s="502"/>
      <c r="AL24" s="502"/>
      <c r="AM24" s="502"/>
      <c r="AN24" s="507"/>
      <c r="AO24" s="507"/>
      <c r="AP24" s="507"/>
      <c r="AQ24" s="507"/>
      <c r="AR24" s="507"/>
      <c r="AS24" s="502"/>
      <c r="AT24" s="507"/>
      <c r="AU24" s="507"/>
    </row>
    <row r="25" spans="1:47" s="2" customFormat="1">
      <c r="A25" s="508"/>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C25" s="514"/>
      <c r="AE25" s="507"/>
      <c r="AF25" s="502"/>
      <c r="AG25" s="507"/>
      <c r="AH25" s="507"/>
      <c r="AI25" s="504"/>
      <c r="AJ25" s="507"/>
      <c r="AK25" s="502"/>
      <c r="AL25" s="502"/>
      <c r="AM25" s="502"/>
      <c r="AN25" s="507"/>
      <c r="AO25" s="507"/>
      <c r="AP25" s="507"/>
      <c r="AQ25" s="507"/>
      <c r="AR25" s="507"/>
      <c r="AS25" s="502"/>
      <c r="AT25" s="507"/>
      <c r="AU25" s="507"/>
    </row>
    <row r="26" spans="1:47" s="2" customFormat="1">
      <c r="A26" s="496"/>
      <c r="B26" s="515"/>
      <c r="C26" s="498"/>
      <c r="D26" s="144"/>
      <c r="E26" s="144"/>
      <c r="F26" s="144"/>
      <c r="G26" s="144"/>
      <c r="H26" s="144"/>
      <c r="I26" s="498"/>
      <c r="J26" s="498"/>
      <c r="K26" s="498"/>
      <c r="L26" s="498"/>
      <c r="M26" s="498"/>
      <c r="N26" s="498"/>
      <c r="O26" s="498"/>
      <c r="P26" s="498"/>
      <c r="Q26" s="498"/>
      <c r="R26" s="498"/>
      <c r="S26" s="498"/>
      <c r="T26" s="498"/>
      <c r="U26" s="498"/>
      <c r="V26" s="498"/>
      <c r="W26" s="498"/>
      <c r="X26" s="498"/>
      <c r="Y26" s="498"/>
      <c r="Z26" s="498"/>
      <c r="AA26" s="144"/>
      <c r="AB26" s="144"/>
      <c r="AC26" s="144"/>
      <c r="AD26" s="144"/>
      <c r="AK26" s="502"/>
      <c r="AO26" s="502"/>
      <c r="AP26" s="502"/>
      <c r="AQ26" s="502"/>
      <c r="AR26" s="502"/>
      <c r="AS26" s="502"/>
      <c r="AT26" s="505"/>
      <c r="AU26" s="507"/>
    </row>
    <row r="27" spans="1:47" s="2" customFormat="1">
      <c r="A27" s="516"/>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8"/>
      <c r="AA27" s="498"/>
      <c r="AE27" s="517"/>
      <c r="AF27" s="517"/>
      <c r="AG27" s="517"/>
      <c r="AH27" s="517"/>
      <c r="AI27" s="518"/>
      <c r="AJ27" s="502"/>
      <c r="AK27" s="502"/>
      <c r="AM27" s="502"/>
      <c r="AN27" s="498"/>
      <c r="AO27" s="502"/>
      <c r="AP27" s="502"/>
      <c r="AQ27" s="502"/>
      <c r="AR27" s="502"/>
      <c r="AS27" s="502"/>
      <c r="AT27" s="519"/>
      <c r="AU27" s="519"/>
    </row>
    <row r="28" spans="1:47" s="2" customFormat="1">
      <c r="A28" s="516"/>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8"/>
      <c r="AA28" s="498"/>
      <c r="AE28" s="517"/>
      <c r="AF28" s="517"/>
      <c r="AG28" s="517"/>
      <c r="AH28" s="517"/>
      <c r="AI28" s="518"/>
      <c r="AJ28" s="502"/>
      <c r="AK28" s="502"/>
      <c r="AM28" s="502"/>
      <c r="AN28" s="498"/>
      <c r="AO28" s="502"/>
      <c r="AP28" s="502"/>
      <c r="AQ28" s="502"/>
      <c r="AR28" s="502"/>
      <c r="AS28" s="502"/>
      <c r="AT28" s="519"/>
      <c r="AU28" s="519"/>
    </row>
    <row r="29" spans="1:47" s="2" customFormat="1">
      <c r="A29" s="516"/>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8"/>
      <c r="AA29" s="498"/>
      <c r="AE29" s="517"/>
      <c r="AF29" s="517"/>
      <c r="AG29" s="517"/>
      <c r="AH29" s="517"/>
      <c r="AI29" s="518"/>
      <c r="AJ29" s="502"/>
      <c r="AK29" s="502"/>
      <c r="AM29" s="502"/>
      <c r="AN29" s="498"/>
      <c r="AO29" s="502"/>
      <c r="AP29" s="502"/>
      <c r="AQ29" s="502"/>
      <c r="AR29" s="502"/>
      <c r="AS29" s="502"/>
      <c r="AT29" s="519"/>
      <c r="AU29" s="519"/>
    </row>
    <row r="30" spans="1:47" s="2" customFormat="1">
      <c r="A30" s="496"/>
      <c r="B30" s="515"/>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8"/>
      <c r="AA30" s="498"/>
      <c r="AB30" s="144"/>
      <c r="AC30" s="144"/>
      <c r="AD30" s="144"/>
      <c r="AK30" s="502"/>
      <c r="AO30" s="502"/>
      <c r="AP30" s="502"/>
      <c r="AQ30" s="520"/>
      <c r="AR30" s="520"/>
      <c r="AS30" s="502"/>
      <c r="AT30" s="520"/>
    </row>
    <row r="31" spans="1:47" s="2" customFormat="1">
      <c r="A31" s="496"/>
      <c r="C31" s="498"/>
      <c r="D31" s="498"/>
      <c r="E31" s="498"/>
      <c r="F31" s="498"/>
      <c r="G31" s="498"/>
      <c r="H31" s="498"/>
      <c r="I31" s="498"/>
      <c r="J31" s="498"/>
      <c r="K31" s="498"/>
      <c r="L31" s="498"/>
      <c r="M31" s="498"/>
      <c r="N31" s="498"/>
      <c r="O31" s="498"/>
      <c r="P31" s="498"/>
      <c r="Q31" s="498"/>
      <c r="R31" s="498"/>
      <c r="S31" s="498"/>
      <c r="T31" s="498"/>
      <c r="U31" s="521"/>
      <c r="V31" s="498"/>
      <c r="W31" s="498"/>
      <c r="X31" s="498"/>
      <c r="Y31" s="498"/>
      <c r="Z31" s="498"/>
      <c r="AC31" s="522"/>
      <c r="AD31" s="523"/>
      <c r="AE31" s="507"/>
      <c r="AF31" s="502"/>
      <c r="AG31" s="502"/>
      <c r="AH31" s="507"/>
      <c r="AI31" s="507"/>
      <c r="AJ31" s="523"/>
      <c r="AK31" s="502"/>
      <c r="AL31" s="523"/>
      <c r="AM31" s="502"/>
      <c r="AN31" s="523"/>
      <c r="AO31" s="523"/>
      <c r="AP31" s="523"/>
      <c r="AQ31" s="523"/>
      <c r="AR31" s="523"/>
      <c r="AS31" s="232"/>
      <c r="AT31" s="505"/>
      <c r="AU31" s="523"/>
    </row>
    <row r="32" spans="1:47" s="2" customFormat="1">
      <c r="A32" s="506"/>
      <c r="C32" s="498"/>
      <c r="D32" s="498"/>
      <c r="E32" s="498"/>
      <c r="F32" s="498"/>
      <c r="G32" s="498"/>
      <c r="H32" s="498"/>
      <c r="I32" s="498"/>
      <c r="J32" s="498"/>
      <c r="K32" s="498"/>
      <c r="L32" s="498"/>
      <c r="M32" s="498"/>
      <c r="N32" s="498"/>
      <c r="O32" s="498"/>
      <c r="P32" s="498"/>
      <c r="Q32" s="498"/>
      <c r="R32" s="498"/>
      <c r="S32" s="498"/>
      <c r="T32" s="498"/>
      <c r="U32" s="521"/>
      <c r="V32" s="498"/>
      <c r="W32" s="498"/>
      <c r="X32" s="498"/>
      <c r="Y32" s="498"/>
      <c r="Z32" s="498"/>
      <c r="AC32" s="522"/>
      <c r="AD32" s="523"/>
      <c r="AH32" s="507"/>
      <c r="AI32" s="507"/>
      <c r="AJ32" s="520"/>
      <c r="AK32" s="502"/>
      <c r="AL32" s="507"/>
      <c r="AN32" s="507"/>
      <c r="AO32" s="507"/>
      <c r="AP32" s="507"/>
      <c r="AQ32" s="507"/>
      <c r="AR32" s="520"/>
      <c r="AS32" s="232"/>
      <c r="AT32" s="520"/>
      <c r="AU32" s="520"/>
    </row>
    <row r="33" spans="1:47" s="2" customFormat="1">
      <c r="A33" s="508"/>
      <c r="C33" s="498"/>
      <c r="D33" s="498"/>
      <c r="E33" s="498"/>
      <c r="F33" s="498"/>
      <c r="G33" s="498"/>
      <c r="H33" s="498"/>
      <c r="I33" s="498"/>
      <c r="J33" s="498"/>
      <c r="K33" s="498"/>
      <c r="L33" s="498"/>
      <c r="M33" s="498"/>
      <c r="N33" s="498"/>
      <c r="O33" s="498"/>
      <c r="P33" s="498"/>
      <c r="Q33" s="498"/>
      <c r="R33" s="498"/>
      <c r="S33" s="498"/>
      <c r="T33" s="498"/>
      <c r="U33" s="521"/>
      <c r="V33" s="498"/>
      <c r="W33" s="498"/>
      <c r="X33" s="498"/>
      <c r="Y33" s="498"/>
      <c r="Z33" s="498"/>
      <c r="AC33" s="522"/>
      <c r="AD33" s="523"/>
      <c r="AE33" s="507"/>
      <c r="AF33" s="502"/>
      <c r="AG33" s="502"/>
      <c r="AH33" s="507"/>
      <c r="AI33" s="507"/>
      <c r="AJ33" s="523"/>
      <c r="AK33" s="502"/>
      <c r="AL33" s="523"/>
      <c r="AM33" s="502"/>
      <c r="AN33" s="523"/>
      <c r="AO33" s="523"/>
      <c r="AP33" s="523"/>
      <c r="AQ33" s="523"/>
      <c r="AR33" s="523"/>
      <c r="AS33" s="232"/>
      <c r="AT33" s="523"/>
      <c r="AU33" s="523"/>
    </row>
    <row r="34" spans="1:47" s="2" customFormat="1">
      <c r="A34" s="508"/>
      <c r="C34" s="498"/>
      <c r="D34" s="498"/>
      <c r="E34" s="498"/>
      <c r="F34" s="498"/>
      <c r="G34" s="498"/>
      <c r="H34" s="498"/>
      <c r="I34" s="498"/>
      <c r="J34" s="498"/>
      <c r="K34" s="498"/>
      <c r="L34" s="498"/>
      <c r="M34" s="498"/>
      <c r="N34" s="498"/>
      <c r="O34" s="498"/>
      <c r="P34" s="498"/>
      <c r="Q34" s="498"/>
      <c r="R34" s="498"/>
      <c r="S34" s="498"/>
      <c r="T34" s="498"/>
      <c r="U34" s="521"/>
      <c r="V34" s="498"/>
      <c r="W34" s="498"/>
      <c r="X34" s="498"/>
      <c r="Y34" s="498"/>
      <c r="Z34" s="498"/>
      <c r="AC34" s="522"/>
      <c r="AD34" s="523"/>
      <c r="AE34" s="507"/>
      <c r="AF34" s="502"/>
      <c r="AG34" s="502"/>
      <c r="AH34" s="507"/>
      <c r="AI34" s="507"/>
      <c r="AJ34" s="523"/>
      <c r="AK34" s="502"/>
      <c r="AL34" s="523"/>
      <c r="AM34" s="502"/>
      <c r="AN34" s="523"/>
      <c r="AO34" s="523"/>
      <c r="AP34" s="523"/>
      <c r="AQ34" s="523"/>
      <c r="AR34" s="523"/>
      <c r="AS34" s="232"/>
      <c r="AT34" s="523"/>
      <c r="AU34" s="523"/>
    </row>
    <row r="35" spans="1:47" s="2" customFormat="1">
      <c r="A35" s="508"/>
      <c r="C35" s="498"/>
      <c r="D35" s="498"/>
      <c r="E35" s="498"/>
      <c r="F35" s="498"/>
      <c r="G35" s="498"/>
      <c r="H35" s="498"/>
      <c r="I35" s="498"/>
      <c r="J35" s="498"/>
      <c r="K35" s="498"/>
      <c r="L35" s="498"/>
      <c r="M35" s="498"/>
      <c r="N35" s="498"/>
      <c r="O35" s="498"/>
      <c r="P35" s="498"/>
      <c r="Q35" s="498"/>
      <c r="R35" s="498"/>
      <c r="S35" s="498"/>
      <c r="T35" s="498"/>
      <c r="U35" s="521"/>
      <c r="V35" s="498"/>
      <c r="W35" s="498"/>
      <c r="X35" s="498"/>
      <c r="Y35" s="498"/>
      <c r="Z35" s="498"/>
      <c r="AC35" s="522"/>
      <c r="AD35" s="523"/>
      <c r="AE35" s="507"/>
      <c r="AF35" s="502"/>
      <c r="AG35" s="502"/>
      <c r="AH35" s="507"/>
      <c r="AI35" s="507"/>
      <c r="AJ35" s="523"/>
      <c r="AK35" s="502"/>
      <c r="AL35" s="523"/>
      <c r="AM35" s="502"/>
      <c r="AN35" s="523"/>
      <c r="AO35" s="523"/>
      <c r="AP35" s="523"/>
      <c r="AQ35" s="523"/>
      <c r="AR35" s="523"/>
      <c r="AS35" s="232"/>
      <c r="AT35" s="523"/>
      <c r="AU35" s="523"/>
    </row>
    <row r="36" spans="1:47" s="2" customFormat="1">
      <c r="A36" s="508"/>
      <c r="C36" s="498"/>
      <c r="D36" s="498"/>
      <c r="E36" s="498"/>
      <c r="F36" s="498"/>
      <c r="G36" s="498"/>
      <c r="H36" s="498"/>
      <c r="I36" s="498"/>
      <c r="J36" s="498"/>
      <c r="K36" s="498"/>
      <c r="L36" s="498"/>
      <c r="M36" s="498"/>
      <c r="N36" s="498"/>
      <c r="O36" s="498"/>
      <c r="P36" s="498"/>
      <c r="Q36" s="498"/>
      <c r="R36" s="498"/>
      <c r="S36" s="498"/>
      <c r="T36" s="498"/>
      <c r="U36" s="521"/>
      <c r="V36" s="498"/>
      <c r="W36" s="498"/>
      <c r="X36" s="498"/>
      <c r="Y36" s="498"/>
      <c r="Z36" s="498"/>
      <c r="AC36" s="522"/>
      <c r="AD36" s="523"/>
      <c r="AE36" s="507"/>
      <c r="AF36" s="502"/>
      <c r="AG36" s="502"/>
      <c r="AH36" s="507"/>
      <c r="AI36" s="507"/>
      <c r="AJ36" s="523"/>
      <c r="AK36" s="502"/>
      <c r="AL36" s="523"/>
      <c r="AM36" s="502"/>
      <c r="AN36" s="523"/>
      <c r="AO36" s="523"/>
      <c r="AP36" s="523"/>
      <c r="AQ36" s="523"/>
      <c r="AR36" s="523"/>
      <c r="AS36" s="232"/>
      <c r="AT36" s="523"/>
      <c r="AU36" s="523"/>
    </row>
    <row r="37" spans="1:47" s="2" customFormat="1">
      <c r="A37" s="508"/>
      <c r="C37" s="498"/>
      <c r="D37" s="498"/>
      <c r="E37" s="498"/>
      <c r="F37" s="498"/>
      <c r="G37" s="498"/>
      <c r="H37" s="498"/>
      <c r="I37" s="498"/>
      <c r="J37" s="498"/>
      <c r="K37" s="498"/>
      <c r="L37" s="498"/>
      <c r="M37" s="498"/>
      <c r="N37" s="498"/>
      <c r="O37" s="498"/>
      <c r="P37" s="498"/>
      <c r="Q37" s="498"/>
      <c r="R37" s="498"/>
      <c r="S37" s="498"/>
      <c r="T37" s="498"/>
      <c r="U37" s="514"/>
      <c r="V37" s="498"/>
      <c r="W37" s="498"/>
      <c r="X37" s="498"/>
      <c r="Y37" s="498"/>
      <c r="Z37" s="498"/>
      <c r="AC37" s="522"/>
      <c r="AD37" s="523"/>
      <c r="AE37" s="507"/>
      <c r="AF37" s="502"/>
      <c r="AG37" s="502"/>
      <c r="AH37" s="507"/>
      <c r="AI37" s="507"/>
      <c r="AJ37" s="523"/>
      <c r="AK37" s="502"/>
      <c r="AL37" s="523"/>
      <c r="AM37" s="502"/>
      <c r="AN37" s="523"/>
      <c r="AO37" s="523"/>
      <c r="AP37" s="523"/>
      <c r="AQ37" s="523"/>
      <c r="AR37" s="523"/>
      <c r="AS37" s="232"/>
      <c r="AT37" s="523"/>
      <c r="AU37" s="523"/>
    </row>
    <row r="38" spans="1:47" s="2" customFormat="1">
      <c r="A38" s="508"/>
      <c r="C38" s="498"/>
      <c r="D38" s="498"/>
      <c r="E38" s="498"/>
      <c r="F38" s="498"/>
      <c r="G38" s="498"/>
      <c r="H38" s="498"/>
      <c r="I38" s="498"/>
      <c r="J38" s="498"/>
      <c r="K38" s="498"/>
      <c r="L38" s="498"/>
      <c r="M38" s="498"/>
      <c r="N38" s="498"/>
      <c r="O38" s="498"/>
      <c r="P38" s="498"/>
      <c r="Q38" s="498"/>
      <c r="R38" s="498"/>
      <c r="S38" s="498"/>
      <c r="T38" s="498"/>
      <c r="U38" s="514"/>
      <c r="V38" s="498"/>
      <c r="W38" s="498"/>
      <c r="X38" s="498"/>
      <c r="Y38" s="498"/>
      <c r="Z38" s="498"/>
      <c r="AC38" s="522"/>
      <c r="AD38" s="523"/>
      <c r="AE38" s="507"/>
      <c r="AF38" s="502"/>
      <c r="AG38" s="502"/>
      <c r="AH38" s="507"/>
      <c r="AI38" s="507"/>
      <c r="AJ38" s="523"/>
      <c r="AK38" s="502"/>
      <c r="AL38" s="523"/>
      <c r="AM38" s="502"/>
      <c r="AN38" s="523"/>
      <c r="AO38" s="523"/>
      <c r="AP38" s="523"/>
      <c r="AQ38" s="523"/>
      <c r="AR38" s="523"/>
      <c r="AS38" s="232"/>
      <c r="AT38" s="523"/>
      <c r="AU38" s="523"/>
    </row>
    <row r="39" spans="1:47" s="2" customFormat="1">
      <c r="A39" s="508"/>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C39" s="522"/>
      <c r="AD39" s="523"/>
      <c r="AE39" s="507"/>
      <c r="AF39" s="502"/>
      <c r="AG39" s="502"/>
      <c r="AH39" s="507"/>
      <c r="AI39" s="507"/>
      <c r="AJ39" s="523"/>
      <c r="AK39" s="502"/>
      <c r="AL39" s="523"/>
      <c r="AM39" s="502"/>
      <c r="AN39" s="523"/>
      <c r="AO39" s="523"/>
      <c r="AP39" s="523"/>
      <c r="AQ39" s="523"/>
      <c r="AR39" s="523"/>
      <c r="AS39" s="232"/>
      <c r="AT39" s="523"/>
      <c r="AU39" s="523"/>
    </row>
    <row r="40" spans="1:47" s="2" customFormat="1">
      <c r="A40" s="508"/>
      <c r="C40" s="498"/>
      <c r="D40" s="498"/>
      <c r="E40" s="498"/>
      <c r="F40" s="498"/>
      <c r="G40" s="498"/>
      <c r="H40" s="498"/>
      <c r="I40" s="498"/>
      <c r="J40" s="498"/>
      <c r="K40" s="498"/>
      <c r="L40" s="498"/>
      <c r="M40" s="498"/>
      <c r="N40" s="498"/>
      <c r="O40" s="498"/>
      <c r="P40" s="498"/>
      <c r="Q40" s="498"/>
      <c r="R40" s="498"/>
      <c r="S40" s="498"/>
      <c r="T40" s="498"/>
      <c r="U40" s="514"/>
      <c r="V40" s="498"/>
      <c r="W40" s="498"/>
      <c r="X40" s="498"/>
      <c r="Y40" s="498"/>
      <c r="Z40" s="498"/>
      <c r="AC40" s="522"/>
      <c r="AD40" s="523"/>
      <c r="AE40" s="507"/>
      <c r="AF40" s="502"/>
      <c r="AG40" s="502"/>
      <c r="AH40" s="507"/>
      <c r="AI40" s="507"/>
      <c r="AJ40" s="523"/>
      <c r="AK40" s="502"/>
      <c r="AL40" s="523"/>
      <c r="AM40" s="502"/>
      <c r="AN40" s="523"/>
      <c r="AO40" s="523"/>
      <c r="AP40" s="523"/>
      <c r="AQ40" s="523"/>
      <c r="AR40" s="523"/>
      <c r="AS40" s="232"/>
      <c r="AT40" s="523"/>
      <c r="AU40" s="523"/>
    </row>
    <row r="41" spans="1:47" s="2" customFormat="1">
      <c r="A41" s="496"/>
      <c r="B41" s="515"/>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8"/>
      <c r="AA41" s="498"/>
      <c r="AB41" s="144"/>
      <c r="AC41" s="511"/>
      <c r="AD41" s="144"/>
      <c r="AK41" s="502"/>
      <c r="AO41" s="502"/>
      <c r="AP41" s="507"/>
      <c r="AQ41" s="520"/>
      <c r="AR41" s="520"/>
      <c r="AS41" s="232"/>
    </row>
    <row r="42" spans="1:47" s="2" customFormat="1">
      <c r="A42" s="496"/>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521"/>
      <c r="AC42" s="522"/>
      <c r="AD42" s="523"/>
      <c r="AE42" s="502"/>
      <c r="AF42" s="502"/>
      <c r="AG42" s="502"/>
      <c r="AH42" s="507"/>
      <c r="AI42" s="520"/>
      <c r="AJ42" s="523"/>
      <c r="AK42" s="502"/>
      <c r="AL42" s="523"/>
      <c r="AM42" s="523"/>
      <c r="AN42" s="523"/>
      <c r="AO42" s="523"/>
      <c r="AP42" s="523"/>
      <c r="AQ42" s="523"/>
      <c r="AR42" s="523"/>
      <c r="AS42" s="232"/>
      <c r="AT42" s="523"/>
      <c r="AU42" s="523"/>
    </row>
    <row r="43" spans="1:47" s="2" customFormat="1">
      <c r="A43" s="506"/>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8"/>
      <c r="AA43" s="498"/>
      <c r="AB43" s="521"/>
      <c r="AC43" s="522"/>
      <c r="AD43" s="523"/>
      <c r="AH43" s="507"/>
      <c r="AI43" s="507"/>
      <c r="AJ43" s="507"/>
      <c r="AK43" s="502"/>
      <c r="AL43" s="507"/>
      <c r="AM43" s="507"/>
      <c r="AN43" s="507"/>
      <c r="AO43" s="507"/>
      <c r="AP43" s="507"/>
      <c r="AQ43" s="507"/>
      <c r="AR43" s="507"/>
      <c r="AS43" s="232"/>
      <c r="AT43" s="507"/>
      <c r="AU43" s="507"/>
    </row>
    <row r="44" spans="1:47" s="2" customFormat="1">
      <c r="A44" s="508"/>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8"/>
      <c r="AA44" s="498"/>
      <c r="AB44" s="521"/>
      <c r="AC44" s="522"/>
      <c r="AD44" s="523"/>
      <c r="AE44" s="502"/>
      <c r="AF44" s="502"/>
      <c r="AG44" s="502"/>
      <c r="AH44" s="507"/>
      <c r="AI44" s="520"/>
      <c r="AJ44" s="523"/>
      <c r="AK44" s="502"/>
      <c r="AL44" s="523"/>
      <c r="AM44" s="523"/>
      <c r="AN44" s="523"/>
      <c r="AO44" s="523"/>
      <c r="AP44" s="523"/>
      <c r="AQ44" s="523"/>
      <c r="AR44" s="523"/>
      <c r="AS44" s="232"/>
      <c r="AT44" s="523"/>
      <c r="AU44" s="523"/>
    </row>
    <row r="45" spans="1:47" s="2" customFormat="1">
      <c r="A45" s="508"/>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8"/>
      <c r="AA45" s="498"/>
      <c r="AB45" s="521"/>
      <c r="AC45" s="522"/>
      <c r="AD45" s="523"/>
      <c r="AE45" s="502"/>
      <c r="AF45" s="502"/>
      <c r="AG45" s="502"/>
      <c r="AH45" s="507"/>
      <c r="AI45" s="520"/>
      <c r="AJ45" s="523"/>
      <c r="AK45" s="502"/>
      <c r="AL45" s="523"/>
      <c r="AM45" s="523"/>
      <c r="AN45" s="523"/>
      <c r="AO45" s="523"/>
      <c r="AP45" s="523"/>
      <c r="AQ45" s="523"/>
      <c r="AR45" s="523"/>
      <c r="AS45" s="232"/>
      <c r="AT45" s="523"/>
      <c r="AU45" s="523"/>
    </row>
    <row r="46" spans="1:47" s="2" customFormat="1">
      <c r="A46" s="508"/>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c r="AB46" s="521"/>
      <c r="AC46" s="522"/>
      <c r="AD46" s="523"/>
      <c r="AE46" s="502"/>
      <c r="AF46" s="502"/>
      <c r="AG46" s="502"/>
      <c r="AH46" s="507"/>
      <c r="AI46" s="520"/>
      <c r="AJ46" s="523"/>
      <c r="AK46" s="502"/>
      <c r="AL46" s="523"/>
      <c r="AM46" s="523"/>
      <c r="AN46" s="523"/>
      <c r="AO46" s="523"/>
      <c r="AP46" s="523"/>
      <c r="AQ46" s="523"/>
      <c r="AR46" s="523"/>
      <c r="AS46" s="232"/>
      <c r="AT46" s="523"/>
      <c r="AU46" s="523"/>
    </row>
    <row r="47" spans="1:47" s="2" customFormat="1">
      <c r="A47" s="508"/>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8"/>
      <c r="AA47" s="498"/>
      <c r="AB47" s="521"/>
      <c r="AC47" s="522"/>
      <c r="AD47" s="523"/>
      <c r="AE47" s="502"/>
      <c r="AF47" s="502"/>
      <c r="AG47" s="502"/>
      <c r="AH47" s="507"/>
      <c r="AI47" s="520"/>
      <c r="AJ47" s="523"/>
      <c r="AK47" s="502"/>
      <c r="AL47" s="523"/>
      <c r="AM47" s="523"/>
      <c r="AN47" s="523"/>
      <c r="AO47" s="523"/>
      <c r="AP47" s="523"/>
      <c r="AQ47" s="523"/>
      <c r="AR47" s="523"/>
      <c r="AS47" s="232"/>
      <c r="AT47" s="523"/>
      <c r="AU47" s="523"/>
    </row>
    <row r="48" spans="1:47" s="2" customFormat="1">
      <c r="A48" s="508"/>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8"/>
      <c r="AA48" s="498"/>
      <c r="AB48" s="514"/>
      <c r="AC48" s="522"/>
      <c r="AD48" s="523"/>
      <c r="AE48" s="502"/>
      <c r="AF48" s="502"/>
      <c r="AG48" s="502"/>
      <c r="AH48" s="507"/>
      <c r="AI48" s="520"/>
      <c r="AJ48" s="523"/>
      <c r="AK48" s="502"/>
      <c r="AL48" s="523"/>
      <c r="AM48" s="523"/>
      <c r="AN48" s="523"/>
      <c r="AO48" s="523"/>
      <c r="AP48" s="523"/>
      <c r="AQ48" s="523"/>
      <c r="AR48" s="523"/>
      <c r="AS48" s="232"/>
      <c r="AT48" s="523"/>
      <c r="AU48" s="523"/>
    </row>
    <row r="49" spans="1:47" s="2" customFormat="1">
      <c r="A49" s="508"/>
      <c r="C49" s="498"/>
      <c r="D49" s="498"/>
      <c r="E49" s="498"/>
      <c r="F49" s="498"/>
      <c r="G49" s="498"/>
      <c r="H49" s="498"/>
      <c r="I49" s="498"/>
      <c r="J49" s="498"/>
      <c r="K49" s="498"/>
      <c r="L49" s="498"/>
      <c r="M49" s="498"/>
      <c r="N49" s="498"/>
      <c r="O49" s="498"/>
      <c r="P49" s="498"/>
      <c r="Q49" s="498"/>
      <c r="R49" s="498"/>
      <c r="S49" s="498"/>
      <c r="T49" s="498"/>
      <c r="U49" s="498"/>
      <c r="V49" s="498"/>
      <c r="W49" s="498"/>
      <c r="X49" s="498"/>
      <c r="Y49" s="498"/>
      <c r="Z49" s="498"/>
      <c r="AA49" s="498"/>
      <c r="AB49" s="521"/>
      <c r="AC49" s="522"/>
      <c r="AD49" s="523"/>
      <c r="AE49" s="502"/>
      <c r="AF49" s="502"/>
      <c r="AG49" s="502"/>
      <c r="AH49" s="507"/>
      <c r="AI49" s="520"/>
      <c r="AJ49" s="523"/>
      <c r="AK49" s="502"/>
      <c r="AL49" s="523"/>
      <c r="AM49" s="523"/>
      <c r="AN49" s="523"/>
      <c r="AO49" s="523"/>
      <c r="AP49" s="523"/>
      <c r="AQ49" s="523"/>
      <c r="AR49" s="523"/>
      <c r="AS49" s="232"/>
      <c r="AT49" s="523"/>
      <c r="AU49" s="523"/>
    </row>
    <row r="50" spans="1:47" s="2" customFormat="1">
      <c r="A50" s="508"/>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8"/>
      <c r="AA50" s="498"/>
      <c r="AB50" s="521"/>
      <c r="AC50" s="522"/>
      <c r="AD50" s="523"/>
      <c r="AE50" s="502"/>
      <c r="AF50" s="502"/>
      <c r="AG50" s="502"/>
      <c r="AH50" s="507"/>
      <c r="AI50" s="520"/>
      <c r="AJ50" s="523"/>
      <c r="AK50" s="502"/>
      <c r="AL50" s="523"/>
      <c r="AM50" s="523"/>
      <c r="AN50" s="523"/>
      <c r="AO50" s="523"/>
      <c r="AP50" s="523"/>
      <c r="AQ50" s="523"/>
      <c r="AR50" s="523"/>
      <c r="AS50" s="232"/>
      <c r="AT50" s="523"/>
      <c r="AU50" s="523"/>
    </row>
    <row r="51" spans="1:47" s="2" customFormat="1">
      <c r="A51" s="508"/>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8"/>
      <c r="AA51" s="498"/>
      <c r="AB51" s="521"/>
      <c r="AC51" s="522"/>
      <c r="AD51" s="523"/>
      <c r="AE51" s="502"/>
      <c r="AF51" s="502"/>
      <c r="AG51" s="502"/>
      <c r="AH51" s="507"/>
      <c r="AI51" s="520"/>
      <c r="AJ51" s="523"/>
      <c r="AK51" s="502"/>
      <c r="AL51" s="523"/>
      <c r="AM51" s="523"/>
      <c r="AN51" s="232"/>
      <c r="AO51" s="232"/>
      <c r="AP51" s="232"/>
      <c r="AQ51" s="232"/>
      <c r="AR51" s="523"/>
      <c r="AS51" s="232"/>
      <c r="AT51" s="523"/>
      <c r="AU51" s="523"/>
    </row>
    <row r="52" spans="1:47" s="2" customFormat="1" ht="28.5" customHeight="1">
      <c r="A52" s="496"/>
      <c r="B52" s="515"/>
      <c r="C52" s="498"/>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c r="AB52" s="144"/>
      <c r="AC52" s="511"/>
      <c r="AD52" s="144"/>
      <c r="AK52" s="502"/>
      <c r="AO52" s="523"/>
      <c r="AP52" s="507"/>
      <c r="AQ52" s="523"/>
      <c r="AR52" s="523"/>
      <c r="AS52" s="232"/>
    </row>
    <row r="53" spans="1:47" s="2" customFormat="1">
      <c r="A53" s="496"/>
      <c r="C53" s="498"/>
      <c r="D53" s="498"/>
      <c r="E53" s="498"/>
      <c r="F53" s="498"/>
      <c r="G53" s="498"/>
      <c r="H53" s="498"/>
      <c r="I53" s="498"/>
      <c r="J53" s="498"/>
      <c r="K53" s="498"/>
      <c r="L53" s="498"/>
      <c r="M53" s="498"/>
      <c r="N53" s="498"/>
      <c r="O53" s="498"/>
      <c r="P53" s="498"/>
      <c r="Q53" s="498"/>
      <c r="R53" s="498"/>
      <c r="S53" s="498"/>
      <c r="T53" s="498"/>
      <c r="U53" s="498"/>
      <c r="V53" s="498"/>
      <c r="W53" s="498"/>
      <c r="X53" s="498"/>
      <c r="Y53" s="498"/>
      <c r="Z53" s="498"/>
      <c r="AA53" s="498"/>
      <c r="AB53" s="521"/>
      <c r="AC53" s="522"/>
      <c r="AD53" s="507"/>
      <c r="AE53" s="502"/>
      <c r="AF53" s="502"/>
      <c r="AG53" s="502"/>
      <c r="AH53" s="507"/>
      <c r="AI53" s="520"/>
      <c r="AJ53" s="523"/>
      <c r="AK53" s="502"/>
      <c r="AL53" s="523"/>
      <c r="AM53" s="523"/>
      <c r="AN53" s="523"/>
      <c r="AO53" s="523"/>
      <c r="AP53" s="523"/>
      <c r="AQ53" s="523"/>
      <c r="AR53" s="523"/>
      <c r="AS53" s="232"/>
      <c r="AT53" s="523"/>
      <c r="AU53" s="523"/>
    </row>
    <row r="54" spans="1:47" s="2" customFormat="1">
      <c r="A54" s="506"/>
      <c r="C54" s="498"/>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c r="AB54" s="521"/>
      <c r="AC54" s="522"/>
      <c r="AD54" s="507"/>
      <c r="AH54" s="507"/>
      <c r="AI54" s="507"/>
      <c r="AJ54" s="507"/>
      <c r="AK54" s="502"/>
      <c r="AL54" s="507"/>
      <c r="AM54" s="507"/>
      <c r="AN54" s="507"/>
      <c r="AO54" s="507"/>
      <c r="AP54" s="507"/>
      <c r="AQ54" s="507"/>
      <c r="AR54" s="507"/>
      <c r="AS54" s="232"/>
      <c r="AT54" s="507"/>
      <c r="AU54" s="507"/>
    </row>
    <row r="55" spans="1:47" s="2" customFormat="1">
      <c r="A55" s="508"/>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8"/>
      <c r="AA55" s="498"/>
      <c r="AB55" s="521"/>
      <c r="AC55" s="522"/>
      <c r="AD55" s="507"/>
      <c r="AE55" s="502"/>
      <c r="AF55" s="502"/>
      <c r="AG55" s="502"/>
      <c r="AH55" s="507"/>
      <c r="AI55" s="520"/>
      <c r="AJ55" s="523"/>
      <c r="AK55" s="502"/>
      <c r="AL55" s="523"/>
      <c r="AM55" s="523"/>
      <c r="AN55" s="523"/>
      <c r="AO55" s="523"/>
      <c r="AP55" s="523"/>
      <c r="AQ55" s="523"/>
      <c r="AR55" s="523"/>
      <c r="AS55" s="232"/>
      <c r="AT55" s="523"/>
      <c r="AU55" s="523"/>
    </row>
    <row r="56" spans="1:47" s="2" customFormat="1">
      <c r="A56" s="508"/>
      <c r="C56" s="498"/>
      <c r="D56" s="498"/>
      <c r="E56" s="498"/>
      <c r="F56" s="498"/>
      <c r="G56" s="498"/>
      <c r="H56" s="498"/>
      <c r="I56" s="498"/>
      <c r="J56" s="498"/>
      <c r="K56" s="498"/>
      <c r="L56" s="498"/>
      <c r="M56" s="498"/>
      <c r="N56" s="498"/>
      <c r="O56" s="498"/>
      <c r="P56" s="498"/>
      <c r="Q56" s="498"/>
      <c r="R56" s="498"/>
      <c r="S56" s="498"/>
      <c r="T56" s="498"/>
      <c r="U56" s="498"/>
      <c r="V56" s="498"/>
      <c r="W56" s="498"/>
      <c r="X56" s="498"/>
      <c r="Y56" s="498"/>
      <c r="Z56" s="498"/>
      <c r="AA56" s="498"/>
      <c r="AB56" s="521"/>
      <c r="AC56" s="522"/>
      <c r="AD56" s="507"/>
      <c r="AE56" s="502"/>
      <c r="AF56" s="502"/>
      <c r="AG56" s="502"/>
      <c r="AH56" s="507"/>
      <c r="AI56" s="520"/>
      <c r="AJ56" s="523"/>
      <c r="AK56" s="502"/>
      <c r="AL56" s="523"/>
      <c r="AM56" s="523"/>
      <c r="AN56" s="523"/>
      <c r="AO56" s="523"/>
      <c r="AP56" s="523"/>
      <c r="AQ56" s="523"/>
      <c r="AR56" s="523"/>
      <c r="AS56" s="232"/>
      <c r="AT56" s="523"/>
      <c r="AU56" s="523"/>
    </row>
    <row r="57" spans="1:47" s="2" customFormat="1">
      <c r="A57" s="508"/>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8"/>
      <c r="AA57" s="498"/>
      <c r="AB57" s="521"/>
      <c r="AC57" s="522"/>
      <c r="AD57" s="507"/>
      <c r="AE57" s="502"/>
      <c r="AF57" s="502"/>
      <c r="AG57" s="502"/>
      <c r="AH57" s="507"/>
      <c r="AI57" s="520"/>
      <c r="AJ57" s="523"/>
      <c r="AK57" s="502"/>
      <c r="AL57" s="523"/>
      <c r="AM57" s="523"/>
      <c r="AN57" s="523"/>
      <c r="AO57" s="523"/>
      <c r="AP57" s="523"/>
      <c r="AQ57" s="523"/>
      <c r="AR57" s="523"/>
      <c r="AS57" s="232"/>
      <c r="AT57" s="523"/>
      <c r="AU57" s="523"/>
    </row>
    <row r="58" spans="1:47" s="2" customFormat="1">
      <c r="A58" s="508"/>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8"/>
      <c r="AA58" s="498"/>
      <c r="AB58" s="514"/>
      <c r="AC58" s="522"/>
      <c r="AD58" s="507"/>
      <c r="AE58" s="502"/>
      <c r="AF58" s="502"/>
      <c r="AG58" s="502"/>
      <c r="AH58" s="507"/>
      <c r="AI58" s="520"/>
      <c r="AJ58" s="523"/>
      <c r="AK58" s="502"/>
      <c r="AL58" s="523"/>
      <c r="AM58" s="523"/>
      <c r="AN58" s="523"/>
      <c r="AO58" s="523"/>
      <c r="AP58" s="523"/>
      <c r="AQ58" s="523"/>
      <c r="AR58" s="523"/>
      <c r="AS58" s="232"/>
      <c r="AT58" s="523"/>
      <c r="AU58" s="523"/>
    </row>
    <row r="59" spans="1:47" s="2" customFormat="1">
      <c r="A59" s="508"/>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8"/>
      <c r="AA59" s="498"/>
      <c r="AB59" s="521"/>
      <c r="AC59" s="522"/>
      <c r="AD59" s="507"/>
      <c r="AE59" s="502"/>
      <c r="AF59" s="502"/>
      <c r="AG59" s="502"/>
      <c r="AH59" s="514"/>
      <c r="AI59" s="520"/>
      <c r="AJ59" s="523"/>
      <c r="AK59" s="502"/>
      <c r="AL59" s="523"/>
      <c r="AM59" s="523"/>
      <c r="AN59" s="523"/>
      <c r="AO59" s="523"/>
      <c r="AP59" s="523"/>
      <c r="AQ59" s="523"/>
      <c r="AR59" s="523"/>
      <c r="AS59" s="232"/>
      <c r="AT59" s="523"/>
      <c r="AU59" s="523"/>
    </row>
    <row r="60" spans="1:47" s="2" customFormat="1">
      <c r="A60" s="508"/>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521"/>
      <c r="AC60" s="522"/>
      <c r="AD60" s="507"/>
      <c r="AE60" s="502"/>
      <c r="AF60" s="502"/>
      <c r="AG60" s="502"/>
      <c r="AH60" s="507"/>
      <c r="AI60" s="520"/>
      <c r="AJ60" s="523"/>
      <c r="AK60" s="502"/>
      <c r="AL60" s="523"/>
      <c r="AM60" s="523"/>
      <c r="AN60" s="523"/>
      <c r="AO60" s="523"/>
      <c r="AP60" s="523"/>
      <c r="AQ60" s="523"/>
      <c r="AR60" s="523"/>
      <c r="AS60" s="232"/>
      <c r="AT60" s="523"/>
      <c r="AU60" s="523"/>
    </row>
    <row r="61" spans="1:47" s="2" customFormat="1">
      <c r="A61" s="508"/>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521"/>
      <c r="AC61" s="522"/>
      <c r="AD61" s="507"/>
      <c r="AE61" s="502"/>
      <c r="AF61" s="502"/>
      <c r="AG61" s="502"/>
      <c r="AH61" s="514"/>
      <c r="AI61" s="520"/>
      <c r="AJ61" s="523"/>
      <c r="AK61" s="502"/>
      <c r="AL61" s="523"/>
      <c r="AM61" s="523"/>
      <c r="AN61" s="523"/>
      <c r="AO61" s="523"/>
      <c r="AP61" s="523"/>
      <c r="AQ61" s="523"/>
      <c r="AR61" s="523"/>
      <c r="AS61" s="232"/>
      <c r="AT61" s="523"/>
      <c r="AU61" s="523"/>
    </row>
    <row r="62" spans="1:47" s="2" customFormat="1">
      <c r="A62" s="508"/>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8"/>
      <c r="AA62" s="498"/>
      <c r="AB62" s="514"/>
      <c r="AC62" s="522"/>
      <c r="AD62" s="507"/>
      <c r="AE62" s="502"/>
      <c r="AF62" s="502"/>
      <c r="AG62" s="502"/>
      <c r="AH62" s="507"/>
      <c r="AI62" s="520"/>
      <c r="AJ62" s="523"/>
      <c r="AK62" s="502"/>
      <c r="AL62" s="523"/>
      <c r="AM62" s="523"/>
      <c r="AN62" s="523"/>
      <c r="AO62" s="523"/>
      <c r="AP62" s="523"/>
      <c r="AQ62" s="523"/>
      <c r="AR62" s="523"/>
      <c r="AS62" s="232"/>
      <c r="AT62" s="523"/>
      <c r="AU62" s="523"/>
    </row>
    <row r="63" spans="1:47" s="2" customFormat="1" ht="16.5" customHeight="1">
      <c r="A63" s="496"/>
      <c r="B63" s="515"/>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8"/>
      <c r="AA63" s="498"/>
      <c r="AB63" s="521"/>
      <c r="AC63" s="521"/>
      <c r="AD63" s="514"/>
      <c r="AF63" s="524"/>
      <c r="AG63" s="521"/>
      <c r="AH63" s="514"/>
      <c r="AI63" s="521"/>
      <c r="AJ63" s="521"/>
      <c r="AK63" s="502"/>
      <c r="AN63" s="521"/>
      <c r="AO63" s="523"/>
      <c r="AP63" s="521"/>
      <c r="AQ63" s="521"/>
      <c r="AR63" s="521"/>
      <c r="AS63" s="521"/>
      <c r="AT63" s="521"/>
      <c r="AU63" s="521"/>
    </row>
    <row r="64" spans="1:47" s="2" customFormat="1">
      <c r="A64" s="496"/>
      <c r="B64" s="515"/>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8"/>
      <c r="AA64" s="498"/>
      <c r="AB64" s="144"/>
      <c r="AC64" s="144"/>
      <c r="AD64" s="144"/>
      <c r="AK64" s="502"/>
      <c r="AO64" s="502"/>
    </row>
    <row r="65" spans="1:47" s="2" customFormat="1">
      <c r="A65" s="496"/>
      <c r="C65" s="525"/>
      <c r="D65" s="525"/>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6"/>
      <c r="AC65" s="527"/>
      <c r="AD65" s="525"/>
      <c r="AE65" s="526"/>
      <c r="AF65" s="528"/>
      <c r="AG65" s="528"/>
      <c r="AH65" s="526"/>
      <c r="AI65" s="528"/>
      <c r="AJ65" s="526"/>
      <c r="AK65" s="502"/>
      <c r="AL65" s="528"/>
      <c r="AM65" s="528"/>
      <c r="AN65" s="528"/>
      <c r="AO65" s="528"/>
      <c r="AP65" s="528"/>
      <c r="AQ65" s="528"/>
      <c r="AR65" s="526"/>
      <c r="AS65" s="526"/>
      <c r="AT65" s="526"/>
      <c r="AU65" s="526"/>
    </row>
    <row r="66" spans="1:47" s="2" customFormat="1">
      <c r="A66" s="506"/>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6"/>
      <c r="AC66" s="527"/>
      <c r="AD66" s="525"/>
      <c r="AF66" s="528"/>
      <c r="AG66" s="528"/>
      <c r="AI66" s="528"/>
      <c r="AK66" s="502"/>
      <c r="AS66" s="526"/>
    </row>
    <row r="67" spans="1:47" s="2" customFormat="1">
      <c r="A67" s="508"/>
      <c r="C67" s="498"/>
      <c r="D67" s="498"/>
      <c r="E67" s="498"/>
      <c r="F67" s="498"/>
      <c r="G67" s="498"/>
      <c r="H67" s="498"/>
      <c r="I67" s="498"/>
      <c r="J67" s="498"/>
      <c r="K67" s="498"/>
      <c r="L67" s="498"/>
      <c r="M67" s="498"/>
      <c r="N67" s="498"/>
      <c r="O67" s="525"/>
      <c r="P67" s="525"/>
      <c r="Q67" s="525"/>
      <c r="R67" s="525"/>
      <c r="S67" s="525"/>
      <c r="T67" s="525"/>
      <c r="U67" s="525"/>
      <c r="V67" s="525"/>
      <c r="W67" s="525"/>
      <c r="X67" s="525"/>
      <c r="Y67" s="525"/>
      <c r="Z67" s="525"/>
      <c r="AA67" s="525"/>
      <c r="AB67" s="526"/>
      <c r="AC67" s="527"/>
      <c r="AD67" s="525"/>
      <c r="AE67" s="526"/>
      <c r="AF67" s="528"/>
      <c r="AG67" s="528"/>
      <c r="AH67" s="526"/>
      <c r="AI67" s="528"/>
      <c r="AJ67" s="528"/>
      <c r="AK67" s="502"/>
      <c r="AL67" s="528"/>
      <c r="AM67" s="528"/>
      <c r="AN67" s="528"/>
      <c r="AO67" s="528"/>
      <c r="AP67" s="528"/>
      <c r="AQ67" s="528"/>
      <c r="AR67" s="528"/>
      <c r="AS67" s="526"/>
      <c r="AT67" s="528"/>
      <c r="AU67" s="528"/>
    </row>
    <row r="68" spans="1:47" s="2" customFormat="1">
      <c r="A68" s="508"/>
      <c r="C68" s="498"/>
      <c r="D68" s="498"/>
      <c r="E68" s="498"/>
      <c r="F68" s="498"/>
      <c r="G68" s="498"/>
      <c r="H68" s="498"/>
      <c r="I68" s="498"/>
      <c r="J68" s="498"/>
      <c r="K68" s="498"/>
      <c r="L68" s="498"/>
      <c r="M68" s="498"/>
      <c r="N68" s="498"/>
      <c r="O68" s="525"/>
      <c r="P68" s="525"/>
      <c r="Q68" s="525"/>
      <c r="R68" s="525"/>
      <c r="S68" s="525"/>
      <c r="T68" s="525"/>
      <c r="U68" s="525"/>
      <c r="V68" s="525"/>
      <c r="W68" s="525"/>
      <c r="X68" s="525"/>
      <c r="Y68" s="525"/>
      <c r="Z68" s="525"/>
      <c r="AA68" s="525"/>
      <c r="AB68" s="526"/>
      <c r="AC68" s="527"/>
      <c r="AD68" s="525"/>
      <c r="AE68" s="526"/>
      <c r="AF68" s="528"/>
      <c r="AG68" s="528"/>
      <c r="AH68" s="526"/>
      <c r="AI68" s="528"/>
      <c r="AJ68" s="528"/>
      <c r="AK68" s="502"/>
      <c r="AL68" s="528"/>
      <c r="AM68" s="528"/>
      <c r="AN68" s="528"/>
      <c r="AO68" s="528"/>
      <c r="AP68" s="528"/>
      <c r="AQ68" s="528"/>
      <c r="AR68" s="528"/>
      <c r="AS68" s="526"/>
      <c r="AT68" s="528"/>
      <c r="AU68" s="528"/>
    </row>
    <row r="69" spans="1:47" s="2" customFormat="1">
      <c r="A69" s="508"/>
      <c r="C69" s="498"/>
      <c r="D69" s="498"/>
      <c r="E69" s="498"/>
      <c r="F69" s="498"/>
      <c r="G69" s="498"/>
      <c r="H69" s="498"/>
      <c r="I69" s="498"/>
      <c r="J69" s="498"/>
      <c r="K69" s="498"/>
      <c r="L69" s="498"/>
      <c r="M69" s="498"/>
      <c r="N69" s="498"/>
      <c r="O69" s="525"/>
      <c r="P69" s="525"/>
      <c r="Q69" s="525"/>
      <c r="R69" s="525"/>
      <c r="S69" s="525"/>
      <c r="T69" s="525"/>
      <c r="U69" s="525"/>
      <c r="V69" s="525"/>
      <c r="W69" s="525"/>
      <c r="X69" s="525"/>
      <c r="Y69" s="525"/>
      <c r="Z69" s="525"/>
      <c r="AA69" s="525"/>
      <c r="AB69" s="526"/>
      <c r="AC69" s="527"/>
      <c r="AD69" s="525"/>
      <c r="AE69" s="526"/>
      <c r="AF69" s="528"/>
      <c r="AG69" s="528"/>
      <c r="AH69" s="526"/>
      <c r="AI69" s="528"/>
      <c r="AJ69" s="528"/>
      <c r="AK69" s="502"/>
      <c r="AL69" s="528"/>
      <c r="AM69" s="528"/>
      <c r="AN69" s="528"/>
      <c r="AO69" s="528"/>
      <c r="AP69" s="528"/>
      <c r="AQ69" s="528"/>
      <c r="AR69" s="528"/>
      <c r="AS69" s="526"/>
      <c r="AT69" s="528"/>
      <c r="AU69" s="528"/>
    </row>
    <row r="70" spans="1:47" s="2" customFormat="1">
      <c r="A70" s="508"/>
      <c r="C70" s="498"/>
      <c r="D70" s="498"/>
      <c r="E70" s="498"/>
      <c r="F70" s="498"/>
      <c r="G70" s="498"/>
      <c r="H70" s="498"/>
      <c r="I70" s="498"/>
      <c r="J70" s="498"/>
      <c r="K70" s="498"/>
      <c r="L70" s="498"/>
      <c r="M70" s="498"/>
      <c r="N70" s="498"/>
      <c r="O70" s="525"/>
      <c r="P70" s="525"/>
      <c r="Q70" s="525"/>
      <c r="R70" s="525"/>
      <c r="S70" s="525"/>
      <c r="T70" s="525"/>
      <c r="U70" s="525"/>
      <c r="V70" s="525"/>
      <c r="W70" s="525"/>
      <c r="X70" s="525"/>
      <c r="Y70" s="525"/>
      <c r="Z70" s="525"/>
      <c r="AA70" s="525"/>
      <c r="AB70" s="526"/>
      <c r="AC70" s="527"/>
      <c r="AD70" s="525"/>
      <c r="AE70" s="526"/>
      <c r="AF70" s="528"/>
      <c r="AG70" s="528"/>
      <c r="AH70" s="526"/>
      <c r="AI70" s="528"/>
      <c r="AJ70" s="528"/>
      <c r="AK70" s="502"/>
      <c r="AL70" s="528"/>
      <c r="AM70" s="528"/>
      <c r="AN70" s="528"/>
      <c r="AO70" s="528"/>
      <c r="AP70" s="528"/>
      <c r="AQ70" s="528"/>
      <c r="AR70" s="528"/>
      <c r="AS70" s="526"/>
      <c r="AT70" s="528"/>
      <c r="AU70" s="528"/>
    </row>
    <row r="71" spans="1:47" s="2" customFormat="1">
      <c r="A71" s="508"/>
      <c r="C71" s="498"/>
      <c r="D71" s="498"/>
      <c r="E71" s="498"/>
      <c r="F71" s="498"/>
      <c r="G71" s="498"/>
      <c r="H71" s="498"/>
      <c r="I71" s="498"/>
      <c r="J71" s="498"/>
      <c r="K71" s="498"/>
      <c r="L71" s="498"/>
      <c r="M71" s="498"/>
      <c r="N71" s="498"/>
      <c r="O71" s="525"/>
      <c r="P71" s="525"/>
      <c r="Q71" s="525"/>
      <c r="R71" s="525"/>
      <c r="S71" s="525"/>
      <c r="T71" s="525"/>
      <c r="U71" s="525"/>
      <c r="V71" s="525"/>
      <c r="W71" s="525"/>
      <c r="X71" s="525"/>
      <c r="Y71" s="525"/>
      <c r="Z71" s="525"/>
      <c r="AA71" s="525"/>
      <c r="AB71" s="526"/>
      <c r="AC71" s="527"/>
      <c r="AD71" s="525"/>
      <c r="AE71" s="526"/>
      <c r="AF71" s="528"/>
      <c r="AG71" s="528"/>
      <c r="AH71" s="526"/>
      <c r="AI71" s="528"/>
      <c r="AJ71" s="528"/>
      <c r="AK71" s="502"/>
      <c r="AL71" s="528"/>
      <c r="AM71" s="528"/>
      <c r="AN71" s="528"/>
      <c r="AO71" s="528"/>
      <c r="AP71" s="528"/>
      <c r="AQ71" s="528"/>
      <c r="AR71" s="528"/>
      <c r="AS71" s="526"/>
      <c r="AT71" s="528"/>
      <c r="AU71" s="528"/>
    </row>
    <row r="72" spans="1:47" s="2" customFormat="1">
      <c r="A72" s="508"/>
      <c r="C72" s="498"/>
      <c r="D72" s="498"/>
      <c r="E72" s="498"/>
      <c r="F72" s="498"/>
      <c r="G72" s="498"/>
      <c r="H72" s="498"/>
      <c r="I72" s="498"/>
      <c r="J72" s="498"/>
      <c r="K72" s="498"/>
      <c r="L72" s="498"/>
      <c r="M72" s="498"/>
      <c r="N72" s="498"/>
      <c r="O72" s="525"/>
      <c r="P72" s="525"/>
      <c r="Q72" s="525"/>
      <c r="R72" s="525"/>
      <c r="S72" s="525"/>
      <c r="T72" s="525"/>
      <c r="U72" s="525"/>
      <c r="V72" s="525"/>
      <c r="W72" s="525"/>
      <c r="X72" s="525"/>
      <c r="Y72" s="525"/>
      <c r="Z72" s="525"/>
      <c r="AA72" s="525"/>
      <c r="AB72" s="526"/>
      <c r="AC72" s="527"/>
      <c r="AD72" s="525"/>
      <c r="AE72" s="526"/>
      <c r="AF72" s="528"/>
      <c r="AG72" s="528"/>
      <c r="AH72" s="526"/>
      <c r="AI72" s="528"/>
      <c r="AJ72" s="528"/>
      <c r="AK72" s="502"/>
      <c r="AL72" s="528"/>
      <c r="AM72" s="528"/>
      <c r="AN72" s="528"/>
      <c r="AO72" s="528"/>
      <c r="AP72" s="528"/>
      <c r="AQ72" s="528"/>
      <c r="AR72" s="528"/>
      <c r="AS72" s="526"/>
      <c r="AT72" s="528"/>
      <c r="AU72" s="528"/>
    </row>
    <row r="73" spans="1:47" s="2" customFormat="1">
      <c r="A73" s="508"/>
      <c r="C73" s="498"/>
      <c r="D73" s="498"/>
      <c r="E73" s="498"/>
      <c r="F73" s="498"/>
      <c r="G73" s="498"/>
      <c r="H73" s="498"/>
      <c r="I73" s="498"/>
      <c r="J73" s="498"/>
      <c r="K73" s="498"/>
      <c r="L73" s="498"/>
      <c r="M73" s="498"/>
      <c r="N73" s="498"/>
      <c r="O73" s="525"/>
      <c r="P73" s="525"/>
      <c r="Q73" s="525"/>
      <c r="R73" s="525"/>
      <c r="S73" s="525"/>
      <c r="T73" s="525"/>
      <c r="U73" s="525"/>
      <c r="V73" s="525"/>
      <c r="W73" s="525"/>
      <c r="X73" s="525"/>
      <c r="Y73" s="525"/>
      <c r="Z73" s="525"/>
      <c r="AA73" s="525"/>
      <c r="AB73" s="526"/>
      <c r="AC73" s="527"/>
      <c r="AD73" s="525"/>
      <c r="AE73" s="526"/>
      <c r="AF73" s="528"/>
      <c r="AG73" s="528"/>
      <c r="AH73" s="526"/>
      <c r="AI73" s="528"/>
      <c r="AJ73" s="528"/>
      <c r="AK73" s="502"/>
      <c r="AL73" s="528"/>
      <c r="AM73" s="528"/>
      <c r="AN73" s="528"/>
      <c r="AO73" s="528"/>
      <c r="AP73" s="528"/>
      <c r="AQ73" s="528"/>
      <c r="AR73" s="528"/>
      <c r="AS73" s="526"/>
      <c r="AT73" s="528"/>
      <c r="AU73" s="528"/>
    </row>
    <row r="74" spans="1:47" s="2" customFormat="1">
      <c r="A74" s="508"/>
      <c r="C74" s="498"/>
      <c r="D74" s="498"/>
      <c r="E74" s="498"/>
      <c r="F74" s="498"/>
      <c r="G74" s="498"/>
      <c r="H74" s="498"/>
      <c r="I74" s="498"/>
      <c r="J74" s="498"/>
      <c r="K74" s="498"/>
      <c r="L74" s="498"/>
      <c r="M74" s="498"/>
      <c r="N74" s="498"/>
      <c r="O74" s="525"/>
      <c r="P74" s="525"/>
      <c r="Q74" s="525"/>
      <c r="R74" s="525"/>
      <c r="S74" s="525"/>
      <c r="T74" s="525"/>
      <c r="U74" s="525"/>
      <c r="V74" s="525"/>
      <c r="W74" s="525"/>
      <c r="X74" s="525"/>
      <c r="Y74" s="525"/>
      <c r="Z74" s="525"/>
      <c r="AA74" s="525"/>
      <c r="AB74" s="526"/>
      <c r="AC74" s="527"/>
      <c r="AD74" s="525"/>
      <c r="AE74" s="526"/>
      <c r="AF74" s="528"/>
      <c r="AG74" s="528"/>
      <c r="AH74" s="526"/>
      <c r="AI74" s="528"/>
      <c r="AJ74" s="528"/>
      <c r="AK74" s="502"/>
      <c r="AL74" s="528"/>
      <c r="AM74" s="528"/>
      <c r="AN74" s="528"/>
      <c r="AO74" s="528"/>
      <c r="AP74" s="528"/>
      <c r="AQ74" s="528"/>
      <c r="AR74" s="528"/>
      <c r="AS74" s="526"/>
      <c r="AT74" s="528"/>
      <c r="AU74" s="528"/>
    </row>
    <row r="75" spans="1:47" s="2" customFormat="1">
      <c r="A75" s="529"/>
      <c r="B75" s="497"/>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8"/>
      <c r="AA75" s="498"/>
      <c r="AB75" s="144"/>
      <c r="AC75" s="144"/>
      <c r="AD75" s="144"/>
      <c r="AK75" s="502"/>
      <c r="AN75" s="507"/>
      <c r="AO75" s="502"/>
    </row>
    <row r="76" spans="1:47" s="2" customFormat="1">
      <c r="A76" s="496"/>
      <c r="C76" s="498"/>
      <c r="D76" s="498"/>
      <c r="E76" s="498"/>
      <c r="F76" s="498"/>
      <c r="G76" s="498"/>
      <c r="H76" s="498"/>
      <c r="I76" s="498"/>
      <c r="J76" s="498"/>
      <c r="K76" s="498"/>
      <c r="L76" s="498"/>
      <c r="M76" s="498"/>
      <c r="N76" s="498"/>
      <c r="O76" s="498"/>
      <c r="P76" s="498"/>
      <c r="Q76" s="498"/>
      <c r="R76" s="498"/>
      <c r="S76" s="498"/>
      <c r="T76" s="498"/>
      <c r="U76" s="498"/>
      <c r="V76" s="498"/>
      <c r="W76" s="498"/>
      <c r="X76" s="232"/>
      <c r="Y76" s="232"/>
      <c r="Z76" s="498"/>
      <c r="AA76" s="498"/>
      <c r="AB76" s="498"/>
      <c r="AC76" s="521"/>
      <c r="AD76" s="498"/>
      <c r="AE76" s="502"/>
      <c r="AF76" s="502"/>
      <c r="AG76" s="502"/>
      <c r="AH76" s="507"/>
      <c r="AI76" s="520"/>
      <c r="AJ76" s="523"/>
      <c r="AK76" s="502"/>
      <c r="AL76" s="523"/>
      <c r="AM76" s="502"/>
      <c r="AN76" s="523"/>
      <c r="AO76" s="523"/>
      <c r="AP76" s="523"/>
      <c r="AQ76" s="523"/>
      <c r="AR76" s="523"/>
      <c r="AS76" s="523"/>
      <c r="AT76" s="505"/>
      <c r="AU76" s="505"/>
    </row>
    <row r="77" spans="1:47" s="2" customFormat="1">
      <c r="A77" s="506"/>
      <c r="C77" s="498"/>
      <c r="D77" s="498"/>
      <c r="E77" s="498"/>
      <c r="F77" s="498"/>
      <c r="G77" s="498"/>
      <c r="H77" s="498"/>
      <c r="I77" s="498"/>
      <c r="J77" s="498"/>
      <c r="K77" s="498"/>
      <c r="L77" s="498"/>
      <c r="M77" s="498"/>
      <c r="N77" s="498"/>
      <c r="O77" s="498"/>
      <c r="P77" s="498"/>
      <c r="Q77" s="498"/>
      <c r="R77" s="498"/>
      <c r="S77" s="498"/>
      <c r="T77" s="498"/>
      <c r="U77" s="498"/>
      <c r="V77" s="498"/>
      <c r="W77" s="498"/>
      <c r="X77" s="232"/>
      <c r="Y77" s="232"/>
      <c r="Z77" s="498"/>
      <c r="AA77" s="498"/>
      <c r="AB77" s="498"/>
      <c r="AC77" s="521"/>
      <c r="AD77" s="498"/>
      <c r="AH77" s="507"/>
      <c r="AI77" s="507"/>
      <c r="AJ77" s="507"/>
      <c r="AK77" s="502"/>
      <c r="AL77" s="507"/>
      <c r="AN77" s="507"/>
      <c r="AO77" s="507"/>
      <c r="AP77" s="507"/>
      <c r="AQ77" s="507"/>
      <c r="AR77" s="507"/>
      <c r="AS77" s="507"/>
      <c r="AT77" s="507"/>
      <c r="AU77" s="507"/>
    </row>
    <row r="78" spans="1:47" s="2" customFormat="1">
      <c r="A78" s="508"/>
      <c r="C78" s="498"/>
      <c r="D78" s="498"/>
      <c r="E78" s="498"/>
      <c r="F78" s="498"/>
      <c r="G78" s="498"/>
      <c r="H78" s="498"/>
      <c r="I78" s="498"/>
      <c r="J78" s="498"/>
      <c r="K78" s="498"/>
      <c r="L78" s="498"/>
      <c r="M78" s="498"/>
      <c r="N78" s="498"/>
      <c r="O78" s="498"/>
      <c r="P78" s="498"/>
      <c r="Q78" s="498"/>
      <c r="R78" s="498"/>
      <c r="S78" s="498"/>
      <c r="T78" s="498"/>
      <c r="U78" s="498"/>
      <c r="V78" s="498"/>
      <c r="W78" s="498"/>
      <c r="X78" s="232"/>
      <c r="Y78" s="232"/>
      <c r="Z78" s="498"/>
      <c r="AA78" s="498"/>
      <c r="AB78" s="498"/>
      <c r="AC78" s="514"/>
      <c r="AD78" s="498"/>
      <c r="AE78" s="502"/>
      <c r="AF78" s="502"/>
      <c r="AH78" s="507"/>
      <c r="AI78" s="520"/>
      <c r="AJ78" s="523"/>
      <c r="AK78" s="502"/>
      <c r="AL78" s="523"/>
      <c r="AM78" s="502"/>
      <c r="AN78" s="523"/>
      <c r="AO78" s="523"/>
      <c r="AP78" s="523"/>
      <c r="AQ78" s="523"/>
      <c r="AR78" s="523"/>
      <c r="AS78" s="523"/>
      <c r="AT78" s="523"/>
      <c r="AU78" s="523"/>
    </row>
    <row r="79" spans="1:47" s="2" customFormat="1">
      <c r="A79" s="508"/>
      <c r="C79" s="498"/>
      <c r="D79" s="498"/>
      <c r="E79" s="498"/>
      <c r="F79" s="498"/>
      <c r="G79" s="498"/>
      <c r="H79" s="498"/>
      <c r="I79" s="498"/>
      <c r="J79" s="498"/>
      <c r="K79" s="498"/>
      <c r="L79" s="498"/>
      <c r="M79" s="498"/>
      <c r="N79" s="498"/>
      <c r="O79" s="498"/>
      <c r="P79" s="498"/>
      <c r="Q79" s="498"/>
      <c r="R79" s="498"/>
      <c r="S79" s="498"/>
      <c r="T79" s="498"/>
      <c r="U79" s="498"/>
      <c r="V79" s="498"/>
      <c r="W79" s="498"/>
      <c r="X79" s="232"/>
      <c r="Y79" s="232"/>
      <c r="Z79" s="498"/>
      <c r="AA79" s="498"/>
      <c r="AB79" s="498"/>
      <c r="AC79" s="514"/>
      <c r="AD79" s="498"/>
      <c r="AF79" s="502"/>
      <c r="AG79" s="502"/>
      <c r="AH79" s="507"/>
      <c r="AI79" s="520"/>
      <c r="AJ79" s="523"/>
      <c r="AK79" s="502"/>
      <c r="AL79" s="523"/>
      <c r="AM79" s="502"/>
      <c r="AN79" s="523"/>
      <c r="AO79" s="523"/>
      <c r="AP79" s="523"/>
      <c r="AQ79" s="523"/>
      <c r="AR79" s="523"/>
      <c r="AS79" s="523"/>
      <c r="AT79" s="523"/>
      <c r="AU79" s="523"/>
    </row>
    <row r="80" spans="1:47" s="2" customFormat="1">
      <c r="A80" s="508"/>
      <c r="C80" s="498"/>
      <c r="D80" s="498"/>
      <c r="E80" s="498"/>
      <c r="F80" s="498"/>
      <c r="G80" s="498"/>
      <c r="H80" s="498"/>
      <c r="I80" s="498"/>
      <c r="J80" s="498"/>
      <c r="K80" s="498"/>
      <c r="L80" s="498"/>
      <c r="M80" s="498"/>
      <c r="N80" s="498"/>
      <c r="O80" s="498"/>
      <c r="P80" s="498"/>
      <c r="Q80" s="498"/>
      <c r="R80" s="498"/>
      <c r="S80" s="498"/>
      <c r="T80" s="498"/>
      <c r="U80" s="498"/>
      <c r="V80" s="498"/>
      <c r="W80" s="498"/>
      <c r="X80" s="232"/>
      <c r="Y80" s="232"/>
      <c r="Z80" s="498"/>
      <c r="AA80" s="498"/>
      <c r="AB80" s="498"/>
      <c r="AC80" s="514"/>
      <c r="AD80" s="498"/>
      <c r="AE80" s="502"/>
      <c r="AF80" s="502"/>
      <c r="AG80" s="502"/>
      <c r="AH80" s="507"/>
      <c r="AI80" s="520"/>
      <c r="AJ80" s="523"/>
      <c r="AK80" s="502"/>
      <c r="AL80" s="523"/>
      <c r="AM80" s="502"/>
      <c r="AN80" s="523"/>
      <c r="AO80" s="523"/>
      <c r="AP80" s="523"/>
      <c r="AQ80" s="523"/>
      <c r="AR80" s="523"/>
      <c r="AS80" s="523"/>
      <c r="AT80" s="523"/>
      <c r="AU80" s="523"/>
    </row>
    <row r="81" spans="1:47" s="2" customFormat="1">
      <c r="A81" s="508"/>
      <c r="C81" s="498"/>
      <c r="D81" s="498"/>
      <c r="E81" s="498"/>
      <c r="F81" s="498"/>
      <c r="G81" s="498"/>
      <c r="H81" s="498"/>
      <c r="I81" s="498"/>
      <c r="J81" s="498"/>
      <c r="K81" s="498"/>
      <c r="L81" s="498"/>
      <c r="M81" s="498"/>
      <c r="N81" s="498"/>
      <c r="O81" s="498"/>
      <c r="P81" s="498"/>
      <c r="Q81" s="498"/>
      <c r="R81" s="498"/>
      <c r="S81" s="498"/>
      <c r="T81" s="498"/>
      <c r="U81" s="498"/>
      <c r="V81" s="498"/>
      <c r="W81" s="498"/>
      <c r="X81" s="232"/>
      <c r="Y81" s="232"/>
      <c r="Z81" s="498"/>
      <c r="AA81" s="498"/>
      <c r="AB81" s="498"/>
      <c r="AC81" s="514"/>
      <c r="AD81" s="498"/>
      <c r="AE81" s="502"/>
      <c r="AF81" s="502"/>
      <c r="AG81" s="502"/>
      <c r="AH81" s="507"/>
      <c r="AI81" s="520"/>
      <c r="AJ81" s="523"/>
      <c r="AK81" s="502"/>
      <c r="AL81" s="523"/>
      <c r="AM81" s="502"/>
      <c r="AN81" s="523"/>
      <c r="AO81" s="523"/>
      <c r="AP81" s="523"/>
      <c r="AQ81" s="523"/>
      <c r="AR81" s="523"/>
      <c r="AS81" s="523"/>
      <c r="AT81" s="523"/>
      <c r="AU81" s="523"/>
    </row>
    <row r="82" spans="1:47" s="2" customFormat="1">
      <c r="A82" s="508"/>
      <c r="C82" s="498"/>
      <c r="D82" s="498"/>
      <c r="E82" s="498"/>
      <c r="F82" s="498"/>
      <c r="G82" s="498"/>
      <c r="H82" s="498"/>
      <c r="I82" s="498"/>
      <c r="J82" s="498"/>
      <c r="K82" s="498"/>
      <c r="L82" s="498"/>
      <c r="M82" s="498"/>
      <c r="N82" s="498"/>
      <c r="O82" s="498"/>
      <c r="P82" s="498"/>
      <c r="Q82" s="498"/>
      <c r="R82" s="498"/>
      <c r="S82" s="498"/>
      <c r="T82" s="498"/>
      <c r="U82" s="498"/>
      <c r="V82" s="498"/>
      <c r="W82" s="498"/>
      <c r="X82" s="232"/>
      <c r="Y82" s="232"/>
      <c r="Z82" s="498"/>
      <c r="AA82" s="498"/>
      <c r="AB82" s="498"/>
      <c r="AC82" s="514"/>
      <c r="AD82" s="498"/>
      <c r="AE82" s="502"/>
      <c r="AF82" s="502"/>
      <c r="AG82" s="502"/>
      <c r="AH82" s="507"/>
      <c r="AI82" s="520"/>
      <c r="AJ82" s="523"/>
      <c r="AK82" s="502"/>
      <c r="AL82" s="523"/>
      <c r="AM82" s="502"/>
      <c r="AN82" s="523"/>
      <c r="AO82" s="523"/>
      <c r="AP82" s="523"/>
      <c r="AQ82" s="523"/>
      <c r="AR82" s="523"/>
      <c r="AS82" s="523"/>
      <c r="AT82" s="523"/>
      <c r="AU82" s="523"/>
    </row>
    <row r="83" spans="1:47" s="2" customFormat="1">
      <c r="A83" s="508"/>
      <c r="C83" s="498"/>
      <c r="D83" s="498"/>
      <c r="E83" s="498"/>
      <c r="F83" s="498"/>
      <c r="G83" s="498"/>
      <c r="H83" s="498"/>
      <c r="I83" s="498"/>
      <c r="J83" s="498"/>
      <c r="K83" s="498"/>
      <c r="L83" s="498"/>
      <c r="M83" s="498"/>
      <c r="N83" s="498"/>
      <c r="O83" s="498"/>
      <c r="P83" s="498"/>
      <c r="Q83" s="498"/>
      <c r="R83" s="498"/>
      <c r="S83" s="498"/>
      <c r="T83" s="498"/>
      <c r="U83" s="498"/>
      <c r="V83" s="498"/>
      <c r="W83" s="498"/>
      <c r="X83" s="232"/>
      <c r="Y83" s="232"/>
      <c r="Z83" s="498"/>
      <c r="AA83" s="498"/>
      <c r="AB83" s="498"/>
      <c r="AC83" s="514"/>
      <c r="AD83" s="498"/>
      <c r="AE83" s="502"/>
      <c r="AF83" s="502"/>
      <c r="AG83" s="502"/>
      <c r="AH83" s="507"/>
      <c r="AI83" s="520"/>
      <c r="AJ83" s="523"/>
      <c r="AK83" s="502"/>
      <c r="AL83" s="523"/>
      <c r="AM83" s="502"/>
      <c r="AN83" s="523"/>
      <c r="AO83" s="523"/>
      <c r="AP83" s="523"/>
      <c r="AQ83" s="523"/>
      <c r="AR83" s="523"/>
      <c r="AS83" s="523"/>
      <c r="AT83" s="523"/>
      <c r="AU83" s="523"/>
    </row>
    <row r="84" spans="1:47" s="2" customFormat="1">
      <c r="A84" s="508"/>
      <c r="C84" s="498"/>
      <c r="D84" s="498"/>
      <c r="E84" s="498"/>
      <c r="F84" s="498"/>
      <c r="G84" s="498"/>
      <c r="H84" s="498"/>
      <c r="I84" s="498"/>
      <c r="J84" s="498"/>
      <c r="K84" s="498"/>
      <c r="L84" s="498"/>
      <c r="M84" s="498"/>
      <c r="N84" s="498"/>
      <c r="O84" s="498"/>
      <c r="P84" s="498"/>
      <c r="Q84" s="498"/>
      <c r="R84" s="498"/>
      <c r="S84" s="498"/>
      <c r="T84" s="498"/>
      <c r="U84" s="498"/>
      <c r="V84" s="498"/>
      <c r="W84" s="498"/>
      <c r="X84" s="232"/>
      <c r="Y84" s="232"/>
      <c r="Z84" s="498"/>
      <c r="AA84" s="498"/>
      <c r="AB84" s="498"/>
      <c r="AC84" s="514"/>
      <c r="AD84" s="498"/>
      <c r="AE84" s="502"/>
      <c r="AF84" s="502"/>
      <c r="AG84" s="502"/>
      <c r="AH84" s="507"/>
      <c r="AI84" s="520"/>
      <c r="AJ84" s="523"/>
      <c r="AK84" s="502"/>
      <c r="AL84" s="523"/>
      <c r="AM84" s="502"/>
      <c r="AN84" s="523"/>
      <c r="AO84" s="523"/>
      <c r="AP84" s="523"/>
      <c r="AQ84" s="523"/>
      <c r="AR84" s="523"/>
      <c r="AS84" s="523"/>
      <c r="AT84" s="523"/>
      <c r="AU84" s="523"/>
    </row>
    <row r="85" spans="1:47" s="2" customFormat="1">
      <c r="A85" s="508"/>
      <c r="C85" s="498"/>
      <c r="D85" s="498"/>
      <c r="E85" s="498"/>
      <c r="F85" s="498"/>
      <c r="G85" s="498"/>
      <c r="H85" s="498"/>
      <c r="I85" s="498"/>
      <c r="J85" s="498"/>
      <c r="K85" s="498"/>
      <c r="L85" s="498"/>
      <c r="M85" s="498"/>
      <c r="N85" s="498"/>
      <c r="O85" s="498"/>
      <c r="P85" s="498"/>
      <c r="Q85" s="498"/>
      <c r="R85" s="498"/>
      <c r="S85" s="498"/>
      <c r="T85" s="498"/>
      <c r="U85" s="498"/>
      <c r="V85" s="498"/>
      <c r="W85" s="498"/>
      <c r="X85" s="232"/>
      <c r="Y85" s="232"/>
      <c r="Z85" s="498"/>
      <c r="AA85" s="498"/>
      <c r="AB85" s="498"/>
      <c r="AC85" s="514"/>
      <c r="AD85" s="498"/>
      <c r="AE85" s="502"/>
      <c r="AF85" s="502"/>
      <c r="AG85" s="502"/>
      <c r="AH85" s="507"/>
      <c r="AI85" s="520"/>
      <c r="AJ85" s="523"/>
      <c r="AK85" s="502"/>
      <c r="AL85" s="523"/>
      <c r="AM85" s="502"/>
      <c r="AN85" s="523"/>
      <c r="AO85" s="523"/>
      <c r="AP85" s="523"/>
      <c r="AQ85" s="523"/>
      <c r="AR85" s="523"/>
      <c r="AS85" s="523"/>
      <c r="AT85" s="523"/>
      <c r="AU85" s="523"/>
    </row>
    <row r="86" spans="1:47" s="2" customFormat="1">
      <c r="A86" s="496"/>
      <c r="B86" s="497"/>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530"/>
      <c r="AC86" s="511"/>
      <c r="AD86" s="144"/>
      <c r="AK86" s="502"/>
      <c r="AO86" s="502"/>
      <c r="AP86" s="507"/>
      <c r="AS86" s="523"/>
    </row>
    <row r="87" spans="1:47" s="2" customFormat="1">
      <c r="A87" s="496"/>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8"/>
      <c r="AA87" s="498"/>
      <c r="AB87" s="521"/>
      <c r="AC87" s="522"/>
      <c r="AD87" s="507"/>
      <c r="AE87" s="502"/>
      <c r="AF87" s="502"/>
      <c r="AG87" s="502"/>
      <c r="AH87" s="507"/>
      <c r="AI87" s="507"/>
      <c r="AJ87" s="523"/>
      <c r="AK87" s="502"/>
      <c r="AL87" s="523"/>
      <c r="AM87" s="502"/>
      <c r="AN87" s="523"/>
      <c r="AO87" s="523"/>
      <c r="AP87" s="523"/>
      <c r="AQ87" s="523"/>
      <c r="AR87" s="523"/>
      <c r="AS87" s="523"/>
      <c r="AT87" s="523"/>
      <c r="AU87" s="523"/>
    </row>
    <row r="88" spans="1:47" s="2" customFormat="1">
      <c r="A88" s="506"/>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8"/>
      <c r="AA88" s="498"/>
      <c r="AB88" s="521"/>
      <c r="AC88" s="522"/>
      <c r="AD88" s="507"/>
      <c r="AH88" s="507"/>
      <c r="AI88" s="507"/>
      <c r="AJ88" s="507"/>
      <c r="AK88" s="502"/>
      <c r="AL88" s="507"/>
      <c r="AN88" s="507"/>
      <c r="AO88" s="507"/>
      <c r="AP88" s="507"/>
      <c r="AQ88" s="507"/>
      <c r="AR88" s="507"/>
      <c r="AS88" s="523"/>
      <c r="AT88" s="507"/>
      <c r="AU88" s="507"/>
    </row>
    <row r="89" spans="1:47" s="2" customFormat="1">
      <c r="A89" s="508"/>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8"/>
      <c r="AA89" s="498"/>
      <c r="AB89" s="521"/>
      <c r="AC89" s="522"/>
      <c r="AD89" s="507"/>
      <c r="AE89" s="502"/>
      <c r="AF89" s="502"/>
      <c r="AG89" s="502"/>
      <c r="AH89" s="507"/>
      <c r="AI89" s="507"/>
      <c r="AJ89" s="523"/>
      <c r="AK89" s="502"/>
      <c r="AL89" s="523"/>
      <c r="AM89" s="502"/>
      <c r="AN89" s="523"/>
      <c r="AO89" s="523"/>
      <c r="AP89" s="523"/>
      <c r="AQ89" s="523"/>
      <c r="AR89" s="523"/>
      <c r="AS89" s="523"/>
      <c r="AT89" s="523"/>
      <c r="AU89" s="523"/>
    </row>
    <row r="90" spans="1:47" s="2" customFormat="1">
      <c r="A90" s="508"/>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8"/>
      <c r="AA90" s="498"/>
      <c r="AB90" s="521"/>
      <c r="AC90" s="522"/>
      <c r="AD90" s="507"/>
      <c r="AF90" s="502"/>
      <c r="AG90" s="502"/>
      <c r="AH90" s="507"/>
      <c r="AI90" s="507"/>
      <c r="AJ90" s="523"/>
      <c r="AK90" s="502"/>
      <c r="AL90" s="523"/>
      <c r="AM90" s="502"/>
      <c r="AN90" s="523"/>
      <c r="AO90" s="523"/>
      <c r="AP90" s="523"/>
      <c r="AQ90" s="523"/>
      <c r="AR90" s="523"/>
      <c r="AS90" s="523"/>
      <c r="AT90" s="523"/>
      <c r="AU90" s="523"/>
    </row>
    <row r="91" spans="1:47" s="2" customFormat="1">
      <c r="A91" s="508"/>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8"/>
      <c r="AA91" s="498"/>
      <c r="AB91" s="521"/>
      <c r="AC91" s="522"/>
      <c r="AD91" s="507"/>
      <c r="AE91" s="502"/>
      <c r="AF91" s="502"/>
      <c r="AG91" s="502"/>
      <c r="AH91" s="507"/>
      <c r="AI91" s="507"/>
      <c r="AJ91" s="523"/>
      <c r="AK91" s="502"/>
      <c r="AL91" s="523"/>
      <c r="AM91" s="502"/>
      <c r="AN91" s="523"/>
      <c r="AO91" s="523"/>
      <c r="AP91" s="523"/>
      <c r="AQ91" s="523"/>
      <c r="AR91" s="523"/>
      <c r="AS91" s="523"/>
      <c r="AT91" s="523"/>
      <c r="AU91" s="523"/>
    </row>
    <row r="92" spans="1:47" s="2" customFormat="1">
      <c r="A92" s="50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514"/>
      <c r="AC92" s="522"/>
      <c r="AD92" s="507"/>
      <c r="AE92" s="502"/>
      <c r="AF92" s="502"/>
      <c r="AG92" s="502"/>
      <c r="AH92" s="507"/>
      <c r="AI92" s="507"/>
      <c r="AJ92" s="523"/>
      <c r="AK92" s="502"/>
      <c r="AL92" s="523"/>
      <c r="AM92" s="502"/>
      <c r="AN92" s="523"/>
      <c r="AO92" s="523"/>
      <c r="AP92" s="523"/>
      <c r="AQ92" s="523"/>
      <c r="AR92" s="523"/>
      <c r="AS92" s="523"/>
      <c r="AT92" s="523"/>
      <c r="AU92" s="523"/>
    </row>
    <row r="93" spans="1:47" s="2" customFormat="1">
      <c r="A93" s="508"/>
      <c r="C93" s="498"/>
      <c r="D93" s="498"/>
      <c r="E93" s="498"/>
      <c r="F93" s="498"/>
      <c r="G93" s="498"/>
      <c r="H93" s="498"/>
      <c r="I93" s="498"/>
      <c r="J93" s="498"/>
      <c r="K93" s="498"/>
      <c r="L93" s="498"/>
      <c r="M93" s="498"/>
      <c r="N93" s="498"/>
      <c r="O93" s="498"/>
      <c r="P93" s="498"/>
      <c r="Q93" s="498"/>
      <c r="R93" s="498"/>
      <c r="S93" s="498"/>
      <c r="T93" s="498"/>
      <c r="U93" s="498"/>
      <c r="V93" s="498"/>
      <c r="W93" s="498"/>
      <c r="X93" s="498"/>
      <c r="Y93" s="498"/>
      <c r="Z93" s="498"/>
      <c r="AA93" s="498"/>
      <c r="AB93" s="514"/>
      <c r="AC93" s="522"/>
      <c r="AD93" s="507"/>
      <c r="AE93" s="502"/>
      <c r="AF93" s="502"/>
      <c r="AG93" s="502"/>
      <c r="AH93" s="507"/>
      <c r="AI93" s="507"/>
      <c r="AJ93" s="523"/>
      <c r="AK93" s="502"/>
      <c r="AL93" s="523"/>
      <c r="AM93" s="502"/>
      <c r="AN93" s="523"/>
      <c r="AO93" s="523"/>
      <c r="AP93" s="523"/>
      <c r="AQ93" s="523"/>
      <c r="AR93" s="523"/>
      <c r="AS93" s="523"/>
      <c r="AT93" s="523"/>
      <c r="AU93" s="523"/>
    </row>
    <row r="94" spans="1:47" s="2" customFormat="1">
      <c r="A94" s="508"/>
      <c r="C94" s="498"/>
      <c r="D94" s="498"/>
      <c r="E94" s="498"/>
      <c r="F94" s="498"/>
      <c r="G94" s="498"/>
      <c r="H94" s="498"/>
      <c r="I94" s="498"/>
      <c r="J94" s="498"/>
      <c r="K94" s="498"/>
      <c r="L94" s="498"/>
      <c r="M94" s="498"/>
      <c r="N94" s="498"/>
      <c r="O94" s="498"/>
      <c r="P94" s="498"/>
      <c r="Q94" s="498"/>
      <c r="R94" s="498"/>
      <c r="S94" s="498"/>
      <c r="T94" s="498"/>
      <c r="U94" s="498"/>
      <c r="V94" s="498"/>
      <c r="W94" s="498"/>
      <c r="X94" s="498"/>
      <c r="Y94" s="498"/>
      <c r="Z94" s="498"/>
      <c r="AA94" s="498"/>
      <c r="AB94" s="514"/>
      <c r="AC94" s="522"/>
      <c r="AD94" s="507"/>
      <c r="AE94" s="502"/>
      <c r="AF94" s="502"/>
      <c r="AG94" s="502"/>
      <c r="AH94" s="507"/>
      <c r="AI94" s="507"/>
      <c r="AJ94" s="523"/>
      <c r="AK94" s="502"/>
      <c r="AL94" s="523"/>
      <c r="AM94" s="502"/>
      <c r="AN94" s="523"/>
      <c r="AO94" s="523"/>
      <c r="AP94" s="523"/>
      <c r="AQ94" s="523"/>
      <c r="AR94" s="523"/>
      <c r="AS94" s="523"/>
      <c r="AT94" s="523"/>
      <c r="AU94" s="523"/>
    </row>
    <row r="95" spans="1:47" s="2" customFormat="1">
      <c r="A95" s="508"/>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8"/>
      <c r="AA95" s="498"/>
      <c r="AB95" s="514"/>
      <c r="AC95" s="522"/>
      <c r="AD95" s="507"/>
      <c r="AE95" s="502"/>
      <c r="AF95" s="502"/>
      <c r="AG95" s="502"/>
      <c r="AH95" s="507"/>
      <c r="AI95" s="507"/>
      <c r="AJ95" s="523"/>
      <c r="AK95" s="502"/>
      <c r="AL95" s="523"/>
      <c r="AM95" s="502"/>
      <c r="AN95" s="523"/>
      <c r="AO95" s="523"/>
      <c r="AP95" s="523"/>
      <c r="AQ95" s="523"/>
      <c r="AR95" s="523"/>
      <c r="AS95" s="523"/>
      <c r="AT95" s="523"/>
      <c r="AU95" s="523"/>
    </row>
    <row r="96" spans="1:47" s="2" customFormat="1">
      <c r="A96" s="508"/>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8"/>
      <c r="AA96" s="498"/>
      <c r="AB96" s="514"/>
      <c r="AC96" s="522"/>
      <c r="AD96" s="507"/>
      <c r="AE96" s="502"/>
      <c r="AF96" s="502"/>
      <c r="AG96" s="502"/>
      <c r="AH96" s="507"/>
      <c r="AI96" s="507"/>
      <c r="AJ96" s="523"/>
      <c r="AK96" s="502"/>
      <c r="AL96" s="523"/>
      <c r="AM96" s="502"/>
      <c r="AN96" s="523"/>
      <c r="AO96" s="523"/>
      <c r="AP96" s="523"/>
      <c r="AQ96" s="523"/>
      <c r="AR96" s="523"/>
      <c r="AS96" s="523"/>
      <c r="AT96" s="523"/>
      <c r="AU96" s="523"/>
    </row>
    <row r="97" spans="1:47" s="2" customFormat="1">
      <c r="A97" s="496"/>
      <c r="B97" s="497"/>
      <c r="C97" s="498"/>
      <c r="D97" s="498"/>
      <c r="E97" s="498"/>
      <c r="F97" s="498"/>
      <c r="G97" s="498"/>
      <c r="H97" s="498"/>
      <c r="I97" s="498"/>
      <c r="J97" s="498"/>
      <c r="K97" s="498"/>
      <c r="L97" s="498"/>
      <c r="M97" s="498"/>
      <c r="N97" s="498"/>
      <c r="O97" s="498"/>
      <c r="P97" s="498"/>
      <c r="Q97" s="498"/>
      <c r="R97" s="498"/>
      <c r="S97" s="498"/>
      <c r="T97" s="498"/>
      <c r="U97" s="498"/>
      <c r="V97" s="498"/>
      <c r="W97" s="498"/>
      <c r="X97" s="498"/>
      <c r="Y97" s="498"/>
      <c r="Z97" s="498"/>
      <c r="AA97" s="498"/>
      <c r="AB97" s="144"/>
      <c r="AC97" s="511"/>
      <c r="AD97" s="144"/>
      <c r="AK97" s="502"/>
      <c r="AO97" s="502"/>
      <c r="AP97" s="507"/>
      <c r="AS97" s="523"/>
    </row>
    <row r="98" spans="1:47" s="2" customFormat="1">
      <c r="A98" s="496"/>
      <c r="C98" s="498"/>
      <c r="D98" s="498"/>
      <c r="E98" s="498"/>
      <c r="F98" s="498"/>
      <c r="G98" s="498"/>
      <c r="H98" s="498"/>
      <c r="I98" s="498"/>
      <c r="J98" s="498"/>
      <c r="K98" s="498"/>
      <c r="L98" s="498"/>
      <c r="M98" s="498"/>
      <c r="N98" s="498"/>
      <c r="O98" s="498"/>
      <c r="P98" s="498"/>
      <c r="Q98" s="498"/>
      <c r="R98" s="498"/>
      <c r="S98" s="498"/>
      <c r="T98" s="498"/>
      <c r="U98" s="498"/>
      <c r="V98" s="498"/>
      <c r="W98" s="498"/>
      <c r="X98" s="498"/>
      <c r="Y98" s="498"/>
      <c r="Z98" s="498"/>
      <c r="AA98" s="498"/>
      <c r="AB98" s="521"/>
      <c r="AC98" s="522"/>
      <c r="AD98" s="498"/>
      <c r="AE98" s="502"/>
      <c r="AF98" s="502"/>
      <c r="AG98" s="502"/>
      <c r="AH98" s="233"/>
      <c r="AI98" s="233"/>
      <c r="AJ98" s="523"/>
      <c r="AK98" s="502"/>
      <c r="AL98" s="523"/>
      <c r="AM98" s="502"/>
      <c r="AN98" s="523"/>
      <c r="AO98" s="523"/>
      <c r="AP98" s="523"/>
      <c r="AQ98" s="523"/>
      <c r="AR98" s="523"/>
      <c r="AS98" s="523"/>
      <c r="AT98" s="523"/>
      <c r="AU98" s="523"/>
    </row>
    <row r="99" spans="1:47" s="2" customFormat="1">
      <c r="A99" s="506"/>
      <c r="C99" s="498"/>
      <c r="D99" s="498"/>
      <c r="E99" s="498"/>
      <c r="F99" s="498"/>
      <c r="G99" s="498"/>
      <c r="H99" s="498"/>
      <c r="I99" s="498"/>
      <c r="J99" s="498"/>
      <c r="K99" s="498"/>
      <c r="L99" s="498"/>
      <c r="M99" s="498"/>
      <c r="N99" s="498"/>
      <c r="O99" s="498"/>
      <c r="P99" s="498"/>
      <c r="Q99" s="498"/>
      <c r="R99" s="498"/>
      <c r="S99" s="498"/>
      <c r="T99" s="498"/>
      <c r="U99" s="498"/>
      <c r="V99" s="498"/>
      <c r="W99" s="498"/>
      <c r="X99" s="498"/>
      <c r="Y99" s="498"/>
      <c r="Z99" s="498"/>
      <c r="AA99" s="498"/>
      <c r="AB99" s="521"/>
      <c r="AC99" s="522"/>
      <c r="AD99" s="498"/>
      <c r="AH99" s="233"/>
      <c r="AI99" s="233"/>
      <c r="AJ99" s="507"/>
      <c r="AK99" s="502"/>
      <c r="AL99" s="507"/>
      <c r="AN99" s="507"/>
      <c r="AO99" s="507"/>
      <c r="AP99" s="507"/>
      <c r="AQ99" s="507"/>
      <c r="AR99" s="507"/>
      <c r="AS99" s="523"/>
      <c r="AT99" s="507"/>
      <c r="AU99" s="507"/>
    </row>
    <row r="100" spans="1:47" s="2" customFormat="1">
      <c r="A100" s="508"/>
      <c r="C100" s="498"/>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8"/>
      <c r="AA100" s="498"/>
      <c r="AB100" s="514"/>
      <c r="AC100" s="522"/>
      <c r="AD100" s="498"/>
      <c r="AE100" s="502"/>
      <c r="AF100" s="502"/>
      <c r="AG100" s="502"/>
      <c r="AH100" s="233"/>
      <c r="AI100" s="233"/>
      <c r="AJ100" s="523"/>
      <c r="AK100" s="502"/>
      <c r="AL100" s="523"/>
      <c r="AM100" s="502"/>
      <c r="AN100" s="523"/>
      <c r="AO100" s="523"/>
      <c r="AP100" s="523"/>
      <c r="AQ100" s="523"/>
      <c r="AR100" s="523"/>
      <c r="AS100" s="523"/>
      <c r="AT100" s="523"/>
      <c r="AU100" s="523"/>
    </row>
    <row r="101" spans="1:47" s="2" customFormat="1">
      <c r="A101" s="508"/>
      <c r="C101" s="498"/>
      <c r="D101" s="498"/>
      <c r="E101" s="498"/>
      <c r="F101" s="498"/>
      <c r="G101" s="498"/>
      <c r="H101" s="498"/>
      <c r="I101" s="498"/>
      <c r="J101" s="498"/>
      <c r="K101" s="498"/>
      <c r="L101" s="498"/>
      <c r="M101" s="498"/>
      <c r="N101" s="498"/>
      <c r="O101" s="498"/>
      <c r="P101" s="498"/>
      <c r="Q101" s="498"/>
      <c r="R101" s="498"/>
      <c r="S101" s="498"/>
      <c r="T101" s="498"/>
      <c r="U101" s="498"/>
      <c r="V101" s="498"/>
      <c r="W101" s="498"/>
      <c r="X101" s="498"/>
      <c r="Y101" s="498"/>
      <c r="Z101" s="498"/>
      <c r="AA101" s="498"/>
      <c r="AB101" s="521"/>
      <c r="AC101" s="522"/>
      <c r="AD101" s="498"/>
      <c r="AE101" s="502"/>
      <c r="AF101" s="502"/>
      <c r="AG101" s="502"/>
      <c r="AH101" s="233"/>
      <c r="AI101" s="233"/>
      <c r="AJ101" s="523"/>
      <c r="AK101" s="502"/>
      <c r="AL101" s="523"/>
      <c r="AM101" s="502"/>
      <c r="AN101" s="523"/>
      <c r="AO101" s="523"/>
      <c r="AP101" s="523"/>
      <c r="AQ101" s="523"/>
      <c r="AR101" s="523"/>
      <c r="AS101" s="523"/>
      <c r="AT101" s="523"/>
      <c r="AU101" s="523"/>
    </row>
    <row r="102" spans="1:47" s="2" customFormat="1">
      <c r="A102" s="508"/>
      <c r="C102" s="498"/>
      <c r="D102" s="498"/>
      <c r="E102" s="498"/>
      <c r="F102" s="498"/>
      <c r="G102" s="498"/>
      <c r="H102" s="498"/>
      <c r="I102" s="498"/>
      <c r="J102" s="498"/>
      <c r="K102" s="498"/>
      <c r="L102" s="498"/>
      <c r="M102" s="498"/>
      <c r="N102" s="498"/>
      <c r="O102" s="498"/>
      <c r="P102" s="498"/>
      <c r="Q102" s="498"/>
      <c r="R102" s="498"/>
      <c r="S102" s="498"/>
      <c r="T102" s="498"/>
      <c r="U102" s="498"/>
      <c r="V102" s="498"/>
      <c r="W102" s="498"/>
      <c r="X102" s="498"/>
      <c r="Y102" s="498"/>
      <c r="Z102" s="498"/>
      <c r="AA102" s="498"/>
      <c r="AB102" s="514"/>
      <c r="AC102" s="522"/>
      <c r="AD102" s="498"/>
      <c r="AE102" s="502"/>
      <c r="AF102" s="502"/>
      <c r="AG102" s="502"/>
      <c r="AH102" s="233"/>
      <c r="AI102" s="233"/>
      <c r="AJ102" s="523"/>
      <c r="AK102" s="502"/>
      <c r="AL102" s="523"/>
      <c r="AM102" s="502"/>
      <c r="AN102" s="523"/>
      <c r="AO102" s="523"/>
      <c r="AP102" s="523"/>
      <c r="AQ102" s="523"/>
      <c r="AR102" s="523"/>
      <c r="AS102" s="523"/>
      <c r="AT102" s="523"/>
      <c r="AU102" s="523"/>
    </row>
    <row r="103" spans="1:47" s="2" customFormat="1">
      <c r="A103" s="508"/>
      <c r="C103" s="498"/>
      <c r="D103" s="498"/>
      <c r="E103" s="498"/>
      <c r="F103" s="498"/>
      <c r="G103" s="498"/>
      <c r="H103" s="498"/>
      <c r="I103" s="498"/>
      <c r="J103" s="498"/>
      <c r="K103" s="498"/>
      <c r="L103" s="498"/>
      <c r="M103" s="498"/>
      <c r="N103" s="498"/>
      <c r="O103" s="498"/>
      <c r="P103" s="498"/>
      <c r="Q103" s="498"/>
      <c r="R103" s="498"/>
      <c r="S103" s="498"/>
      <c r="T103" s="498"/>
      <c r="U103" s="498"/>
      <c r="V103" s="498"/>
      <c r="W103" s="498"/>
      <c r="X103" s="498"/>
      <c r="Y103" s="498"/>
      <c r="Z103" s="498"/>
      <c r="AA103" s="498"/>
      <c r="AB103" s="514"/>
      <c r="AC103" s="522"/>
      <c r="AD103" s="498"/>
      <c r="AE103" s="502"/>
      <c r="AF103" s="502"/>
      <c r="AG103" s="502"/>
      <c r="AH103" s="233"/>
      <c r="AI103" s="233"/>
      <c r="AJ103" s="523"/>
      <c r="AK103" s="502"/>
      <c r="AL103" s="523"/>
      <c r="AM103" s="502"/>
      <c r="AN103" s="523"/>
      <c r="AO103" s="523"/>
      <c r="AP103" s="523"/>
      <c r="AQ103" s="523"/>
      <c r="AR103" s="523"/>
      <c r="AS103" s="523"/>
      <c r="AT103" s="523"/>
      <c r="AU103" s="523"/>
    </row>
    <row r="104" spans="1:47" s="2" customFormat="1">
      <c r="A104" s="508"/>
      <c r="C104" s="498"/>
      <c r="D104" s="498"/>
      <c r="E104" s="498"/>
      <c r="F104" s="498"/>
      <c r="G104" s="498"/>
      <c r="H104" s="498"/>
      <c r="I104" s="498"/>
      <c r="J104" s="498"/>
      <c r="K104" s="498"/>
      <c r="L104" s="498"/>
      <c r="M104" s="498"/>
      <c r="N104" s="498"/>
      <c r="O104" s="498"/>
      <c r="P104" s="498"/>
      <c r="Q104" s="498"/>
      <c r="R104" s="498"/>
      <c r="S104" s="498"/>
      <c r="T104" s="498"/>
      <c r="U104" s="498"/>
      <c r="V104" s="498"/>
      <c r="W104" s="498"/>
      <c r="X104" s="498"/>
      <c r="Y104" s="498"/>
      <c r="Z104" s="498"/>
      <c r="AA104" s="498"/>
      <c r="AB104" s="514"/>
      <c r="AC104" s="522"/>
      <c r="AD104" s="498"/>
      <c r="AE104" s="502"/>
      <c r="AF104" s="502"/>
      <c r="AG104" s="502"/>
      <c r="AH104" s="233"/>
      <c r="AI104" s="233"/>
      <c r="AJ104" s="523"/>
      <c r="AK104" s="502"/>
      <c r="AL104" s="523"/>
      <c r="AM104" s="502"/>
      <c r="AN104" s="523"/>
      <c r="AO104" s="523"/>
      <c r="AP104" s="523"/>
      <c r="AQ104" s="523"/>
      <c r="AR104" s="523"/>
      <c r="AS104" s="523"/>
      <c r="AT104" s="523"/>
      <c r="AU104" s="523"/>
    </row>
    <row r="105" spans="1:47" s="2" customFormat="1">
      <c r="A105" s="508"/>
      <c r="C105" s="498"/>
      <c r="D105" s="498"/>
      <c r="E105" s="498"/>
      <c r="F105" s="498"/>
      <c r="G105" s="498"/>
      <c r="H105" s="498"/>
      <c r="I105" s="498"/>
      <c r="J105" s="498"/>
      <c r="K105" s="498"/>
      <c r="L105" s="498"/>
      <c r="M105" s="498"/>
      <c r="N105" s="498"/>
      <c r="O105" s="498"/>
      <c r="P105" s="498"/>
      <c r="Q105" s="498"/>
      <c r="R105" s="498"/>
      <c r="S105" s="498"/>
      <c r="T105" s="498"/>
      <c r="U105" s="498"/>
      <c r="V105" s="498"/>
      <c r="W105" s="498"/>
      <c r="X105" s="498"/>
      <c r="Y105" s="498"/>
      <c r="Z105" s="498"/>
      <c r="AA105" s="498"/>
      <c r="AB105" s="514"/>
      <c r="AC105" s="522"/>
      <c r="AD105" s="498"/>
      <c r="AE105" s="502"/>
      <c r="AF105" s="502"/>
      <c r="AG105" s="502"/>
      <c r="AH105" s="233"/>
      <c r="AI105" s="233"/>
      <c r="AJ105" s="523"/>
      <c r="AK105" s="502"/>
      <c r="AL105" s="523"/>
      <c r="AM105" s="502"/>
      <c r="AN105" s="523"/>
      <c r="AO105" s="523"/>
      <c r="AP105" s="523"/>
      <c r="AQ105" s="523"/>
      <c r="AR105" s="523"/>
      <c r="AS105" s="523"/>
      <c r="AT105" s="523"/>
      <c r="AU105" s="523"/>
    </row>
    <row r="106" spans="1:47" s="2" customFormat="1">
      <c r="A106" s="508"/>
      <c r="C106" s="498"/>
      <c r="D106" s="498"/>
      <c r="E106" s="498"/>
      <c r="F106" s="498"/>
      <c r="G106" s="498"/>
      <c r="H106" s="498"/>
      <c r="I106" s="498"/>
      <c r="J106" s="498"/>
      <c r="K106" s="498"/>
      <c r="L106" s="498"/>
      <c r="M106" s="498"/>
      <c r="N106" s="498"/>
      <c r="O106" s="498"/>
      <c r="P106" s="498"/>
      <c r="Q106" s="498"/>
      <c r="R106" s="498"/>
      <c r="S106" s="498"/>
      <c r="T106" s="498"/>
      <c r="U106" s="498"/>
      <c r="V106" s="498"/>
      <c r="W106" s="498"/>
      <c r="X106" s="498"/>
      <c r="Y106" s="498"/>
      <c r="Z106" s="498"/>
      <c r="AA106" s="498"/>
      <c r="AB106" s="514"/>
      <c r="AC106" s="522"/>
      <c r="AD106" s="498"/>
      <c r="AE106" s="502"/>
      <c r="AF106" s="502"/>
      <c r="AG106" s="502"/>
      <c r="AH106" s="233"/>
      <c r="AI106" s="233"/>
      <c r="AJ106" s="523"/>
      <c r="AK106" s="502"/>
      <c r="AL106" s="523"/>
      <c r="AM106" s="502"/>
      <c r="AN106" s="523"/>
      <c r="AO106" s="523"/>
      <c r="AP106" s="523"/>
      <c r="AQ106" s="523"/>
      <c r="AR106" s="523"/>
      <c r="AS106" s="523"/>
      <c r="AT106" s="523"/>
      <c r="AU106" s="523"/>
    </row>
    <row r="107" spans="1:47" s="2" customFormat="1">
      <c r="A107" s="508"/>
      <c r="C107" s="498"/>
      <c r="D107" s="498"/>
      <c r="E107" s="498"/>
      <c r="F107" s="498"/>
      <c r="G107" s="498"/>
      <c r="H107" s="498"/>
      <c r="I107" s="498"/>
      <c r="J107" s="498"/>
      <c r="K107" s="498"/>
      <c r="L107" s="498"/>
      <c r="M107" s="498"/>
      <c r="N107" s="498"/>
      <c r="O107" s="498"/>
      <c r="P107" s="498"/>
      <c r="Q107" s="498"/>
      <c r="R107" s="498"/>
      <c r="S107" s="498"/>
      <c r="T107" s="498"/>
      <c r="U107" s="498"/>
      <c r="V107" s="498"/>
      <c r="W107" s="498"/>
      <c r="X107" s="498"/>
      <c r="Y107" s="498"/>
      <c r="Z107" s="498"/>
      <c r="AA107" s="498"/>
      <c r="AB107" s="521"/>
      <c r="AC107" s="522"/>
      <c r="AD107" s="498"/>
      <c r="AE107" s="502"/>
      <c r="AF107" s="502"/>
      <c r="AG107" s="502"/>
      <c r="AH107" s="233"/>
      <c r="AI107" s="233"/>
      <c r="AJ107" s="523"/>
      <c r="AK107" s="502"/>
      <c r="AL107" s="523"/>
      <c r="AM107" s="502"/>
      <c r="AN107" s="523"/>
      <c r="AO107" s="523"/>
      <c r="AP107" s="523"/>
      <c r="AQ107" s="523"/>
      <c r="AR107" s="523"/>
      <c r="AS107" s="523"/>
      <c r="AT107" s="523"/>
      <c r="AU107" s="523"/>
    </row>
    <row r="108" spans="1:47" s="2" customFormat="1">
      <c r="A108" s="496"/>
      <c r="B108" s="515"/>
      <c r="C108" s="498"/>
      <c r="D108" s="498"/>
      <c r="E108" s="498"/>
      <c r="F108" s="498"/>
      <c r="G108" s="498"/>
      <c r="H108" s="498"/>
      <c r="I108" s="498"/>
      <c r="J108" s="498"/>
      <c r="K108" s="498"/>
      <c r="L108" s="498"/>
      <c r="M108" s="498"/>
      <c r="N108" s="498"/>
      <c r="O108" s="498"/>
      <c r="P108" s="498"/>
      <c r="Q108" s="498"/>
      <c r="R108" s="498"/>
      <c r="S108" s="498"/>
      <c r="T108" s="498"/>
      <c r="U108" s="498"/>
      <c r="V108" s="498"/>
      <c r="W108" s="498"/>
      <c r="X108" s="498"/>
      <c r="Y108" s="498"/>
      <c r="Z108" s="498"/>
      <c r="AA108" s="498"/>
      <c r="AB108" s="144"/>
      <c r="AC108" s="144"/>
      <c r="AD108" s="144"/>
      <c r="AK108" s="502"/>
      <c r="AR108" s="233"/>
    </row>
    <row r="109" spans="1:47" s="2" customFormat="1">
      <c r="A109" s="496"/>
      <c r="C109" s="525"/>
      <c r="D109" s="525"/>
      <c r="E109" s="525"/>
      <c r="F109" s="525"/>
      <c r="G109" s="525"/>
      <c r="H109" s="525"/>
      <c r="I109" s="525"/>
      <c r="J109" s="525"/>
      <c r="K109" s="528"/>
      <c r="L109" s="525"/>
      <c r="M109" s="525"/>
      <c r="N109" s="525"/>
      <c r="O109" s="525"/>
      <c r="P109" s="525"/>
      <c r="Q109" s="525"/>
      <c r="R109" s="525"/>
      <c r="S109" s="525"/>
      <c r="T109" s="525"/>
      <c r="U109" s="525"/>
      <c r="V109" s="525"/>
      <c r="W109" s="525"/>
      <c r="X109" s="525"/>
      <c r="Y109" s="525"/>
      <c r="Z109" s="525"/>
      <c r="AA109" s="525"/>
      <c r="AB109" s="488"/>
      <c r="AC109" s="525"/>
      <c r="AD109" s="526"/>
      <c r="AE109" s="526"/>
      <c r="AF109" s="528"/>
      <c r="AG109" s="528"/>
      <c r="AH109" s="526"/>
      <c r="AI109" s="528"/>
      <c r="AJ109" s="526"/>
      <c r="AK109" s="531"/>
      <c r="AL109" s="526"/>
      <c r="AM109" s="526"/>
      <c r="AN109" s="526"/>
      <c r="AO109" s="526"/>
      <c r="AP109" s="526"/>
      <c r="AQ109" s="526"/>
      <c r="AR109" s="526"/>
      <c r="AS109" s="526"/>
      <c r="AT109" s="526"/>
      <c r="AU109" s="526"/>
    </row>
    <row r="110" spans="1:47" s="2" customFormat="1">
      <c r="A110" s="506"/>
      <c r="C110" s="525"/>
      <c r="D110" s="525"/>
      <c r="E110" s="525"/>
      <c r="F110" s="525"/>
      <c r="G110" s="525"/>
      <c r="H110" s="525"/>
      <c r="I110" s="525"/>
      <c r="J110" s="525"/>
      <c r="K110" s="528"/>
      <c r="L110" s="525"/>
      <c r="M110" s="525"/>
      <c r="N110" s="525"/>
      <c r="O110" s="525"/>
      <c r="P110" s="525"/>
      <c r="Q110" s="525"/>
      <c r="R110" s="525"/>
      <c r="S110" s="525"/>
      <c r="T110" s="525"/>
      <c r="U110" s="525"/>
      <c r="V110" s="525"/>
      <c r="W110" s="525"/>
      <c r="X110" s="525"/>
      <c r="Y110" s="525"/>
      <c r="Z110" s="525"/>
      <c r="AA110" s="525"/>
      <c r="AB110" s="488"/>
      <c r="AC110" s="525"/>
      <c r="AD110" s="526"/>
      <c r="AF110" s="528"/>
      <c r="AI110" s="528"/>
      <c r="AK110" s="531"/>
      <c r="AS110" s="526"/>
      <c r="AT110" s="526"/>
      <c r="AU110" s="526"/>
    </row>
    <row r="111" spans="1:47" s="2" customFormat="1">
      <c r="A111" s="508"/>
      <c r="C111" s="525"/>
      <c r="D111" s="525"/>
      <c r="E111" s="525"/>
      <c r="F111" s="525"/>
      <c r="G111" s="525"/>
      <c r="H111" s="525"/>
      <c r="I111" s="525"/>
      <c r="J111" s="525"/>
      <c r="K111" s="525"/>
      <c r="L111" s="525"/>
      <c r="M111" s="525"/>
      <c r="N111" s="525"/>
      <c r="O111" s="525"/>
      <c r="P111" s="525"/>
      <c r="Q111" s="525"/>
      <c r="R111" s="525"/>
      <c r="S111" s="525"/>
      <c r="T111" s="525"/>
      <c r="U111" s="525"/>
      <c r="V111" s="525"/>
      <c r="W111" s="525"/>
      <c r="X111" s="525"/>
      <c r="Y111" s="525"/>
      <c r="Z111" s="525"/>
      <c r="AA111" s="525"/>
      <c r="AB111" s="488"/>
      <c r="AC111" s="525"/>
      <c r="AD111" s="526"/>
      <c r="AE111" s="526"/>
      <c r="AF111" s="528"/>
      <c r="AG111" s="528"/>
      <c r="AH111" s="526"/>
      <c r="AI111" s="528"/>
      <c r="AJ111" s="526"/>
      <c r="AK111" s="531"/>
      <c r="AL111" s="526"/>
      <c r="AM111" s="526"/>
      <c r="AN111" s="526"/>
      <c r="AO111" s="526"/>
      <c r="AP111" s="526"/>
      <c r="AQ111" s="526"/>
      <c r="AR111" s="526"/>
      <c r="AS111" s="526"/>
      <c r="AT111" s="526"/>
      <c r="AU111" s="526"/>
    </row>
    <row r="112" spans="1:47" s="2" customFormat="1">
      <c r="A112" s="508"/>
      <c r="C112" s="525"/>
      <c r="D112" s="525"/>
      <c r="E112" s="525"/>
      <c r="F112" s="525"/>
      <c r="G112" s="525"/>
      <c r="H112" s="525"/>
      <c r="I112" s="525"/>
      <c r="J112" s="525"/>
      <c r="K112" s="525"/>
      <c r="L112" s="525"/>
      <c r="M112" s="525"/>
      <c r="N112" s="525"/>
      <c r="O112" s="525"/>
      <c r="P112" s="525"/>
      <c r="Q112" s="525"/>
      <c r="R112" s="525"/>
      <c r="S112" s="525"/>
      <c r="T112" s="525"/>
      <c r="U112" s="525"/>
      <c r="V112" s="525"/>
      <c r="W112" s="525"/>
      <c r="X112" s="525"/>
      <c r="Y112" s="525"/>
      <c r="Z112" s="525"/>
      <c r="AA112" s="525"/>
      <c r="AB112" s="488"/>
      <c r="AC112" s="525"/>
      <c r="AD112" s="526"/>
      <c r="AE112" s="526"/>
      <c r="AF112" s="528"/>
      <c r="AG112" s="528"/>
      <c r="AH112" s="526"/>
      <c r="AI112" s="528"/>
      <c r="AJ112" s="526"/>
      <c r="AK112" s="531"/>
      <c r="AL112" s="526"/>
      <c r="AM112" s="526"/>
      <c r="AN112" s="526"/>
      <c r="AO112" s="526"/>
      <c r="AP112" s="526"/>
      <c r="AQ112" s="526"/>
      <c r="AR112" s="526"/>
      <c r="AS112" s="526"/>
      <c r="AT112" s="526"/>
      <c r="AU112" s="526"/>
    </row>
    <row r="113" spans="1:47" s="2" customFormat="1">
      <c r="A113" s="508"/>
      <c r="C113" s="525"/>
      <c r="D113" s="525"/>
      <c r="E113" s="525"/>
      <c r="F113" s="525"/>
      <c r="G113" s="525"/>
      <c r="H113" s="525"/>
      <c r="I113" s="525"/>
      <c r="J113" s="525"/>
      <c r="K113" s="525"/>
      <c r="L113" s="525"/>
      <c r="M113" s="525"/>
      <c r="N113" s="525"/>
      <c r="O113" s="525"/>
      <c r="P113" s="525"/>
      <c r="Q113" s="525"/>
      <c r="R113" s="525"/>
      <c r="S113" s="525"/>
      <c r="T113" s="525"/>
      <c r="U113" s="525"/>
      <c r="V113" s="525"/>
      <c r="W113" s="525"/>
      <c r="X113" s="525"/>
      <c r="Y113" s="525"/>
      <c r="Z113" s="525"/>
      <c r="AA113" s="525"/>
      <c r="AB113" s="521"/>
      <c r="AC113" s="525"/>
      <c r="AD113" s="526"/>
      <c r="AE113" s="526"/>
      <c r="AF113" s="528"/>
      <c r="AG113" s="528"/>
      <c r="AH113" s="526"/>
      <c r="AI113" s="528"/>
      <c r="AJ113" s="526"/>
      <c r="AK113" s="531"/>
      <c r="AL113" s="526"/>
      <c r="AM113" s="526"/>
      <c r="AN113" s="526"/>
      <c r="AO113" s="526"/>
      <c r="AP113" s="526"/>
      <c r="AQ113" s="526"/>
      <c r="AR113" s="526"/>
      <c r="AS113" s="526"/>
      <c r="AT113" s="526"/>
      <c r="AU113" s="526"/>
    </row>
    <row r="114" spans="1:47" s="2" customFormat="1">
      <c r="A114" s="508"/>
      <c r="C114" s="525"/>
      <c r="D114" s="525"/>
      <c r="E114" s="525"/>
      <c r="F114" s="525"/>
      <c r="G114" s="525"/>
      <c r="H114" s="525"/>
      <c r="I114" s="525"/>
      <c r="J114" s="525"/>
      <c r="K114" s="525"/>
      <c r="L114" s="525"/>
      <c r="M114" s="525"/>
      <c r="N114" s="525"/>
      <c r="O114" s="525"/>
      <c r="P114" s="525"/>
      <c r="Q114" s="525"/>
      <c r="R114" s="525"/>
      <c r="S114" s="525"/>
      <c r="T114" s="525"/>
      <c r="U114" s="525"/>
      <c r="V114" s="525"/>
      <c r="W114" s="525"/>
      <c r="X114" s="525"/>
      <c r="Y114" s="525"/>
      <c r="Z114" s="525"/>
      <c r="AA114" s="525"/>
      <c r="AB114" s="521"/>
      <c r="AC114" s="525"/>
      <c r="AD114" s="526"/>
      <c r="AE114" s="526"/>
      <c r="AF114" s="528"/>
      <c r="AG114" s="528"/>
      <c r="AH114" s="526"/>
      <c r="AI114" s="528"/>
      <c r="AJ114" s="526"/>
      <c r="AK114" s="531"/>
      <c r="AL114" s="526"/>
      <c r="AM114" s="526"/>
      <c r="AN114" s="526"/>
      <c r="AO114" s="526"/>
      <c r="AP114" s="526"/>
      <c r="AQ114" s="526"/>
      <c r="AR114" s="526"/>
      <c r="AS114" s="526"/>
      <c r="AT114" s="526"/>
      <c r="AU114" s="526"/>
    </row>
    <row r="115" spans="1:47" s="2" customFormat="1">
      <c r="A115" s="508"/>
      <c r="C115" s="525"/>
      <c r="D115" s="525"/>
      <c r="E115" s="525"/>
      <c r="F115" s="525"/>
      <c r="G115" s="525"/>
      <c r="H115" s="525"/>
      <c r="I115" s="525"/>
      <c r="J115" s="525"/>
      <c r="K115" s="525"/>
      <c r="L115" s="525"/>
      <c r="M115" s="525"/>
      <c r="N115" s="525"/>
      <c r="O115" s="525"/>
      <c r="P115" s="525"/>
      <c r="Q115" s="525"/>
      <c r="R115" s="525"/>
      <c r="S115" s="525"/>
      <c r="T115" s="525"/>
      <c r="U115" s="525"/>
      <c r="V115" s="525"/>
      <c r="W115" s="525"/>
      <c r="X115" s="525"/>
      <c r="Y115" s="525"/>
      <c r="Z115" s="525"/>
      <c r="AA115" s="525"/>
      <c r="AB115" s="521"/>
      <c r="AC115" s="525"/>
      <c r="AD115" s="526"/>
      <c r="AE115" s="526"/>
      <c r="AF115" s="528"/>
      <c r="AG115" s="528"/>
      <c r="AH115" s="526"/>
      <c r="AI115" s="528"/>
      <c r="AJ115" s="526"/>
      <c r="AK115" s="531"/>
      <c r="AL115" s="526"/>
      <c r="AM115" s="526"/>
      <c r="AN115" s="526"/>
      <c r="AO115" s="526"/>
      <c r="AP115" s="526"/>
      <c r="AQ115" s="526"/>
      <c r="AR115" s="526"/>
      <c r="AS115" s="526"/>
      <c r="AT115" s="526"/>
      <c r="AU115" s="526"/>
    </row>
    <row r="116" spans="1:47" s="2" customFormat="1">
      <c r="A116" s="508"/>
      <c r="C116" s="525"/>
      <c r="D116" s="525"/>
      <c r="E116" s="525"/>
      <c r="F116" s="525"/>
      <c r="G116" s="525"/>
      <c r="H116" s="525"/>
      <c r="I116" s="525"/>
      <c r="J116" s="525"/>
      <c r="K116" s="525"/>
      <c r="L116" s="525"/>
      <c r="M116" s="525"/>
      <c r="N116" s="525"/>
      <c r="O116" s="525"/>
      <c r="P116" s="525"/>
      <c r="Q116" s="525"/>
      <c r="R116" s="525"/>
      <c r="S116" s="525"/>
      <c r="T116" s="525"/>
      <c r="U116" s="525"/>
      <c r="V116" s="525"/>
      <c r="W116" s="525"/>
      <c r="X116" s="525"/>
      <c r="Y116" s="525"/>
      <c r="Z116" s="525"/>
      <c r="AA116" s="525"/>
      <c r="AB116" s="488"/>
      <c r="AC116" s="525"/>
      <c r="AD116" s="526"/>
      <c r="AE116" s="526"/>
      <c r="AF116" s="528"/>
      <c r="AG116" s="528"/>
      <c r="AH116" s="526"/>
      <c r="AI116" s="528"/>
      <c r="AJ116" s="526"/>
      <c r="AK116" s="531"/>
      <c r="AL116" s="526"/>
      <c r="AM116" s="526"/>
      <c r="AN116" s="526"/>
      <c r="AO116" s="526"/>
      <c r="AP116" s="526"/>
      <c r="AQ116" s="526"/>
      <c r="AR116" s="526"/>
      <c r="AS116" s="526"/>
      <c r="AT116" s="526"/>
      <c r="AU116" s="526"/>
    </row>
    <row r="117" spans="1:47" s="2" customFormat="1">
      <c r="A117" s="508"/>
      <c r="C117" s="525"/>
      <c r="D117" s="525"/>
      <c r="E117" s="525"/>
      <c r="F117" s="525"/>
      <c r="G117" s="525"/>
      <c r="H117" s="525"/>
      <c r="I117" s="525"/>
      <c r="J117" s="525"/>
      <c r="K117" s="525"/>
      <c r="L117" s="525"/>
      <c r="M117" s="525"/>
      <c r="N117" s="525"/>
      <c r="O117" s="525"/>
      <c r="P117" s="525"/>
      <c r="Q117" s="525"/>
      <c r="R117" s="525"/>
      <c r="S117" s="525"/>
      <c r="T117" s="525"/>
      <c r="U117" s="525"/>
      <c r="V117" s="525"/>
      <c r="W117" s="525"/>
      <c r="X117" s="525"/>
      <c r="Y117" s="525"/>
      <c r="Z117" s="525"/>
      <c r="AA117" s="525"/>
      <c r="AB117" s="488"/>
      <c r="AC117" s="525"/>
      <c r="AD117" s="526"/>
      <c r="AE117" s="526"/>
      <c r="AF117" s="528"/>
      <c r="AG117" s="528"/>
      <c r="AH117" s="526"/>
      <c r="AI117" s="528"/>
      <c r="AJ117" s="526"/>
      <c r="AK117" s="531"/>
      <c r="AL117" s="526"/>
      <c r="AM117" s="526"/>
      <c r="AN117" s="526"/>
      <c r="AO117" s="526"/>
      <c r="AP117" s="526"/>
      <c r="AQ117" s="526"/>
      <c r="AR117" s="526"/>
      <c r="AS117" s="526"/>
      <c r="AT117" s="526"/>
      <c r="AU117" s="526"/>
    </row>
    <row r="118" spans="1:47" s="2" customFormat="1">
      <c r="A118" s="508"/>
      <c r="C118" s="525"/>
      <c r="D118" s="525"/>
      <c r="E118" s="525"/>
      <c r="F118" s="525"/>
      <c r="G118" s="525"/>
      <c r="H118" s="525"/>
      <c r="I118" s="525"/>
      <c r="J118" s="525"/>
      <c r="K118" s="525"/>
      <c r="L118" s="525"/>
      <c r="M118" s="525"/>
      <c r="N118" s="525"/>
      <c r="O118" s="525"/>
      <c r="P118" s="525"/>
      <c r="Q118" s="525"/>
      <c r="R118" s="525"/>
      <c r="S118" s="525"/>
      <c r="T118" s="525"/>
      <c r="U118" s="525"/>
      <c r="V118" s="525"/>
      <c r="W118" s="525"/>
      <c r="X118" s="525"/>
      <c r="Y118" s="525"/>
      <c r="Z118" s="525"/>
      <c r="AA118" s="525"/>
      <c r="AB118" s="488"/>
      <c r="AC118" s="525"/>
      <c r="AD118" s="526"/>
      <c r="AE118" s="526"/>
      <c r="AF118" s="528"/>
      <c r="AG118" s="528"/>
      <c r="AH118" s="526"/>
      <c r="AI118" s="528"/>
      <c r="AJ118" s="526"/>
      <c r="AK118" s="531"/>
      <c r="AL118" s="526"/>
      <c r="AM118" s="526"/>
      <c r="AN118" s="526"/>
      <c r="AO118" s="526"/>
      <c r="AP118" s="526"/>
      <c r="AQ118" s="526"/>
      <c r="AR118" s="526"/>
      <c r="AS118" s="526"/>
      <c r="AT118" s="526"/>
      <c r="AU118" s="526"/>
    </row>
    <row r="119" spans="1:47" s="2" customFormat="1" ht="19.5" customHeight="1">
      <c r="A119" s="1108"/>
      <c r="B119" s="1108"/>
      <c r="C119" s="1108"/>
      <c r="D119" s="1108"/>
      <c r="E119" s="1108"/>
      <c r="F119" s="1108"/>
      <c r="G119" s="532"/>
      <c r="I119" s="526"/>
      <c r="J119" s="526"/>
      <c r="K119" s="526"/>
      <c r="L119" s="526"/>
      <c r="M119" s="528"/>
      <c r="N119" s="526"/>
      <c r="O119" s="528"/>
      <c r="AI119" s="533"/>
      <c r="AJ119" s="533"/>
    </row>
    <row r="120" spans="1:47" s="2" customFormat="1" ht="18" customHeight="1">
      <c r="A120" s="1111"/>
      <c r="B120" s="1111"/>
      <c r="C120" s="1111"/>
      <c r="D120" s="516"/>
      <c r="E120" s="516"/>
      <c r="F120" s="516"/>
      <c r="M120" s="528"/>
      <c r="O120" s="528"/>
      <c r="AI120" s="533"/>
      <c r="AJ120" s="533"/>
    </row>
    <row r="121" spans="1:47" s="2" customFormat="1" ht="21.75" customHeight="1">
      <c r="A121" s="1106"/>
      <c r="B121" s="1106"/>
      <c r="C121" s="1106"/>
      <c r="D121" s="1106"/>
      <c r="E121" s="1106"/>
      <c r="F121" s="1106"/>
      <c r="G121" s="1106"/>
      <c r="AI121" s="533"/>
      <c r="AJ121" s="533"/>
    </row>
    <row r="122" spans="1:47" s="534" customFormat="1" ht="18" customHeight="1">
      <c r="A122" s="1110"/>
      <c r="B122" s="1110"/>
      <c r="C122" s="1110"/>
      <c r="D122" s="1110"/>
      <c r="E122" s="1110"/>
      <c r="F122" s="1110"/>
    </row>
    <row r="123" spans="1:47" s="535" customFormat="1" ht="41.25" customHeight="1">
      <c r="A123" s="494"/>
      <c r="B123" s="490"/>
      <c r="C123" s="490"/>
      <c r="D123" s="490"/>
      <c r="E123" s="490"/>
      <c r="F123" s="490"/>
      <c r="G123" s="490"/>
      <c r="H123" s="490"/>
      <c r="I123" s="490"/>
      <c r="J123" s="490"/>
      <c r="K123" s="490"/>
      <c r="L123" s="490"/>
      <c r="M123" s="490"/>
      <c r="N123" s="490"/>
      <c r="O123" s="490"/>
      <c r="P123" s="490"/>
      <c r="Q123" s="490"/>
      <c r="R123" s="490"/>
      <c r="S123" s="490"/>
      <c r="T123" s="490"/>
      <c r="U123" s="490"/>
      <c r="V123" s="490"/>
      <c r="W123" s="490"/>
      <c r="X123" s="490"/>
      <c r="Y123" s="490"/>
      <c r="Z123" s="490"/>
      <c r="AA123" s="490"/>
      <c r="AB123" s="490"/>
      <c r="AC123" s="490"/>
      <c r="AD123" s="490"/>
      <c r="AE123" s="490"/>
      <c r="AF123" s="490"/>
      <c r="AG123" s="490"/>
      <c r="AH123" s="490"/>
      <c r="AI123" s="490"/>
      <c r="AJ123" s="490"/>
      <c r="AK123" s="490"/>
      <c r="AL123" s="490"/>
      <c r="AM123" s="490"/>
      <c r="AN123" s="490"/>
      <c r="AO123" s="490"/>
      <c r="AP123" s="490"/>
      <c r="AQ123" s="490"/>
      <c r="AR123" s="490"/>
      <c r="AS123" s="490"/>
      <c r="AT123" s="490"/>
    </row>
    <row r="124" spans="1:47" s="2" customFormat="1">
      <c r="A124" s="496"/>
      <c r="B124" s="515"/>
      <c r="C124" s="498"/>
      <c r="D124" s="498"/>
      <c r="E124" s="498"/>
      <c r="F124" s="498"/>
      <c r="G124" s="498"/>
      <c r="H124" s="498"/>
      <c r="I124" s="498"/>
      <c r="J124" s="498"/>
      <c r="K124" s="498"/>
      <c r="L124" s="498"/>
      <c r="M124" s="498"/>
      <c r="N124" s="498"/>
      <c r="O124" s="498"/>
      <c r="P124" s="498"/>
      <c r="Q124" s="498"/>
      <c r="R124" s="498"/>
      <c r="S124" s="498"/>
      <c r="T124" s="498"/>
      <c r="U124" s="498"/>
      <c r="V124" s="498"/>
      <c r="W124" s="498"/>
      <c r="X124" s="498"/>
      <c r="Y124" s="498"/>
      <c r="Z124" s="498"/>
      <c r="AA124" s="498"/>
      <c r="AB124" s="498"/>
      <c r="AC124" s="144"/>
      <c r="AD124" s="144"/>
      <c r="AS124" s="490"/>
    </row>
    <row r="125" spans="1:47" s="2" customFormat="1">
      <c r="A125" s="496"/>
      <c r="C125" s="525"/>
      <c r="D125" s="525"/>
      <c r="E125" s="525"/>
      <c r="F125" s="525"/>
      <c r="G125" s="525"/>
      <c r="H125" s="525"/>
      <c r="I125" s="525"/>
      <c r="J125" s="525"/>
      <c r="K125" s="525"/>
      <c r="L125" s="525"/>
      <c r="M125" s="525"/>
      <c r="N125" s="525"/>
      <c r="O125" s="525"/>
      <c r="P125" s="525"/>
      <c r="Q125" s="525"/>
      <c r="R125" s="525"/>
      <c r="S125" s="525"/>
      <c r="T125" s="525"/>
      <c r="U125" s="525"/>
      <c r="V125" s="525"/>
      <c r="W125" s="525"/>
      <c r="X125" s="525"/>
      <c r="Y125" s="525"/>
      <c r="Z125" s="525"/>
      <c r="AA125" s="525"/>
      <c r="AB125" s="525"/>
      <c r="AD125" s="525"/>
      <c r="AH125" s="525"/>
      <c r="AI125" s="525"/>
      <c r="AL125" s="525"/>
      <c r="AM125" s="525"/>
      <c r="AN125" s="525"/>
      <c r="AO125" s="525"/>
      <c r="AP125" s="525"/>
      <c r="AQ125" s="525"/>
      <c r="AR125" s="525"/>
    </row>
    <row r="126" spans="1:47" s="2" customFormat="1">
      <c r="A126" s="506"/>
      <c r="C126" s="525"/>
      <c r="D126" s="525"/>
      <c r="E126" s="525"/>
      <c r="F126" s="525"/>
      <c r="G126" s="525"/>
      <c r="H126" s="525"/>
      <c r="I126" s="525"/>
      <c r="J126" s="525"/>
      <c r="K126" s="525"/>
      <c r="L126" s="525"/>
      <c r="M126" s="525"/>
      <c r="N126" s="525"/>
      <c r="O126" s="525"/>
      <c r="P126" s="525"/>
      <c r="Q126" s="525"/>
      <c r="R126" s="525"/>
      <c r="S126" s="525"/>
      <c r="T126" s="525"/>
      <c r="U126" s="525"/>
      <c r="V126" s="525"/>
      <c r="W126" s="525"/>
      <c r="X126" s="525"/>
      <c r="Y126" s="525"/>
      <c r="Z126" s="525"/>
      <c r="AA126" s="525"/>
      <c r="AB126" s="525"/>
      <c r="AD126" s="525"/>
      <c r="AE126" s="525"/>
      <c r="AH126" s="525"/>
      <c r="AI126" s="525"/>
      <c r="AN126" s="525"/>
      <c r="AO126" s="525"/>
      <c r="AP126" s="525"/>
      <c r="AQ126" s="525"/>
      <c r="AR126" s="525"/>
    </row>
    <row r="127" spans="1:47" s="2" customFormat="1">
      <c r="A127" s="508"/>
      <c r="C127" s="525"/>
      <c r="D127" s="525"/>
      <c r="E127" s="525"/>
      <c r="F127" s="525"/>
      <c r="G127" s="525"/>
      <c r="H127" s="525"/>
      <c r="I127" s="525"/>
      <c r="J127" s="525"/>
      <c r="K127" s="525"/>
      <c r="L127" s="525"/>
      <c r="M127" s="525"/>
      <c r="N127" s="525"/>
      <c r="O127" s="525"/>
      <c r="P127" s="525"/>
      <c r="Q127" s="525"/>
      <c r="R127" s="525"/>
      <c r="S127" s="525"/>
      <c r="T127" s="525"/>
      <c r="U127" s="525"/>
      <c r="V127" s="525"/>
      <c r="W127" s="525"/>
      <c r="X127" s="525"/>
      <c r="Y127" s="525"/>
      <c r="Z127" s="525"/>
      <c r="AA127" s="525"/>
      <c r="AB127" s="525"/>
      <c r="AC127" s="525"/>
      <c r="AD127" s="525"/>
      <c r="AE127" s="525"/>
      <c r="AH127" s="525"/>
      <c r="AI127" s="525"/>
      <c r="AN127" s="525"/>
      <c r="AO127" s="525"/>
      <c r="AP127" s="525"/>
      <c r="AQ127" s="525"/>
      <c r="AR127" s="525"/>
    </row>
    <row r="128" spans="1:47" s="2" customFormat="1">
      <c r="A128" s="508"/>
      <c r="C128" s="525"/>
      <c r="D128" s="525"/>
      <c r="E128" s="525"/>
      <c r="F128" s="525"/>
      <c r="G128" s="525"/>
      <c r="H128" s="525"/>
      <c r="I128" s="525"/>
      <c r="J128" s="525"/>
      <c r="K128" s="525"/>
      <c r="L128" s="525"/>
      <c r="M128" s="525"/>
      <c r="N128" s="525"/>
      <c r="O128" s="525"/>
      <c r="P128" s="525"/>
      <c r="Q128" s="525"/>
      <c r="R128" s="525"/>
      <c r="S128" s="525"/>
      <c r="T128" s="525"/>
      <c r="U128" s="525"/>
      <c r="V128" s="525"/>
      <c r="W128" s="525"/>
      <c r="X128" s="525"/>
      <c r="Y128" s="525"/>
      <c r="Z128" s="525"/>
      <c r="AA128" s="525"/>
      <c r="AB128" s="525"/>
      <c r="AC128" s="525"/>
      <c r="AD128" s="525"/>
      <c r="AE128" s="525"/>
      <c r="AH128" s="525"/>
      <c r="AI128" s="525"/>
      <c r="AN128" s="525"/>
      <c r="AO128" s="525"/>
      <c r="AP128" s="525"/>
      <c r="AQ128" s="525"/>
      <c r="AR128" s="525"/>
    </row>
    <row r="129" spans="1:46" s="2" customFormat="1">
      <c r="A129" s="508"/>
      <c r="C129" s="525"/>
      <c r="D129" s="525"/>
      <c r="E129" s="525"/>
      <c r="F129" s="525"/>
      <c r="G129" s="525"/>
      <c r="H129" s="525"/>
      <c r="I129" s="525"/>
      <c r="J129" s="525"/>
      <c r="K129" s="525"/>
      <c r="L129" s="525"/>
      <c r="M129" s="525"/>
      <c r="N129" s="525"/>
      <c r="O129" s="525"/>
      <c r="P129" s="525"/>
      <c r="Q129" s="525"/>
      <c r="R129" s="525"/>
      <c r="S129" s="525"/>
      <c r="T129" s="525"/>
      <c r="U129" s="525"/>
      <c r="V129" s="525"/>
      <c r="W129" s="525"/>
      <c r="X129" s="525"/>
      <c r="Y129" s="525"/>
      <c r="Z129" s="525"/>
      <c r="AA129" s="525"/>
      <c r="AB129" s="525"/>
      <c r="AC129" s="525"/>
      <c r="AD129" s="525"/>
      <c r="AE129" s="525"/>
      <c r="AH129" s="525"/>
      <c r="AI129" s="525"/>
      <c r="AN129" s="525"/>
      <c r="AO129" s="525"/>
      <c r="AP129" s="525"/>
      <c r="AQ129" s="525"/>
      <c r="AR129" s="525"/>
    </row>
    <row r="130" spans="1:46" s="2" customFormat="1">
      <c r="A130" s="508"/>
      <c r="C130" s="525"/>
      <c r="D130" s="525"/>
      <c r="E130" s="525"/>
      <c r="F130" s="525"/>
      <c r="G130" s="525"/>
      <c r="H130" s="525"/>
      <c r="I130" s="525"/>
      <c r="J130" s="525"/>
      <c r="K130" s="525"/>
      <c r="L130" s="525"/>
      <c r="M130" s="525"/>
      <c r="N130" s="525"/>
      <c r="O130" s="525"/>
      <c r="P130" s="525"/>
      <c r="Q130" s="525"/>
      <c r="R130" s="525"/>
      <c r="S130" s="525"/>
      <c r="T130" s="525"/>
      <c r="U130" s="525"/>
      <c r="V130" s="525"/>
      <c r="W130" s="525"/>
      <c r="X130" s="525"/>
      <c r="Y130" s="525"/>
      <c r="Z130" s="525"/>
      <c r="AA130" s="525"/>
      <c r="AB130" s="525"/>
      <c r="AC130" s="525"/>
      <c r="AD130" s="525"/>
      <c r="AE130" s="525"/>
      <c r="AH130" s="525"/>
      <c r="AI130" s="525"/>
      <c r="AN130" s="525"/>
      <c r="AO130" s="525"/>
      <c r="AP130" s="525"/>
      <c r="AQ130" s="525"/>
      <c r="AR130" s="525"/>
    </row>
    <row r="131" spans="1:46" s="2" customFormat="1">
      <c r="A131" s="508"/>
      <c r="C131" s="525"/>
      <c r="D131" s="525"/>
      <c r="E131" s="525"/>
      <c r="F131" s="525"/>
      <c r="G131" s="525"/>
      <c r="H131" s="525"/>
      <c r="I131" s="525"/>
      <c r="J131" s="525"/>
      <c r="K131" s="525"/>
      <c r="L131" s="525"/>
      <c r="M131" s="525"/>
      <c r="N131" s="525"/>
      <c r="O131" s="525"/>
      <c r="P131" s="525"/>
      <c r="Q131" s="525"/>
      <c r="R131" s="525"/>
      <c r="S131" s="525"/>
      <c r="T131" s="525"/>
      <c r="U131" s="525"/>
      <c r="V131" s="525"/>
      <c r="W131" s="525"/>
      <c r="X131" s="525"/>
      <c r="Y131" s="525"/>
      <c r="Z131" s="525"/>
      <c r="AA131" s="525"/>
      <c r="AB131" s="525"/>
      <c r="AC131" s="525"/>
      <c r="AD131" s="525"/>
      <c r="AE131" s="525"/>
      <c r="AH131" s="525"/>
      <c r="AI131" s="525"/>
      <c r="AN131" s="525"/>
      <c r="AO131" s="525"/>
      <c r="AP131" s="525"/>
      <c r="AQ131" s="525"/>
      <c r="AR131" s="525"/>
    </row>
    <row r="132" spans="1:46" s="2" customFormat="1">
      <c r="A132" s="508"/>
      <c r="C132" s="525"/>
      <c r="D132" s="525"/>
      <c r="E132" s="525"/>
      <c r="F132" s="525"/>
      <c r="G132" s="525"/>
      <c r="H132" s="525"/>
      <c r="I132" s="525"/>
      <c r="J132" s="525"/>
      <c r="K132" s="525"/>
      <c r="L132" s="525"/>
      <c r="M132" s="525"/>
      <c r="N132" s="525"/>
      <c r="O132" s="525"/>
      <c r="P132" s="525"/>
      <c r="Q132" s="525"/>
      <c r="R132" s="525"/>
      <c r="S132" s="525"/>
      <c r="T132" s="525"/>
      <c r="U132" s="525"/>
      <c r="V132" s="525"/>
      <c r="W132" s="525"/>
      <c r="X132" s="525"/>
      <c r="Y132" s="525"/>
      <c r="Z132" s="525"/>
      <c r="AA132" s="525"/>
      <c r="AB132" s="525"/>
      <c r="AC132" s="525"/>
      <c r="AD132" s="525"/>
      <c r="AE132" s="525"/>
      <c r="AH132" s="525"/>
      <c r="AI132" s="525"/>
      <c r="AN132" s="525"/>
      <c r="AO132" s="525"/>
      <c r="AP132" s="525"/>
      <c r="AQ132" s="525"/>
      <c r="AR132" s="525"/>
    </row>
    <row r="133" spans="1:46" s="2" customFormat="1">
      <c r="A133" s="508"/>
      <c r="C133" s="525"/>
      <c r="D133" s="525"/>
      <c r="E133" s="525"/>
      <c r="F133" s="525"/>
      <c r="G133" s="525"/>
      <c r="H133" s="525"/>
      <c r="I133" s="525"/>
      <c r="J133" s="525"/>
      <c r="K133" s="525"/>
      <c r="L133" s="525"/>
      <c r="M133" s="525"/>
      <c r="N133" s="525"/>
      <c r="O133" s="525"/>
      <c r="P133" s="525"/>
      <c r="Q133" s="525"/>
      <c r="R133" s="525"/>
      <c r="S133" s="525"/>
      <c r="T133" s="525"/>
      <c r="U133" s="525"/>
      <c r="V133" s="525"/>
      <c r="W133" s="525"/>
      <c r="X133" s="525"/>
      <c r="Y133" s="525"/>
      <c r="Z133" s="525"/>
      <c r="AA133" s="525"/>
      <c r="AB133" s="525"/>
      <c r="AC133" s="525"/>
      <c r="AD133" s="525"/>
      <c r="AE133" s="525"/>
      <c r="AH133" s="525"/>
      <c r="AI133" s="525"/>
      <c r="AN133" s="525"/>
      <c r="AO133" s="525"/>
      <c r="AP133" s="525"/>
      <c r="AQ133" s="525"/>
      <c r="AR133" s="525"/>
    </row>
    <row r="134" spans="1:46" s="2" customFormat="1">
      <c r="A134" s="508"/>
      <c r="C134" s="525"/>
      <c r="D134" s="525"/>
      <c r="E134" s="525"/>
      <c r="F134" s="525"/>
      <c r="G134" s="525"/>
      <c r="H134" s="525"/>
      <c r="I134" s="525"/>
      <c r="J134" s="525"/>
      <c r="K134" s="525"/>
      <c r="L134" s="525"/>
      <c r="M134" s="525"/>
      <c r="N134" s="525"/>
      <c r="O134" s="525"/>
      <c r="P134" s="525"/>
      <c r="Q134" s="525"/>
      <c r="R134" s="525"/>
      <c r="S134" s="525"/>
      <c r="T134" s="525"/>
      <c r="U134" s="525"/>
      <c r="V134" s="525"/>
      <c r="W134" s="525"/>
      <c r="X134" s="525"/>
      <c r="Y134" s="525"/>
      <c r="Z134" s="525"/>
      <c r="AA134" s="525"/>
      <c r="AB134" s="525"/>
      <c r="AC134" s="525"/>
      <c r="AD134" s="525"/>
      <c r="AE134" s="525"/>
      <c r="AH134" s="525"/>
      <c r="AI134" s="525"/>
      <c r="AN134" s="525"/>
      <c r="AO134" s="525"/>
      <c r="AP134" s="525"/>
      <c r="AQ134" s="525"/>
      <c r="AR134" s="525"/>
    </row>
    <row r="135" spans="1:46" s="2" customFormat="1" ht="22.5" customHeight="1">
      <c r="A135" s="496"/>
      <c r="B135" s="515"/>
      <c r="C135" s="498"/>
      <c r="D135" s="498"/>
      <c r="E135" s="498"/>
      <c r="F135" s="498"/>
      <c r="G135" s="498"/>
      <c r="H135" s="498"/>
      <c r="I135" s="498"/>
      <c r="J135" s="498"/>
      <c r="K135" s="498"/>
      <c r="L135" s="498"/>
      <c r="M135" s="498"/>
      <c r="N135" s="498"/>
      <c r="O135" s="498"/>
      <c r="P135" s="498"/>
      <c r="Q135" s="498"/>
      <c r="R135" s="498"/>
      <c r="S135" s="498"/>
      <c r="T135" s="498"/>
      <c r="U135" s="498"/>
      <c r="V135" s="498"/>
      <c r="W135" s="498"/>
      <c r="X135" s="498"/>
      <c r="Y135" s="498"/>
      <c r="Z135" s="498"/>
      <c r="AA135" s="498"/>
      <c r="AB135" s="498"/>
      <c r="AC135" s="144"/>
      <c r="AD135" s="144"/>
      <c r="AE135" s="525"/>
    </row>
    <row r="136" spans="1:46" s="2" customFormat="1">
      <c r="A136" s="496"/>
      <c r="C136" s="525"/>
      <c r="D136" s="525"/>
      <c r="E136" s="525"/>
      <c r="F136" s="525"/>
      <c r="G136" s="525"/>
      <c r="H136" s="525"/>
      <c r="I136" s="525"/>
      <c r="J136" s="525"/>
      <c r="K136" s="525"/>
      <c r="L136" s="525"/>
      <c r="M136" s="525"/>
      <c r="N136" s="536"/>
      <c r="O136" s="488"/>
      <c r="P136" s="488"/>
      <c r="Q136" s="488"/>
      <c r="R136" s="488"/>
      <c r="S136" s="488"/>
      <c r="T136" s="488"/>
      <c r="U136" s="488"/>
      <c r="V136" s="488"/>
      <c r="W136" s="488"/>
      <c r="X136" s="488"/>
      <c r="Y136" s="488"/>
      <c r="Z136" s="488"/>
      <c r="AA136" s="488"/>
      <c r="AB136" s="488"/>
      <c r="AC136" s="488"/>
      <c r="AD136" s="488"/>
      <c r="AE136" s="488"/>
      <c r="AF136" s="488"/>
      <c r="AG136" s="488"/>
      <c r="AH136" s="488"/>
      <c r="AI136" s="488"/>
      <c r="AJ136" s="521"/>
      <c r="AK136" s="521"/>
      <c r="AL136" s="525"/>
      <c r="AM136" s="525"/>
      <c r="AN136" s="525"/>
      <c r="AO136" s="525"/>
      <c r="AP136" s="525"/>
      <c r="AQ136" s="525"/>
      <c r="AR136" s="525"/>
      <c r="AS136" s="521"/>
      <c r="AT136" s="521"/>
    </row>
    <row r="137" spans="1:46" s="2" customFormat="1">
      <c r="A137" s="506"/>
      <c r="C137" s="498"/>
      <c r="D137" s="498"/>
      <c r="E137" s="498"/>
      <c r="F137" s="498"/>
      <c r="G137" s="498"/>
      <c r="H137" s="498"/>
      <c r="I137" s="498"/>
      <c r="J137" s="498"/>
      <c r="K137" s="498"/>
      <c r="L137" s="498"/>
      <c r="M137" s="498"/>
      <c r="N137" s="498"/>
      <c r="O137" s="498"/>
      <c r="P137" s="498"/>
      <c r="Q137" s="498"/>
      <c r="R137" s="498"/>
      <c r="S137" s="498"/>
      <c r="T137" s="498"/>
      <c r="U137" s="498"/>
      <c r="V137" s="498"/>
      <c r="W137" s="498"/>
      <c r="X137" s="498"/>
      <c r="Y137" s="498"/>
      <c r="Z137" s="498"/>
      <c r="AA137" s="498"/>
      <c r="AB137" s="498"/>
      <c r="AD137" s="507"/>
      <c r="AE137" s="525"/>
      <c r="AH137" s="525"/>
      <c r="AI137" s="525"/>
      <c r="AN137" s="525"/>
      <c r="AO137" s="525"/>
      <c r="AP137" s="525"/>
      <c r="AQ137" s="525"/>
      <c r="AR137" s="525"/>
    </row>
    <row r="138" spans="1:46" s="2" customFormat="1">
      <c r="A138" s="508"/>
      <c r="C138" s="525"/>
      <c r="D138" s="525"/>
      <c r="E138" s="525"/>
      <c r="F138" s="525"/>
      <c r="G138" s="525"/>
      <c r="H138" s="525"/>
      <c r="I138" s="525"/>
      <c r="J138" s="525"/>
      <c r="K138" s="525"/>
      <c r="L138" s="525"/>
      <c r="M138" s="525"/>
      <c r="N138" s="525"/>
      <c r="O138" s="525"/>
      <c r="P138" s="525"/>
      <c r="Q138" s="525"/>
      <c r="R138" s="525"/>
      <c r="S138" s="525"/>
      <c r="T138" s="525"/>
      <c r="U138" s="525"/>
      <c r="V138" s="525"/>
      <c r="W138" s="525"/>
      <c r="X138" s="525"/>
      <c r="Y138" s="525"/>
      <c r="Z138" s="525"/>
      <c r="AA138" s="525"/>
      <c r="AB138" s="525"/>
      <c r="AC138" s="525"/>
      <c r="AD138" s="525"/>
      <c r="AE138" s="525"/>
      <c r="AH138" s="525"/>
      <c r="AI138" s="525"/>
      <c r="AN138" s="525"/>
      <c r="AO138" s="525"/>
      <c r="AP138" s="525"/>
      <c r="AQ138" s="525"/>
      <c r="AR138" s="525"/>
    </row>
    <row r="139" spans="1:46" s="2" customFormat="1">
      <c r="A139" s="508"/>
      <c r="C139" s="525"/>
      <c r="D139" s="525"/>
      <c r="E139" s="525"/>
      <c r="F139" s="525"/>
      <c r="G139" s="525"/>
      <c r="H139" s="525"/>
      <c r="I139" s="525"/>
      <c r="J139" s="525"/>
      <c r="K139" s="525"/>
      <c r="L139" s="525"/>
      <c r="M139" s="525"/>
      <c r="N139" s="525"/>
      <c r="O139" s="525"/>
      <c r="P139" s="525"/>
      <c r="Q139" s="525"/>
      <c r="R139" s="525"/>
      <c r="S139" s="525"/>
      <c r="T139" s="525"/>
      <c r="U139" s="525"/>
      <c r="V139" s="525"/>
      <c r="W139" s="525"/>
      <c r="X139" s="525"/>
      <c r="Y139" s="525"/>
      <c r="Z139" s="525"/>
      <c r="AA139" s="525"/>
      <c r="AB139" s="525"/>
      <c r="AC139" s="525"/>
      <c r="AD139" s="525"/>
      <c r="AE139" s="525"/>
      <c r="AH139" s="525"/>
      <c r="AI139" s="525"/>
      <c r="AN139" s="525"/>
      <c r="AO139" s="525"/>
      <c r="AP139" s="525"/>
      <c r="AQ139" s="525"/>
      <c r="AR139" s="525"/>
    </row>
    <row r="140" spans="1:46" s="2" customFormat="1">
      <c r="A140" s="508"/>
      <c r="C140" s="525"/>
      <c r="D140" s="525"/>
      <c r="E140" s="525"/>
      <c r="F140" s="525"/>
      <c r="G140" s="525"/>
      <c r="H140" s="525"/>
      <c r="I140" s="525"/>
      <c r="J140" s="525"/>
      <c r="K140" s="525"/>
      <c r="L140" s="525"/>
      <c r="M140" s="525"/>
      <c r="N140" s="525"/>
      <c r="O140" s="525"/>
      <c r="P140" s="525"/>
      <c r="Q140" s="525"/>
      <c r="R140" s="525"/>
      <c r="S140" s="525"/>
      <c r="T140" s="525"/>
      <c r="U140" s="525"/>
      <c r="V140" s="525"/>
      <c r="W140" s="525"/>
      <c r="X140" s="525"/>
      <c r="Y140" s="525"/>
      <c r="Z140" s="525"/>
      <c r="AA140" s="525"/>
      <c r="AB140" s="525"/>
      <c r="AC140" s="525"/>
      <c r="AD140" s="525"/>
      <c r="AE140" s="525"/>
      <c r="AH140" s="525"/>
      <c r="AI140" s="525"/>
      <c r="AN140" s="525"/>
      <c r="AO140" s="525"/>
      <c r="AP140" s="525"/>
      <c r="AQ140" s="525"/>
      <c r="AR140" s="525"/>
    </row>
    <row r="141" spans="1:46" s="2" customFormat="1">
      <c r="A141" s="508"/>
      <c r="C141" s="525"/>
      <c r="D141" s="525"/>
      <c r="E141" s="525"/>
      <c r="F141" s="525"/>
      <c r="G141" s="525"/>
      <c r="H141" s="525"/>
      <c r="I141" s="525"/>
      <c r="J141" s="525"/>
      <c r="K141" s="525"/>
      <c r="L141" s="525"/>
      <c r="M141" s="525"/>
      <c r="N141" s="525"/>
      <c r="O141" s="525"/>
      <c r="P141" s="525"/>
      <c r="Q141" s="525"/>
      <c r="R141" s="525"/>
      <c r="S141" s="525"/>
      <c r="T141" s="525"/>
      <c r="U141" s="525"/>
      <c r="V141" s="525"/>
      <c r="W141" s="525"/>
      <c r="X141" s="525"/>
      <c r="Y141" s="525"/>
      <c r="Z141" s="525"/>
      <c r="AA141" s="525"/>
      <c r="AB141" s="525"/>
      <c r="AC141" s="525"/>
      <c r="AD141" s="525"/>
      <c r="AE141" s="525"/>
      <c r="AH141" s="525"/>
      <c r="AI141" s="525"/>
      <c r="AN141" s="525"/>
      <c r="AO141" s="525"/>
      <c r="AP141" s="525"/>
      <c r="AQ141" s="525"/>
      <c r="AR141" s="525"/>
    </row>
    <row r="142" spans="1:46" s="2" customFormat="1">
      <c r="A142" s="508"/>
      <c r="C142" s="525"/>
      <c r="D142" s="525"/>
      <c r="E142" s="525"/>
      <c r="F142" s="525"/>
      <c r="G142" s="525"/>
      <c r="H142" s="525"/>
      <c r="I142" s="525"/>
      <c r="J142" s="525"/>
      <c r="K142" s="525"/>
      <c r="L142" s="525"/>
      <c r="M142" s="525"/>
      <c r="N142" s="525"/>
      <c r="O142" s="525"/>
      <c r="P142" s="525"/>
      <c r="Q142" s="525"/>
      <c r="R142" s="525"/>
      <c r="S142" s="525"/>
      <c r="T142" s="525"/>
      <c r="U142" s="525"/>
      <c r="V142" s="525"/>
      <c r="W142" s="525"/>
      <c r="X142" s="525"/>
      <c r="Y142" s="525"/>
      <c r="Z142" s="525"/>
      <c r="AA142" s="525"/>
      <c r="AB142" s="525"/>
      <c r="AC142" s="525"/>
      <c r="AD142" s="525"/>
      <c r="AE142" s="525"/>
      <c r="AH142" s="525"/>
      <c r="AI142" s="525"/>
      <c r="AN142" s="525"/>
      <c r="AO142" s="525"/>
      <c r="AP142" s="525"/>
      <c r="AQ142" s="525"/>
      <c r="AR142" s="525"/>
    </row>
    <row r="143" spans="1:46" s="2" customFormat="1">
      <c r="A143" s="508"/>
      <c r="C143" s="525"/>
      <c r="D143" s="525"/>
      <c r="E143" s="525"/>
      <c r="F143" s="525"/>
      <c r="G143" s="525"/>
      <c r="H143" s="525"/>
      <c r="I143" s="525"/>
      <c r="J143" s="525"/>
      <c r="K143" s="525"/>
      <c r="L143" s="525"/>
      <c r="M143" s="525"/>
      <c r="N143" s="525"/>
      <c r="O143" s="525"/>
      <c r="P143" s="525"/>
      <c r="Q143" s="525"/>
      <c r="R143" s="525"/>
      <c r="S143" s="525"/>
      <c r="T143" s="525"/>
      <c r="U143" s="525"/>
      <c r="V143" s="525"/>
      <c r="W143" s="525"/>
      <c r="X143" s="525"/>
      <c r="Y143" s="525"/>
      <c r="Z143" s="525"/>
      <c r="AA143" s="525"/>
      <c r="AB143" s="525"/>
      <c r="AC143" s="525"/>
      <c r="AD143" s="525"/>
      <c r="AE143" s="525"/>
      <c r="AH143" s="525"/>
      <c r="AI143" s="525"/>
      <c r="AN143" s="525"/>
      <c r="AO143" s="525"/>
      <c r="AP143" s="525"/>
      <c r="AQ143" s="525"/>
      <c r="AR143" s="525"/>
    </row>
    <row r="144" spans="1:46" s="2" customFormat="1">
      <c r="A144" s="508"/>
      <c r="C144" s="525"/>
      <c r="D144" s="525"/>
      <c r="E144" s="525"/>
      <c r="F144" s="525"/>
      <c r="G144" s="525"/>
      <c r="H144" s="525"/>
      <c r="I144" s="525"/>
      <c r="J144" s="525"/>
      <c r="K144" s="525"/>
      <c r="L144" s="525"/>
      <c r="M144" s="525"/>
      <c r="N144" s="525"/>
      <c r="O144" s="525"/>
      <c r="P144" s="525"/>
      <c r="Q144" s="525"/>
      <c r="R144" s="525"/>
      <c r="S144" s="525"/>
      <c r="T144" s="525"/>
      <c r="U144" s="525"/>
      <c r="V144" s="525"/>
      <c r="W144" s="525"/>
      <c r="X144" s="525"/>
      <c r="Y144" s="525"/>
      <c r="Z144" s="525"/>
      <c r="AA144" s="525"/>
      <c r="AB144" s="525"/>
      <c r="AC144" s="525"/>
      <c r="AD144" s="525"/>
      <c r="AE144" s="525"/>
      <c r="AH144" s="525"/>
      <c r="AI144" s="525"/>
      <c r="AN144" s="525"/>
      <c r="AO144" s="525"/>
      <c r="AP144" s="525"/>
      <c r="AQ144" s="525"/>
      <c r="AR144" s="525"/>
    </row>
    <row r="145" spans="1:44" s="2" customFormat="1">
      <c r="A145" s="508"/>
      <c r="C145" s="525"/>
      <c r="D145" s="525"/>
      <c r="E145" s="525"/>
      <c r="F145" s="525"/>
      <c r="G145" s="525"/>
      <c r="H145" s="525"/>
      <c r="I145" s="525"/>
      <c r="J145" s="525"/>
      <c r="K145" s="525"/>
      <c r="L145" s="525"/>
      <c r="M145" s="525"/>
      <c r="N145" s="525"/>
      <c r="O145" s="525"/>
      <c r="P145" s="525"/>
      <c r="Q145" s="525"/>
      <c r="R145" s="525"/>
      <c r="S145" s="525"/>
      <c r="T145" s="525"/>
      <c r="U145" s="525"/>
      <c r="V145" s="525"/>
      <c r="W145" s="525"/>
      <c r="X145" s="525"/>
      <c r="Y145" s="525"/>
      <c r="Z145" s="525"/>
      <c r="AA145" s="525"/>
      <c r="AB145" s="525"/>
      <c r="AC145" s="525"/>
      <c r="AD145" s="525"/>
      <c r="AE145" s="525"/>
      <c r="AH145" s="525"/>
      <c r="AI145" s="525"/>
      <c r="AN145" s="525"/>
      <c r="AO145" s="525"/>
      <c r="AP145" s="525"/>
      <c r="AQ145" s="525"/>
      <c r="AR145" s="525"/>
    </row>
    <row r="146" spans="1:44" s="2" customFormat="1">
      <c r="A146" s="496"/>
      <c r="B146" s="515"/>
      <c r="C146" s="498"/>
      <c r="D146" s="498"/>
      <c r="E146" s="498"/>
      <c r="F146" s="498"/>
      <c r="G146" s="498"/>
      <c r="H146" s="498"/>
      <c r="I146" s="498"/>
      <c r="J146" s="498"/>
      <c r="K146" s="498"/>
      <c r="L146" s="498"/>
      <c r="M146" s="498"/>
      <c r="N146" s="498"/>
      <c r="O146" s="498"/>
      <c r="P146" s="498"/>
      <c r="Q146" s="498"/>
      <c r="R146" s="498"/>
      <c r="S146" s="498"/>
      <c r="T146" s="498"/>
      <c r="U146" s="498"/>
      <c r="V146" s="498"/>
      <c r="W146" s="498"/>
      <c r="X146" s="498"/>
      <c r="Y146" s="498"/>
      <c r="Z146" s="498"/>
      <c r="AA146" s="498"/>
      <c r="AB146" s="498"/>
      <c r="AC146" s="144"/>
      <c r="AD146" s="144"/>
    </row>
    <row r="147" spans="1:44" s="2" customFormat="1">
      <c r="A147" s="496"/>
      <c r="C147" s="525"/>
      <c r="D147" s="525"/>
      <c r="E147" s="525"/>
      <c r="F147" s="525"/>
      <c r="G147" s="525"/>
      <c r="H147" s="525"/>
      <c r="I147" s="525"/>
      <c r="J147" s="525"/>
      <c r="K147" s="525"/>
      <c r="L147" s="525"/>
      <c r="M147" s="525"/>
      <c r="N147" s="525"/>
      <c r="O147" s="525"/>
      <c r="P147" s="525"/>
      <c r="Q147" s="525"/>
      <c r="R147" s="525"/>
      <c r="S147" s="525"/>
      <c r="T147" s="525"/>
      <c r="U147" s="525"/>
      <c r="V147" s="525"/>
      <c r="W147" s="525"/>
      <c r="X147" s="525"/>
      <c r="Y147" s="525"/>
      <c r="Z147" s="525"/>
      <c r="AA147" s="525"/>
      <c r="AB147" s="525"/>
      <c r="AD147" s="525"/>
      <c r="AE147" s="525"/>
      <c r="AG147" s="525"/>
      <c r="AH147" s="525"/>
      <c r="AI147" s="537"/>
      <c r="AJ147" s="526"/>
      <c r="AN147" s="525"/>
      <c r="AO147" s="525"/>
      <c r="AP147" s="525"/>
      <c r="AQ147" s="525"/>
      <c r="AR147" s="525"/>
    </row>
    <row r="148" spans="1:44" s="2" customFormat="1">
      <c r="A148" s="506"/>
      <c r="C148" s="525"/>
      <c r="D148" s="525"/>
      <c r="E148" s="525"/>
      <c r="F148" s="525"/>
      <c r="G148" s="525"/>
      <c r="H148" s="525"/>
      <c r="I148" s="525"/>
      <c r="J148" s="525"/>
      <c r="K148" s="525"/>
      <c r="L148" s="525"/>
      <c r="M148" s="525"/>
      <c r="N148" s="525"/>
      <c r="O148" s="525"/>
      <c r="P148" s="525"/>
      <c r="Q148" s="525"/>
      <c r="R148" s="525"/>
      <c r="S148" s="525"/>
      <c r="T148" s="525"/>
      <c r="U148" s="525"/>
      <c r="V148" s="525"/>
      <c r="W148" s="525"/>
      <c r="X148" s="525"/>
      <c r="Y148" s="525"/>
      <c r="Z148" s="525"/>
      <c r="AA148" s="525"/>
      <c r="AB148" s="525"/>
      <c r="AD148" s="525"/>
      <c r="AE148" s="525"/>
      <c r="AG148" s="525"/>
      <c r="AH148" s="525"/>
      <c r="AI148" s="537"/>
      <c r="AN148" s="525"/>
      <c r="AO148" s="525"/>
      <c r="AP148" s="525"/>
      <c r="AQ148" s="525"/>
      <c r="AR148" s="525"/>
    </row>
    <row r="149" spans="1:44" s="2" customFormat="1">
      <c r="A149" s="508"/>
      <c r="C149" s="525"/>
      <c r="D149" s="525"/>
      <c r="E149" s="525"/>
      <c r="F149" s="525"/>
      <c r="G149" s="525"/>
      <c r="H149" s="525"/>
      <c r="I149" s="525"/>
      <c r="J149" s="525"/>
      <c r="K149" s="525"/>
      <c r="L149" s="525"/>
      <c r="M149" s="525"/>
      <c r="N149" s="525"/>
      <c r="O149" s="525"/>
      <c r="P149" s="525"/>
      <c r="Q149" s="525"/>
      <c r="R149" s="525"/>
      <c r="S149" s="525"/>
      <c r="T149" s="525"/>
      <c r="U149" s="525"/>
      <c r="V149" s="525"/>
      <c r="W149" s="525"/>
      <c r="X149" s="525"/>
      <c r="Y149" s="525"/>
      <c r="Z149" s="525"/>
      <c r="AA149" s="525"/>
      <c r="AB149" s="525"/>
      <c r="AC149" s="525"/>
      <c r="AD149" s="525"/>
      <c r="AE149" s="525"/>
      <c r="AF149" s="525"/>
      <c r="AG149" s="525"/>
      <c r="AH149" s="525"/>
      <c r="AI149" s="537"/>
      <c r="AJ149" s="537"/>
      <c r="AN149" s="525"/>
      <c r="AO149" s="525"/>
      <c r="AP149" s="525"/>
      <c r="AQ149" s="525"/>
      <c r="AR149" s="525"/>
    </row>
    <row r="150" spans="1:44" s="2" customFormat="1">
      <c r="A150" s="508"/>
      <c r="C150" s="525"/>
      <c r="D150" s="525"/>
      <c r="E150" s="525"/>
      <c r="F150" s="525"/>
      <c r="G150" s="525"/>
      <c r="H150" s="525"/>
      <c r="I150" s="525"/>
      <c r="J150" s="525"/>
      <c r="K150" s="525"/>
      <c r="L150" s="525"/>
      <c r="M150" s="525"/>
      <c r="N150" s="525"/>
      <c r="O150" s="525"/>
      <c r="P150" s="525"/>
      <c r="Q150" s="525"/>
      <c r="R150" s="525"/>
      <c r="S150" s="525"/>
      <c r="T150" s="525"/>
      <c r="U150" s="525"/>
      <c r="V150" s="525"/>
      <c r="W150" s="525"/>
      <c r="X150" s="525"/>
      <c r="Y150" s="525"/>
      <c r="Z150" s="525"/>
      <c r="AA150" s="525"/>
      <c r="AB150" s="525"/>
      <c r="AC150" s="525"/>
      <c r="AD150" s="525"/>
      <c r="AE150" s="525"/>
      <c r="AF150" s="525"/>
      <c r="AG150" s="525"/>
      <c r="AH150" s="525"/>
      <c r="AI150" s="537"/>
      <c r="AJ150" s="537"/>
      <c r="AN150" s="525"/>
      <c r="AO150" s="525"/>
      <c r="AP150" s="525"/>
      <c r="AQ150" s="525"/>
      <c r="AR150" s="525"/>
    </row>
    <row r="151" spans="1:44" s="2" customFormat="1">
      <c r="A151" s="508"/>
      <c r="C151" s="525"/>
      <c r="D151" s="525"/>
      <c r="E151" s="525"/>
      <c r="F151" s="525"/>
      <c r="G151" s="525"/>
      <c r="H151" s="525"/>
      <c r="I151" s="525"/>
      <c r="J151" s="525"/>
      <c r="K151" s="525"/>
      <c r="L151" s="525"/>
      <c r="M151" s="525"/>
      <c r="N151" s="525"/>
      <c r="O151" s="525"/>
      <c r="P151" s="525"/>
      <c r="Q151" s="525"/>
      <c r="R151" s="525"/>
      <c r="S151" s="525"/>
      <c r="T151" s="525"/>
      <c r="U151" s="525"/>
      <c r="V151" s="525"/>
      <c r="W151" s="525"/>
      <c r="X151" s="525"/>
      <c r="Y151" s="525"/>
      <c r="Z151" s="525"/>
      <c r="AA151" s="525"/>
      <c r="AB151" s="525"/>
      <c r="AC151" s="525"/>
      <c r="AD151" s="525"/>
      <c r="AE151" s="525"/>
      <c r="AF151" s="525"/>
      <c r="AG151" s="525"/>
      <c r="AH151" s="525"/>
      <c r="AI151" s="537"/>
      <c r="AJ151" s="537"/>
      <c r="AN151" s="525"/>
      <c r="AO151" s="525"/>
      <c r="AP151" s="525"/>
      <c r="AQ151" s="525"/>
      <c r="AR151" s="525"/>
    </row>
    <row r="152" spans="1:44" s="2" customFormat="1">
      <c r="A152" s="508"/>
      <c r="C152" s="525"/>
      <c r="D152" s="525"/>
      <c r="E152" s="525"/>
      <c r="F152" s="525"/>
      <c r="G152" s="525"/>
      <c r="H152" s="525"/>
      <c r="I152" s="525"/>
      <c r="J152" s="525"/>
      <c r="K152" s="525"/>
      <c r="L152" s="525"/>
      <c r="M152" s="525"/>
      <c r="N152" s="525"/>
      <c r="O152" s="525"/>
      <c r="P152" s="525"/>
      <c r="Q152" s="525"/>
      <c r="R152" s="525"/>
      <c r="S152" s="525"/>
      <c r="T152" s="525"/>
      <c r="U152" s="525"/>
      <c r="V152" s="525"/>
      <c r="W152" s="525"/>
      <c r="X152" s="525"/>
      <c r="Y152" s="525"/>
      <c r="Z152" s="525"/>
      <c r="AA152" s="525"/>
      <c r="AB152" s="525"/>
      <c r="AC152" s="525"/>
      <c r="AD152" s="525"/>
      <c r="AE152" s="525"/>
      <c r="AF152" s="525"/>
      <c r="AG152" s="525"/>
      <c r="AH152" s="525"/>
      <c r="AI152" s="537"/>
      <c r="AJ152" s="537"/>
      <c r="AN152" s="525"/>
      <c r="AO152" s="525"/>
      <c r="AP152" s="525"/>
      <c r="AQ152" s="525"/>
      <c r="AR152" s="525"/>
    </row>
    <row r="153" spans="1:44" s="2" customFormat="1">
      <c r="A153" s="508"/>
      <c r="C153" s="525"/>
      <c r="D153" s="525"/>
      <c r="E153" s="525"/>
      <c r="F153" s="525"/>
      <c r="G153" s="525"/>
      <c r="H153" s="525"/>
      <c r="I153" s="525"/>
      <c r="J153" s="525"/>
      <c r="K153" s="525"/>
      <c r="L153" s="525"/>
      <c r="M153" s="525"/>
      <c r="N153" s="525"/>
      <c r="O153" s="525"/>
      <c r="P153" s="525"/>
      <c r="Q153" s="525"/>
      <c r="R153" s="525"/>
      <c r="S153" s="525"/>
      <c r="T153" s="525"/>
      <c r="U153" s="525"/>
      <c r="V153" s="525"/>
      <c r="W153" s="525"/>
      <c r="X153" s="525"/>
      <c r="Y153" s="525"/>
      <c r="Z153" s="525"/>
      <c r="AA153" s="525"/>
      <c r="AB153" s="525"/>
      <c r="AC153" s="525"/>
      <c r="AD153" s="525"/>
      <c r="AE153" s="525"/>
      <c r="AF153" s="525"/>
      <c r="AG153" s="525"/>
      <c r="AH153" s="525"/>
      <c r="AI153" s="537"/>
      <c r="AJ153" s="537"/>
      <c r="AN153" s="525"/>
      <c r="AO153" s="525"/>
      <c r="AP153" s="525"/>
      <c r="AQ153" s="525"/>
      <c r="AR153" s="525"/>
    </row>
    <row r="154" spans="1:44" s="2" customFormat="1">
      <c r="A154" s="508"/>
      <c r="C154" s="525"/>
      <c r="D154" s="525"/>
      <c r="E154" s="525"/>
      <c r="F154" s="525"/>
      <c r="G154" s="525"/>
      <c r="H154" s="525"/>
      <c r="I154" s="525"/>
      <c r="J154" s="525"/>
      <c r="K154" s="525"/>
      <c r="L154" s="525"/>
      <c r="M154" s="525"/>
      <c r="N154" s="525"/>
      <c r="O154" s="525"/>
      <c r="P154" s="525"/>
      <c r="Q154" s="525"/>
      <c r="R154" s="525"/>
      <c r="S154" s="525"/>
      <c r="T154" s="525"/>
      <c r="U154" s="525"/>
      <c r="V154" s="525"/>
      <c r="W154" s="525"/>
      <c r="X154" s="525"/>
      <c r="Y154" s="525"/>
      <c r="Z154" s="525"/>
      <c r="AA154" s="525"/>
      <c r="AB154" s="525"/>
      <c r="AC154" s="525"/>
      <c r="AD154" s="525"/>
      <c r="AE154" s="525"/>
      <c r="AF154" s="525"/>
      <c r="AG154" s="525"/>
      <c r="AH154" s="525"/>
      <c r="AI154" s="537"/>
      <c r="AJ154" s="537"/>
      <c r="AN154" s="525"/>
      <c r="AO154" s="525"/>
      <c r="AP154" s="525"/>
      <c r="AQ154" s="525"/>
      <c r="AR154" s="525"/>
    </row>
    <row r="155" spans="1:44" s="2" customFormat="1">
      <c r="A155" s="508"/>
      <c r="C155" s="525"/>
      <c r="D155" s="525"/>
      <c r="E155" s="525"/>
      <c r="F155" s="525"/>
      <c r="G155" s="525"/>
      <c r="H155" s="525"/>
      <c r="I155" s="525"/>
      <c r="J155" s="525"/>
      <c r="K155" s="525"/>
      <c r="L155" s="525"/>
      <c r="M155" s="525"/>
      <c r="N155" s="525"/>
      <c r="O155" s="525"/>
      <c r="P155" s="525"/>
      <c r="Q155" s="525"/>
      <c r="R155" s="525"/>
      <c r="S155" s="525"/>
      <c r="T155" s="525"/>
      <c r="U155" s="525"/>
      <c r="V155" s="525"/>
      <c r="W155" s="525"/>
      <c r="X155" s="525"/>
      <c r="Y155" s="525"/>
      <c r="Z155" s="525"/>
      <c r="AA155" s="525"/>
      <c r="AB155" s="525"/>
      <c r="AC155" s="525"/>
      <c r="AD155" s="525"/>
      <c r="AE155" s="525"/>
      <c r="AF155" s="525"/>
      <c r="AG155" s="525"/>
      <c r="AH155" s="525"/>
      <c r="AI155" s="537"/>
      <c r="AJ155" s="537"/>
      <c r="AN155" s="525"/>
      <c r="AO155" s="525"/>
      <c r="AP155" s="525"/>
      <c r="AQ155" s="525"/>
      <c r="AR155" s="525"/>
    </row>
    <row r="156" spans="1:44" s="2" customFormat="1">
      <c r="A156" s="508"/>
      <c r="C156" s="525"/>
      <c r="D156" s="525"/>
      <c r="E156" s="525"/>
      <c r="F156" s="525"/>
      <c r="G156" s="525"/>
      <c r="H156" s="525"/>
      <c r="I156" s="525"/>
      <c r="J156" s="525"/>
      <c r="K156" s="525"/>
      <c r="L156" s="525"/>
      <c r="M156" s="525"/>
      <c r="N156" s="525"/>
      <c r="O156" s="525"/>
      <c r="P156" s="525"/>
      <c r="Q156" s="525"/>
      <c r="R156" s="525"/>
      <c r="S156" s="525"/>
      <c r="T156" s="525"/>
      <c r="U156" s="525"/>
      <c r="V156" s="525"/>
      <c r="W156" s="525"/>
      <c r="X156" s="525"/>
      <c r="Y156" s="525"/>
      <c r="Z156" s="525"/>
      <c r="AA156" s="525"/>
      <c r="AB156" s="525"/>
      <c r="AC156" s="525"/>
      <c r="AD156" s="525"/>
      <c r="AE156" s="525"/>
      <c r="AF156" s="525"/>
      <c r="AG156" s="525"/>
      <c r="AH156" s="525"/>
      <c r="AI156" s="537"/>
      <c r="AJ156" s="537"/>
      <c r="AN156" s="525"/>
      <c r="AO156" s="525"/>
      <c r="AP156" s="525"/>
      <c r="AQ156" s="525"/>
      <c r="AR156" s="525"/>
    </row>
    <row r="157" spans="1:44" s="2" customFormat="1">
      <c r="A157" s="496"/>
      <c r="B157" s="497"/>
      <c r="C157" s="498"/>
      <c r="D157" s="498"/>
      <c r="E157" s="498"/>
      <c r="F157" s="498"/>
      <c r="G157" s="498"/>
      <c r="H157" s="498"/>
      <c r="I157" s="498"/>
      <c r="J157" s="498"/>
      <c r="K157" s="498"/>
      <c r="L157" s="498"/>
      <c r="M157" s="498"/>
      <c r="N157" s="498"/>
      <c r="O157" s="498"/>
      <c r="P157" s="498"/>
      <c r="Q157" s="498"/>
      <c r="R157" s="498"/>
      <c r="S157" s="498"/>
      <c r="T157" s="498"/>
      <c r="U157" s="498"/>
      <c r="V157" s="498"/>
      <c r="W157" s="498"/>
      <c r="X157" s="498"/>
      <c r="Y157" s="498"/>
      <c r="Z157" s="498"/>
      <c r="AA157" s="498"/>
      <c r="AB157" s="498"/>
      <c r="AC157" s="232"/>
      <c r="AD157" s="144"/>
      <c r="AN157" s="525"/>
    </row>
    <row r="158" spans="1:44" s="2" customFormat="1">
      <c r="A158" s="496"/>
      <c r="C158" s="498"/>
      <c r="D158" s="498"/>
      <c r="E158" s="498"/>
      <c r="F158" s="498"/>
      <c r="G158" s="498"/>
      <c r="H158" s="498"/>
      <c r="I158" s="498"/>
      <c r="J158" s="498"/>
      <c r="K158" s="498"/>
      <c r="L158" s="498"/>
      <c r="M158" s="498"/>
      <c r="N158" s="498"/>
      <c r="O158" s="498"/>
      <c r="P158" s="498"/>
      <c r="Q158" s="498"/>
      <c r="R158" s="498"/>
      <c r="S158" s="498"/>
      <c r="T158" s="498"/>
      <c r="U158" s="498"/>
      <c r="V158" s="498"/>
      <c r="W158" s="498"/>
      <c r="X158" s="498"/>
      <c r="Y158" s="498"/>
      <c r="Z158" s="498"/>
      <c r="AA158" s="498"/>
      <c r="AB158" s="498"/>
      <c r="AC158" s="507"/>
      <c r="AD158" s="498"/>
      <c r="AE158" s="498"/>
      <c r="AG158" s="498"/>
      <c r="AH158" s="498"/>
      <c r="AI158" s="538"/>
      <c r="AJ158" s="233"/>
      <c r="AN158" s="525"/>
      <c r="AO158" s="525"/>
      <c r="AP158" s="525"/>
      <c r="AQ158" s="525"/>
      <c r="AR158" s="525"/>
    </row>
    <row r="159" spans="1:44" s="2" customFormat="1">
      <c r="A159" s="506"/>
      <c r="C159" s="498"/>
      <c r="D159" s="498"/>
      <c r="E159" s="498"/>
      <c r="F159" s="498"/>
      <c r="G159" s="498"/>
      <c r="H159" s="498"/>
      <c r="I159" s="498"/>
      <c r="J159" s="498"/>
      <c r="K159" s="498"/>
      <c r="L159" s="498"/>
      <c r="M159" s="498"/>
      <c r="N159" s="498"/>
      <c r="O159" s="498"/>
      <c r="P159" s="498"/>
      <c r="Q159" s="498"/>
      <c r="R159" s="498"/>
      <c r="S159" s="498"/>
      <c r="T159" s="498"/>
      <c r="U159" s="498"/>
      <c r="V159" s="498"/>
      <c r="W159" s="498"/>
      <c r="X159" s="498"/>
      <c r="Y159" s="498"/>
      <c r="Z159" s="498"/>
      <c r="AA159" s="498"/>
      <c r="AB159" s="498"/>
      <c r="AC159" s="507"/>
      <c r="AD159" s="498"/>
      <c r="AE159" s="525"/>
      <c r="AG159" s="525"/>
      <c r="AH159" s="525"/>
      <c r="AI159" s="537"/>
      <c r="AN159" s="525"/>
      <c r="AO159" s="525"/>
      <c r="AP159" s="525"/>
      <c r="AQ159" s="525"/>
      <c r="AR159" s="525"/>
    </row>
    <row r="160" spans="1:44" s="2" customFormat="1">
      <c r="A160" s="508"/>
      <c r="C160" s="525"/>
      <c r="D160" s="525"/>
      <c r="E160" s="525"/>
      <c r="F160" s="525"/>
      <c r="G160" s="525"/>
      <c r="H160" s="525"/>
      <c r="I160" s="525"/>
      <c r="J160" s="525"/>
      <c r="K160" s="525"/>
      <c r="L160" s="525"/>
      <c r="M160" s="525"/>
      <c r="N160" s="525"/>
      <c r="O160" s="525"/>
      <c r="P160" s="525"/>
      <c r="Q160" s="525"/>
      <c r="R160" s="525"/>
      <c r="S160" s="498"/>
      <c r="T160" s="498"/>
      <c r="U160" s="498"/>
      <c r="V160" s="498"/>
      <c r="W160" s="498"/>
      <c r="X160" s="498"/>
      <c r="Y160" s="498"/>
      <c r="Z160" s="498"/>
      <c r="AA160" s="498"/>
      <c r="AB160" s="498"/>
      <c r="AC160" s="525"/>
      <c r="AD160" s="525"/>
      <c r="AE160" s="525"/>
      <c r="AF160" s="525"/>
      <c r="AG160" s="525"/>
      <c r="AH160" s="525"/>
      <c r="AI160" s="537"/>
      <c r="AJ160" s="537"/>
      <c r="AN160" s="525"/>
      <c r="AO160" s="525"/>
      <c r="AP160" s="525"/>
      <c r="AQ160" s="525"/>
      <c r="AR160" s="525"/>
    </row>
    <row r="161" spans="1:46" s="2" customFormat="1">
      <c r="A161" s="508"/>
      <c r="C161" s="525"/>
      <c r="D161" s="525"/>
      <c r="E161" s="525"/>
      <c r="F161" s="525"/>
      <c r="G161" s="525"/>
      <c r="H161" s="525"/>
      <c r="I161" s="525"/>
      <c r="J161" s="525"/>
      <c r="K161" s="525"/>
      <c r="L161" s="525"/>
      <c r="M161" s="525"/>
      <c r="N161" s="525"/>
      <c r="O161" s="525"/>
      <c r="P161" s="525"/>
      <c r="Q161" s="525"/>
      <c r="R161" s="525"/>
      <c r="S161" s="498"/>
      <c r="T161" s="498"/>
      <c r="U161" s="498"/>
      <c r="V161" s="498"/>
      <c r="W161" s="498"/>
      <c r="X161" s="498"/>
      <c r="Y161" s="498"/>
      <c r="Z161" s="498"/>
      <c r="AA161" s="498"/>
      <c r="AB161" s="498"/>
      <c r="AC161" s="525"/>
      <c r="AD161" s="525"/>
      <c r="AE161" s="525"/>
      <c r="AF161" s="525"/>
      <c r="AG161" s="525"/>
      <c r="AH161" s="525"/>
      <c r="AI161" s="537"/>
      <c r="AJ161" s="537"/>
      <c r="AN161" s="525"/>
      <c r="AO161" s="525"/>
      <c r="AP161" s="525"/>
      <c r="AQ161" s="525"/>
      <c r="AR161" s="525"/>
    </row>
    <row r="162" spans="1:46" s="2" customFormat="1">
      <c r="A162" s="508"/>
      <c r="C162" s="525"/>
      <c r="D162" s="525"/>
      <c r="E162" s="525"/>
      <c r="F162" s="525"/>
      <c r="G162" s="525"/>
      <c r="H162" s="525"/>
      <c r="I162" s="525"/>
      <c r="J162" s="525"/>
      <c r="K162" s="525"/>
      <c r="L162" s="525"/>
      <c r="M162" s="525"/>
      <c r="N162" s="525"/>
      <c r="O162" s="525"/>
      <c r="P162" s="525"/>
      <c r="Q162" s="525"/>
      <c r="R162" s="525"/>
      <c r="S162" s="498"/>
      <c r="T162" s="498"/>
      <c r="U162" s="498"/>
      <c r="V162" s="498"/>
      <c r="W162" s="498"/>
      <c r="X162" s="498"/>
      <c r="Y162" s="498"/>
      <c r="Z162" s="498"/>
      <c r="AA162" s="498"/>
      <c r="AB162" s="498"/>
      <c r="AC162" s="525"/>
      <c r="AD162" s="525"/>
      <c r="AE162" s="525"/>
      <c r="AF162" s="525"/>
      <c r="AG162" s="525"/>
      <c r="AH162" s="525"/>
      <c r="AI162" s="537"/>
      <c r="AJ162" s="537"/>
      <c r="AN162" s="525"/>
      <c r="AO162" s="525"/>
      <c r="AP162" s="525"/>
      <c r="AQ162" s="525"/>
      <c r="AR162" s="525"/>
    </row>
    <row r="163" spans="1:46" s="2" customFormat="1">
      <c r="A163" s="508"/>
      <c r="C163" s="525"/>
      <c r="D163" s="525"/>
      <c r="E163" s="525"/>
      <c r="F163" s="525"/>
      <c r="G163" s="525"/>
      <c r="H163" s="525"/>
      <c r="I163" s="525"/>
      <c r="J163" s="525"/>
      <c r="K163" s="525"/>
      <c r="L163" s="525"/>
      <c r="M163" s="525"/>
      <c r="N163" s="525"/>
      <c r="O163" s="525"/>
      <c r="P163" s="525"/>
      <c r="Q163" s="525"/>
      <c r="R163" s="525"/>
      <c r="S163" s="498"/>
      <c r="T163" s="498"/>
      <c r="U163" s="498"/>
      <c r="V163" s="498"/>
      <c r="W163" s="498"/>
      <c r="X163" s="498"/>
      <c r="Y163" s="498"/>
      <c r="Z163" s="498"/>
      <c r="AA163" s="498"/>
      <c r="AB163" s="498"/>
      <c r="AC163" s="525"/>
      <c r="AD163" s="525"/>
      <c r="AE163" s="525"/>
      <c r="AF163" s="525"/>
      <c r="AG163" s="525"/>
      <c r="AH163" s="525"/>
      <c r="AI163" s="537"/>
      <c r="AJ163" s="537"/>
      <c r="AN163" s="525"/>
      <c r="AO163" s="525"/>
      <c r="AP163" s="525"/>
      <c r="AQ163" s="525"/>
      <c r="AR163" s="525"/>
    </row>
    <row r="164" spans="1:46" s="2" customFormat="1">
      <c r="A164" s="508"/>
      <c r="C164" s="525"/>
      <c r="D164" s="525"/>
      <c r="E164" s="525"/>
      <c r="F164" s="525"/>
      <c r="G164" s="525"/>
      <c r="H164" s="525"/>
      <c r="I164" s="525"/>
      <c r="J164" s="525"/>
      <c r="K164" s="525"/>
      <c r="L164" s="525"/>
      <c r="M164" s="525"/>
      <c r="N164" s="525"/>
      <c r="O164" s="525"/>
      <c r="P164" s="525"/>
      <c r="Q164" s="525"/>
      <c r="R164" s="525"/>
      <c r="S164" s="498"/>
      <c r="T164" s="498"/>
      <c r="U164" s="498"/>
      <c r="V164" s="498"/>
      <c r="W164" s="498"/>
      <c r="X164" s="498"/>
      <c r="Y164" s="498"/>
      <c r="Z164" s="498"/>
      <c r="AA164" s="498"/>
      <c r="AB164" s="498"/>
      <c r="AC164" s="525"/>
      <c r="AD164" s="525"/>
      <c r="AE164" s="525"/>
      <c r="AF164" s="525"/>
      <c r="AG164" s="525"/>
      <c r="AH164" s="525"/>
      <c r="AI164" s="537"/>
      <c r="AJ164" s="537"/>
      <c r="AN164" s="525"/>
      <c r="AO164" s="525"/>
      <c r="AP164" s="525"/>
      <c r="AQ164" s="525"/>
      <c r="AR164" s="525"/>
    </row>
    <row r="165" spans="1:46" s="2" customFormat="1">
      <c r="A165" s="508"/>
      <c r="C165" s="525"/>
      <c r="D165" s="525"/>
      <c r="E165" s="525"/>
      <c r="F165" s="525"/>
      <c r="G165" s="525"/>
      <c r="H165" s="525"/>
      <c r="I165" s="525"/>
      <c r="J165" s="525"/>
      <c r="K165" s="525"/>
      <c r="L165" s="525"/>
      <c r="M165" s="525"/>
      <c r="N165" s="525"/>
      <c r="O165" s="525"/>
      <c r="P165" s="525"/>
      <c r="Q165" s="525"/>
      <c r="R165" s="525"/>
      <c r="S165" s="498"/>
      <c r="T165" s="498"/>
      <c r="U165" s="498"/>
      <c r="V165" s="498"/>
      <c r="W165" s="498"/>
      <c r="X165" s="498"/>
      <c r="Y165" s="498"/>
      <c r="Z165" s="498"/>
      <c r="AA165" s="498"/>
      <c r="AB165" s="498"/>
      <c r="AC165" s="525"/>
      <c r="AD165" s="525"/>
      <c r="AE165" s="525"/>
      <c r="AF165" s="525"/>
      <c r="AG165" s="525"/>
      <c r="AH165" s="525"/>
      <c r="AI165" s="537"/>
      <c r="AJ165" s="537"/>
      <c r="AN165" s="525"/>
      <c r="AO165" s="525"/>
      <c r="AP165" s="525"/>
      <c r="AQ165" s="525"/>
      <c r="AR165" s="525"/>
    </row>
    <row r="166" spans="1:46" s="2" customFormat="1">
      <c r="A166" s="508"/>
      <c r="C166" s="525"/>
      <c r="D166" s="525"/>
      <c r="E166" s="525"/>
      <c r="F166" s="525"/>
      <c r="G166" s="525"/>
      <c r="H166" s="525"/>
      <c r="I166" s="525"/>
      <c r="J166" s="525"/>
      <c r="K166" s="525"/>
      <c r="L166" s="525"/>
      <c r="M166" s="525"/>
      <c r="N166" s="525"/>
      <c r="O166" s="525"/>
      <c r="P166" s="525"/>
      <c r="Q166" s="525"/>
      <c r="R166" s="525"/>
      <c r="S166" s="498"/>
      <c r="T166" s="498"/>
      <c r="U166" s="498"/>
      <c r="V166" s="498"/>
      <c r="W166" s="498"/>
      <c r="X166" s="498"/>
      <c r="Y166" s="498"/>
      <c r="Z166" s="498"/>
      <c r="AA166" s="498"/>
      <c r="AB166" s="498"/>
      <c r="AC166" s="525"/>
      <c r="AD166" s="525"/>
      <c r="AE166" s="525"/>
      <c r="AF166" s="525"/>
      <c r="AG166" s="525"/>
      <c r="AH166" s="525"/>
      <c r="AI166" s="537"/>
      <c r="AJ166" s="537"/>
      <c r="AN166" s="525"/>
      <c r="AO166" s="525"/>
      <c r="AP166" s="525"/>
      <c r="AQ166" s="525"/>
      <c r="AR166" s="525"/>
    </row>
    <row r="167" spans="1:46" s="2" customFormat="1">
      <c r="A167" s="508"/>
      <c r="C167" s="525"/>
      <c r="D167" s="525"/>
      <c r="E167" s="525"/>
      <c r="F167" s="525"/>
      <c r="G167" s="525"/>
      <c r="H167" s="525"/>
      <c r="I167" s="525"/>
      <c r="J167" s="525"/>
      <c r="K167" s="525"/>
      <c r="L167" s="525"/>
      <c r="M167" s="525"/>
      <c r="N167" s="525"/>
      <c r="O167" s="525"/>
      <c r="P167" s="525"/>
      <c r="Q167" s="525"/>
      <c r="R167" s="525"/>
      <c r="S167" s="498"/>
      <c r="T167" s="498"/>
      <c r="U167" s="498"/>
      <c r="V167" s="498"/>
      <c r="W167" s="498"/>
      <c r="X167" s="498"/>
      <c r="Y167" s="498"/>
      <c r="Z167" s="498"/>
      <c r="AA167" s="498"/>
      <c r="AB167" s="498"/>
      <c r="AC167" s="525"/>
      <c r="AD167" s="525"/>
      <c r="AE167" s="525"/>
      <c r="AF167" s="525"/>
      <c r="AG167" s="525"/>
      <c r="AH167" s="525"/>
      <c r="AI167" s="537"/>
      <c r="AJ167" s="537"/>
      <c r="AN167" s="525"/>
      <c r="AO167" s="525"/>
      <c r="AP167" s="525"/>
      <c r="AQ167" s="525"/>
      <c r="AR167" s="525"/>
    </row>
    <row r="168" spans="1:46" s="2" customFormat="1">
      <c r="A168" s="496"/>
      <c r="B168" s="515"/>
      <c r="C168" s="498"/>
      <c r="D168" s="498"/>
      <c r="E168" s="498"/>
      <c r="F168" s="498"/>
      <c r="G168" s="498"/>
      <c r="H168" s="498"/>
      <c r="I168" s="498"/>
      <c r="J168" s="498"/>
      <c r="K168" s="498"/>
      <c r="L168" s="498"/>
      <c r="M168" s="498"/>
      <c r="N168" s="498"/>
      <c r="O168" s="498"/>
      <c r="P168" s="498"/>
      <c r="Q168" s="498"/>
      <c r="R168" s="498"/>
      <c r="S168" s="498"/>
      <c r="T168" s="498"/>
      <c r="U168" s="498"/>
      <c r="V168" s="498"/>
      <c r="W168" s="498"/>
      <c r="X168" s="498"/>
      <c r="Y168" s="498"/>
      <c r="Z168" s="498"/>
      <c r="AA168" s="498"/>
      <c r="AB168" s="498"/>
      <c r="AD168" s="144"/>
      <c r="AN168" s="525"/>
    </row>
    <row r="169" spans="1:46" s="2" customFormat="1">
      <c r="A169" s="496"/>
      <c r="C169" s="525"/>
      <c r="D169" s="525"/>
      <c r="E169" s="525"/>
      <c r="F169" s="525"/>
      <c r="G169" s="525"/>
      <c r="H169" s="525"/>
      <c r="I169" s="525"/>
      <c r="J169" s="525"/>
      <c r="K169" s="525"/>
      <c r="L169" s="525"/>
      <c r="M169" s="525"/>
      <c r="N169" s="525"/>
      <c r="O169" s="525"/>
      <c r="P169" s="525"/>
      <c r="Q169" s="525"/>
      <c r="R169" s="525"/>
      <c r="S169" s="525"/>
      <c r="T169" s="525"/>
      <c r="U169" s="525"/>
      <c r="V169" s="525"/>
      <c r="W169" s="525"/>
      <c r="X169" s="525"/>
      <c r="Y169" s="525"/>
      <c r="Z169" s="525"/>
      <c r="AA169" s="525"/>
      <c r="AB169" s="525"/>
      <c r="AD169" s="525"/>
      <c r="AE169" s="525"/>
      <c r="AG169" s="525"/>
      <c r="AH169" s="525"/>
      <c r="AI169" s="537"/>
      <c r="AN169" s="525"/>
      <c r="AO169" s="525"/>
      <c r="AP169" s="525"/>
      <c r="AQ169" s="525"/>
      <c r="AR169" s="525"/>
      <c r="AS169" s="525"/>
      <c r="AT169" s="525"/>
    </row>
    <row r="170" spans="1:46" s="2" customFormat="1">
      <c r="A170" s="506"/>
      <c r="C170" s="525"/>
      <c r="D170" s="525"/>
      <c r="E170" s="525"/>
      <c r="F170" s="525"/>
      <c r="G170" s="525"/>
      <c r="H170" s="525"/>
      <c r="I170" s="525"/>
      <c r="J170" s="525"/>
      <c r="K170" s="525"/>
      <c r="L170" s="525"/>
      <c r="M170" s="525"/>
      <c r="N170" s="525"/>
      <c r="O170" s="525"/>
      <c r="P170" s="525"/>
      <c r="Q170" s="525"/>
      <c r="R170" s="525"/>
      <c r="S170" s="525"/>
      <c r="T170" s="525"/>
      <c r="U170" s="525"/>
      <c r="V170" s="525"/>
      <c r="W170" s="525"/>
      <c r="X170" s="525"/>
      <c r="Y170" s="525"/>
      <c r="Z170" s="525"/>
      <c r="AA170" s="525"/>
      <c r="AB170" s="525"/>
      <c r="AD170" s="525"/>
      <c r="AE170" s="525"/>
      <c r="AG170" s="525"/>
      <c r="AH170" s="525"/>
      <c r="AI170" s="537"/>
      <c r="AN170" s="525"/>
      <c r="AO170" s="525"/>
      <c r="AP170" s="525"/>
      <c r="AQ170" s="525"/>
      <c r="AR170" s="525"/>
      <c r="AS170" s="525"/>
      <c r="AT170" s="525"/>
    </row>
    <row r="171" spans="1:46" s="2" customFormat="1">
      <c r="A171" s="508"/>
      <c r="C171" s="525"/>
      <c r="D171" s="525"/>
      <c r="E171" s="525"/>
      <c r="F171" s="525"/>
      <c r="G171" s="525"/>
      <c r="H171" s="525"/>
      <c r="I171" s="525"/>
      <c r="J171" s="525"/>
      <c r="K171" s="525"/>
      <c r="L171" s="525"/>
      <c r="M171" s="525"/>
      <c r="N171" s="525"/>
      <c r="O171" s="525"/>
      <c r="P171" s="525"/>
      <c r="Q171" s="525"/>
      <c r="R171" s="525"/>
      <c r="S171" s="525"/>
      <c r="T171" s="525"/>
      <c r="U171" s="525"/>
      <c r="V171" s="525"/>
      <c r="W171" s="525"/>
      <c r="X171" s="525"/>
      <c r="Y171" s="525"/>
      <c r="Z171" s="525"/>
      <c r="AA171" s="525"/>
      <c r="AB171" s="525"/>
      <c r="AD171" s="525"/>
      <c r="AE171" s="525"/>
      <c r="AG171" s="525"/>
      <c r="AH171" s="525"/>
      <c r="AI171" s="537"/>
      <c r="AN171" s="525"/>
      <c r="AO171" s="525"/>
      <c r="AP171" s="525"/>
      <c r="AQ171" s="525"/>
      <c r="AR171" s="525"/>
      <c r="AS171" s="525"/>
      <c r="AT171" s="525"/>
    </row>
    <row r="172" spans="1:46" s="2" customFormat="1">
      <c r="A172" s="508"/>
      <c r="C172" s="525"/>
      <c r="D172" s="525"/>
      <c r="E172" s="525"/>
      <c r="F172" s="525"/>
      <c r="G172" s="525"/>
      <c r="H172" s="525"/>
      <c r="I172" s="525"/>
      <c r="J172" s="525"/>
      <c r="K172" s="525"/>
      <c r="L172" s="525"/>
      <c r="M172" s="525"/>
      <c r="N172" s="525"/>
      <c r="O172" s="525"/>
      <c r="P172" s="525"/>
      <c r="Q172" s="525"/>
      <c r="R172" s="525"/>
      <c r="S172" s="525"/>
      <c r="T172" s="525"/>
      <c r="U172" s="525"/>
      <c r="V172" s="525"/>
      <c r="W172" s="525"/>
      <c r="X172" s="525"/>
      <c r="Y172" s="525"/>
      <c r="Z172" s="525"/>
      <c r="AA172" s="525"/>
      <c r="AB172" s="525"/>
      <c r="AD172" s="525"/>
      <c r="AE172" s="525"/>
      <c r="AG172" s="525"/>
      <c r="AH172" s="525"/>
      <c r="AI172" s="537"/>
      <c r="AN172" s="525"/>
      <c r="AO172" s="525"/>
      <c r="AP172" s="525"/>
      <c r="AQ172" s="525"/>
      <c r="AR172" s="525"/>
      <c r="AS172" s="525"/>
      <c r="AT172" s="525"/>
    </row>
    <row r="173" spans="1:46" s="2" customFormat="1">
      <c r="A173" s="508"/>
      <c r="C173" s="525"/>
      <c r="D173" s="525"/>
      <c r="E173" s="525"/>
      <c r="F173" s="525"/>
      <c r="G173" s="525"/>
      <c r="H173" s="525"/>
      <c r="I173" s="525"/>
      <c r="J173" s="525"/>
      <c r="K173" s="525"/>
      <c r="L173" s="525"/>
      <c r="M173" s="525"/>
      <c r="N173" s="525"/>
      <c r="O173" s="525"/>
      <c r="P173" s="525"/>
      <c r="Q173" s="525"/>
      <c r="R173" s="525"/>
      <c r="S173" s="525"/>
      <c r="T173" s="525"/>
      <c r="U173" s="525"/>
      <c r="V173" s="525"/>
      <c r="W173" s="525"/>
      <c r="X173" s="525"/>
      <c r="Y173" s="525"/>
      <c r="Z173" s="525"/>
      <c r="AA173" s="525"/>
      <c r="AB173" s="525"/>
      <c r="AD173" s="525"/>
      <c r="AE173" s="525"/>
      <c r="AG173" s="525"/>
      <c r="AH173" s="525"/>
      <c r="AI173" s="537"/>
      <c r="AN173" s="525"/>
      <c r="AO173" s="525"/>
      <c r="AP173" s="525"/>
      <c r="AQ173" s="525"/>
      <c r="AR173" s="525"/>
      <c r="AS173" s="525"/>
      <c r="AT173" s="525"/>
    </row>
    <row r="174" spans="1:46" s="2" customFormat="1">
      <c r="A174" s="508"/>
      <c r="C174" s="525"/>
      <c r="D174" s="525"/>
      <c r="E174" s="525"/>
      <c r="F174" s="525"/>
      <c r="G174" s="525"/>
      <c r="H174" s="525"/>
      <c r="I174" s="525"/>
      <c r="J174" s="525"/>
      <c r="K174" s="525"/>
      <c r="L174" s="525"/>
      <c r="M174" s="525"/>
      <c r="N174" s="525"/>
      <c r="O174" s="525"/>
      <c r="P174" s="525"/>
      <c r="Q174" s="525"/>
      <c r="R174" s="525"/>
      <c r="S174" s="525"/>
      <c r="T174" s="525"/>
      <c r="U174" s="525"/>
      <c r="V174" s="525"/>
      <c r="W174" s="525"/>
      <c r="X174" s="525"/>
      <c r="Y174" s="525"/>
      <c r="Z174" s="525"/>
      <c r="AA174" s="525"/>
      <c r="AB174" s="525"/>
      <c r="AD174" s="525"/>
      <c r="AE174" s="525"/>
      <c r="AG174" s="525"/>
      <c r="AH174" s="525"/>
      <c r="AI174" s="537"/>
      <c r="AN174" s="525"/>
      <c r="AO174" s="525"/>
      <c r="AP174" s="525"/>
      <c r="AQ174" s="525"/>
      <c r="AR174" s="525"/>
      <c r="AS174" s="525"/>
      <c r="AT174" s="525"/>
    </row>
    <row r="175" spans="1:46" s="2" customFormat="1">
      <c r="A175" s="508"/>
      <c r="C175" s="525"/>
      <c r="D175" s="525"/>
      <c r="E175" s="525"/>
      <c r="F175" s="525"/>
      <c r="G175" s="525"/>
      <c r="H175" s="525"/>
      <c r="I175" s="525"/>
      <c r="J175" s="525"/>
      <c r="K175" s="525"/>
      <c r="L175" s="525"/>
      <c r="M175" s="525"/>
      <c r="N175" s="525"/>
      <c r="O175" s="525"/>
      <c r="P175" s="525"/>
      <c r="Q175" s="525"/>
      <c r="R175" s="525"/>
      <c r="S175" s="525"/>
      <c r="T175" s="525"/>
      <c r="U175" s="525"/>
      <c r="V175" s="525"/>
      <c r="W175" s="525"/>
      <c r="X175" s="525"/>
      <c r="Y175" s="525"/>
      <c r="Z175" s="525"/>
      <c r="AA175" s="525"/>
      <c r="AB175" s="525"/>
      <c r="AD175" s="525"/>
      <c r="AE175" s="525"/>
      <c r="AG175" s="525"/>
      <c r="AH175" s="525"/>
      <c r="AI175" s="537"/>
      <c r="AN175" s="525"/>
      <c r="AO175" s="525"/>
      <c r="AP175" s="525"/>
      <c r="AQ175" s="525"/>
      <c r="AR175" s="525"/>
      <c r="AS175" s="525"/>
      <c r="AT175" s="525"/>
    </row>
    <row r="176" spans="1:46" s="2" customFormat="1">
      <c r="A176" s="508"/>
      <c r="C176" s="525"/>
      <c r="D176" s="525"/>
      <c r="E176" s="525"/>
      <c r="F176" s="525"/>
      <c r="G176" s="525"/>
      <c r="H176" s="525"/>
      <c r="I176" s="525"/>
      <c r="J176" s="525"/>
      <c r="K176" s="525"/>
      <c r="L176" s="525"/>
      <c r="M176" s="525"/>
      <c r="N176" s="525"/>
      <c r="O176" s="525"/>
      <c r="P176" s="525"/>
      <c r="Q176" s="525"/>
      <c r="R176" s="525"/>
      <c r="S176" s="525"/>
      <c r="T176" s="525"/>
      <c r="U176" s="525"/>
      <c r="V176" s="525"/>
      <c r="W176" s="525"/>
      <c r="X176" s="525"/>
      <c r="Y176" s="525"/>
      <c r="Z176" s="525"/>
      <c r="AA176" s="525"/>
      <c r="AB176" s="525"/>
      <c r="AD176" s="525"/>
      <c r="AE176" s="525"/>
      <c r="AG176" s="525"/>
      <c r="AH176" s="525"/>
      <c r="AI176" s="537"/>
      <c r="AN176" s="525"/>
      <c r="AO176" s="525"/>
      <c r="AP176" s="525"/>
      <c r="AQ176" s="525"/>
      <c r="AR176" s="525"/>
      <c r="AS176" s="525"/>
      <c r="AT176" s="525"/>
    </row>
    <row r="177" spans="1:46" s="2" customFormat="1">
      <c r="A177" s="508"/>
      <c r="C177" s="525"/>
      <c r="D177" s="525"/>
      <c r="E177" s="525"/>
      <c r="F177" s="525"/>
      <c r="G177" s="525"/>
      <c r="H177" s="525"/>
      <c r="I177" s="525"/>
      <c r="J177" s="525"/>
      <c r="K177" s="525"/>
      <c r="L177" s="525"/>
      <c r="M177" s="525"/>
      <c r="N177" s="525"/>
      <c r="O177" s="525"/>
      <c r="P177" s="525"/>
      <c r="Q177" s="525"/>
      <c r="R177" s="525"/>
      <c r="S177" s="525"/>
      <c r="T177" s="525"/>
      <c r="U177" s="525"/>
      <c r="V177" s="525"/>
      <c r="W177" s="525"/>
      <c r="X177" s="525"/>
      <c r="Y177" s="525"/>
      <c r="Z177" s="525"/>
      <c r="AA177" s="525"/>
      <c r="AB177" s="525"/>
      <c r="AD177" s="525"/>
      <c r="AE177" s="525"/>
      <c r="AG177" s="525"/>
      <c r="AH177" s="525"/>
      <c r="AI177" s="537"/>
      <c r="AN177" s="525"/>
      <c r="AO177" s="525"/>
      <c r="AP177" s="525"/>
      <c r="AQ177" s="525"/>
      <c r="AR177" s="525"/>
      <c r="AS177" s="525"/>
      <c r="AT177" s="525"/>
    </row>
    <row r="178" spans="1:46" s="2" customFormat="1">
      <c r="A178" s="508"/>
      <c r="C178" s="525"/>
      <c r="D178" s="525"/>
      <c r="E178" s="525"/>
      <c r="F178" s="525"/>
      <c r="G178" s="525"/>
      <c r="H178" s="525"/>
      <c r="I178" s="525"/>
      <c r="J178" s="525"/>
      <c r="K178" s="525"/>
      <c r="L178" s="525"/>
      <c r="M178" s="525"/>
      <c r="N178" s="525"/>
      <c r="O178" s="525"/>
      <c r="P178" s="525"/>
      <c r="Q178" s="525"/>
      <c r="R178" s="525"/>
      <c r="S178" s="525"/>
      <c r="T178" s="525"/>
      <c r="U178" s="525"/>
      <c r="V178" s="525"/>
      <c r="W178" s="525"/>
      <c r="X178" s="525"/>
      <c r="Y178" s="525"/>
      <c r="Z178" s="525"/>
      <c r="AA178" s="525"/>
      <c r="AB178" s="525"/>
      <c r="AD178" s="525"/>
      <c r="AE178" s="525"/>
      <c r="AG178" s="525"/>
      <c r="AH178" s="525"/>
      <c r="AI178" s="537"/>
      <c r="AN178" s="525"/>
      <c r="AO178" s="525"/>
      <c r="AP178" s="525"/>
      <c r="AQ178" s="525"/>
      <c r="AR178" s="525"/>
      <c r="AS178" s="525"/>
      <c r="AT178" s="525"/>
    </row>
    <row r="179" spans="1:46" s="2" customFormat="1">
      <c r="A179" s="496"/>
      <c r="B179" s="497"/>
      <c r="C179" s="498"/>
      <c r="D179" s="498"/>
      <c r="E179" s="498"/>
      <c r="F179" s="498"/>
      <c r="G179" s="498"/>
      <c r="H179" s="498"/>
      <c r="I179" s="498"/>
      <c r="J179" s="498"/>
      <c r="K179" s="498"/>
      <c r="L179" s="498"/>
      <c r="M179" s="498"/>
      <c r="N179" s="498"/>
      <c r="O179" s="498"/>
      <c r="P179" s="498"/>
      <c r="Q179" s="498"/>
      <c r="R179" s="498"/>
      <c r="S179" s="498"/>
      <c r="T179" s="498"/>
      <c r="U179" s="498"/>
      <c r="V179" s="498"/>
      <c r="W179" s="498"/>
      <c r="X179" s="498"/>
      <c r="Y179" s="498"/>
      <c r="Z179" s="498"/>
      <c r="AA179" s="498"/>
      <c r="AB179" s="498"/>
      <c r="AD179" s="144"/>
      <c r="AN179" s="525"/>
    </row>
    <row r="180" spans="1:46" s="2" customFormat="1">
      <c r="A180" s="496"/>
      <c r="C180" s="498"/>
      <c r="D180" s="498"/>
      <c r="E180" s="498"/>
      <c r="F180" s="498"/>
      <c r="G180" s="498"/>
      <c r="H180" s="498"/>
      <c r="I180" s="498"/>
      <c r="J180" s="498"/>
      <c r="K180" s="498"/>
      <c r="L180" s="498"/>
      <c r="M180" s="498"/>
      <c r="N180" s="498"/>
      <c r="O180" s="498"/>
      <c r="P180" s="498"/>
      <c r="Q180" s="498"/>
      <c r="R180" s="498"/>
      <c r="S180" s="498"/>
      <c r="T180" s="498"/>
      <c r="U180" s="498"/>
      <c r="V180" s="498"/>
      <c r="W180" s="498"/>
      <c r="X180" s="498"/>
      <c r="Y180" s="498"/>
      <c r="Z180" s="498"/>
      <c r="AA180" s="498"/>
      <c r="AB180" s="498"/>
      <c r="AC180" s="507"/>
      <c r="AD180" s="498"/>
      <c r="AE180" s="498"/>
      <c r="AG180" s="498"/>
      <c r="AH180" s="498"/>
      <c r="AI180" s="538"/>
      <c r="AJ180" s="507"/>
      <c r="AN180" s="525"/>
      <c r="AO180" s="525"/>
      <c r="AP180" s="525"/>
      <c r="AQ180" s="525"/>
      <c r="AR180" s="525"/>
      <c r="AS180" s="525"/>
      <c r="AT180" s="525"/>
    </row>
    <row r="181" spans="1:46" s="2" customFormat="1">
      <c r="A181" s="506"/>
      <c r="C181" s="498"/>
      <c r="D181" s="498"/>
      <c r="E181" s="498"/>
      <c r="F181" s="498"/>
      <c r="G181" s="498"/>
      <c r="H181" s="498"/>
      <c r="I181" s="498"/>
      <c r="J181" s="498"/>
      <c r="K181" s="498"/>
      <c r="L181" s="498"/>
      <c r="M181" s="498"/>
      <c r="N181" s="498"/>
      <c r="O181" s="498"/>
      <c r="P181" s="498"/>
      <c r="Q181" s="498"/>
      <c r="R181" s="498"/>
      <c r="S181" s="498"/>
      <c r="T181" s="498"/>
      <c r="U181" s="498"/>
      <c r="V181" s="498"/>
      <c r="W181" s="498"/>
      <c r="X181" s="498"/>
      <c r="Y181" s="498"/>
      <c r="Z181" s="498"/>
      <c r="AA181" s="498"/>
      <c r="AB181" s="498"/>
      <c r="AC181" s="507"/>
      <c r="AD181" s="498"/>
      <c r="AE181" s="498"/>
      <c r="AG181" s="498"/>
      <c r="AH181" s="498"/>
      <c r="AI181" s="538"/>
      <c r="AJ181" s="507"/>
      <c r="AN181" s="525"/>
      <c r="AO181" s="525"/>
      <c r="AP181" s="525"/>
      <c r="AQ181" s="525"/>
      <c r="AR181" s="525"/>
      <c r="AS181" s="525"/>
      <c r="AT181" s="525"/>
    </row>
    <row r="182" spans="1:46" s="2" customFormat="1">
      <c r="A182" s="508"/>
      <c r="C182" s="525"/>
      <c r="D182" s="525"/>
      <c r="E182" s="525"/>
      <c r="F182" s="525"/>
      <c r="G182" s="525"/>
      <c r="H182" s="525"/>
      <c r="I182" s="525"/>
      <c r="J182" s="525"/>
      <c r="K182" s="525"/>
      <c r="L182" s="525"/>
      <c r="M182" s="525"/>
      <c r="N182" s="525"/>
      <c r="O182" s="525"/>
      <c r="P182" s="525"/>
      <c r="Q182" s="525"/>
      <c r="R182" s="498"/>
      <c r="S182" s="498"/>
      <c r="T182" s="498"/>
      <c r="U182" s="498"/>
      <c r="V182" s="498"/>
      <c r="W182" s="498"/>
      <c r="X182" s="498"/>
      <c r="Y182" s="498"/>
      <c r="Z182" s="498"/>
      <c r="AA182" s="498"/>
      <c r="AB182" s="498"/>
      <c r="AD182" s="498"/>
      <c r="AE182" s="498"/>
      <c r="AG182" s="498"/>
      <c r="AH182" s="498"/>
      <c r="AI182" s="538"/>
      <c r="AJ182" s="507"/>
      <c r="AN182" s="525"/>
      <c r="AO182" s="525"/>
      <c r="AP182" s="525"/>
      <c r="AQ182" s="525"/>
      <c r="AR182" s="525"/>
      <c r="AS182" s="525"/>
      <c r="AT182" s="525"/>
    </row>
    <row r="183" spans="1:46" s="2" customFormat="1">
      <c r="A183" s="508"/>
      <c r="C183" s="525"/>
      <c r="D183" s="525"/>
      <c r="E183" s="525"/>
      <c r="F183" s="525"/>
      <c r="G183" s="525"/>
      <c r="H183" s="525"/>
      <c r="I183" s="525"/>
      <c r="J183" s="525"/>
      <c r="K183" s="525"/>
      <c r="L183" s="525"/>
      <c r="M183" s="525"/>
      <c r="N183" s="525"/>
      <c r="O183" s="525"/>
      <c r="P183" s="525"/>
      <c r="Q183" s="525"/>
      <c r="R183" s="498"/>
      <c r="S183" s="498"/>
      <c r="T183" s="498"/>
      <c r="U183" s="498"/>
      <c r="V183" s="498"/>
      <c r="W183" s="498"/>
      <c r="X183" s="498"/>
      <c r="Y183" s="498"/>
      <c r="Z183" s="498"/>
      <c r="AA183" s="498"/>
      <c r="AB183" s="498"/>
      <c r="AD183" s="498"/>
      <c r="AE183" s="498"/>
      <c r="AG183" s="498"/>
      <c r="AH183" s="498"/>
      <c r="AI183" s="538"/>
      <c r="AJ183" s="507"/>
      <c r="AN183" s="525"/>
      <c r="AO183" s="525"/>
      <c r="AP183" s="525"/>
      <c r="AQ183" s="525"/>
      <c r="AR183" s="525"/>
      <c r="AS183" s="525"/>
      <c r="AT183" s="525"/>
    </row>
    <row r="184" spans="1:46" s="2" customFormat="1">
      <c r="A184" s="508"/>
      <c r="C184" s="525"/>
      <c r="D184" s="525"/>
      <c r="E184" s="525"/>
      <c r="F184" s="525"/>
      <c r="G184" s="525"/>
      <c r="H184" s="525"/>
      <c r="I184" s="525"/>
      <c r="J184" s="525"/>
      <c r="K184" s="525"/>
      <c r="L184" s="525"/>
      <c r="M184" s="525"/>
      <c r="N184" s="525"/>
      <c r="O184" s="525"/>
      <c r="P184" s="525"/>
      <c r="Q184" s="525"/>
      <c r="R184" s="498"/>
      <c r="S184" s="498"/>
      <c r="T184" s="498"/>
      <c r="U184" s="498"/>
      <c r="V184" s="498"/>
      <c r="W184" s="498"/>
      <c r="X184" s="498"/>
      <c r="Y184" s="498"/>
      <c r="Z184" s="498"/>
      <c r="AA184" s="498"/>
      <c r="AB184" s="498"/>
      <c r="AD184" s="498"/>
      <c r="AE184" s="498"/>
      <c r="AG184" s="498"/>
      <c r="AH184" s="498"/>
      <c r="AI184" s="538"/>
      <c r="AJ184" s="507"/>
      <c r="AN184" s="525"/>
      <c r="AO184" s="525"/>
      <c r="AP184" s="525"/>
      <c r="AQ184" s="525"/>
      <c r="AR184" s="525"/>
      <c r="AS184" s="525"/>
      <c r="AT184" s="525"/>
    </row>
    <row r="185" spans="1:46" s="2" customFormat="1">
      <c r="A185" s="508"/>
      <c r="C185" s="525"/>
      <c r="D185" s="525"/>
      <c r="E185" s="525"/>
      <c r="F185" s="525"/>
      <c r="G185" s="525"/>
      <c r="H185" s="525"/>
      <c r="I185" s="525"/>
      <c r="J185" s="525"/>
      <c r="K185" s="525"/>
      <c r="L185" s="525"/>
      <c r="M185" s="525"/>
      <c r="N185" s="525"/>
      <c r="O185" s="525"/>
      <c r="P185" s="525"/>
      <c r="Q185" s="525"/>
      <c r="R185" s="498"/>
      <c r="S185" s="498"/>
      <c r="T185" s="498"/>
      <c r="U185" s="498"/>
      <c r="V185" s="498"/>
      <c r="W185" s="498"/>
      <c r="X185" s="498"/>
      <c r="Y185" s="498"/>
      <c r="Z185" s="498"/>
      <c r="AA185" s="498"/>
      <c r="AB185" s="498"/>
      <c r="AD185" s="498"/>
      <c r="AE185" s="498"/>
      <c r="AG185" s="498"/>
      <c r="AH185" s="498"/>
      <c r="AI185" s="538"/>
      <c r="AJ185" s="507"/>
      <c r="AN185" s="525"/>
      <c r="AO185" s="525"/>
      <c r="AP185" s="525"/>
      <c r="AQ185" s="525"/>
      <c r="AR185" s="525"/>
      <c r="AS185" s="525"/>
      <c r="AT185" s="525"/>
    </row>
    <row r="186" spans="1:46" s="2" customFormat="1">
      <c r="A186" s="508"/>
      <c r="C186" s="525"/>
      <c r="D186" s="525"/>
      <c r="E186" s="525"/>
      <c r="F186" s="525"/>
      <c r="G186" s="525"/>
      <c r="H186" s="525"/>
      <c r="I186" s="525"/>
      <c r="J186" s="525"/>
      <c r="K186" s="525"/>
      <c r="L186" s="525"/>
      <c r="M186" s="525"/>
      <c r="N186" s="525"/>
      <c r="O186" s="525"/>
      <c r="P186" s="525"/>
      <c r="Q186" s="525"/>
      <c r="R186" s="498"/>
      <c r="S186" s="498"/>
      <c r="T186" s="498"/>
      <c r="U186" s="498"/>
      <c r="V186" s="498"/>
      <c r="W186" s="498"/>
      <c r="X186" s="498"/>
      <c r="Y186" s="498"/>
      <c r="Z186" s="498"/>
      <c r="AA186" s="498"/>
      <c r="AB186" s="498"/>
      <c r="AD186" s="498"/>
      <c r="AE186" s="498"/>
      <c r="AF186" s="507"/>
      <c r="AG186" s="498"/>
      <c r="AH186" s="498"/>
      <c r="AI186" s="538"/>
      <c r="AJ186" s="507"/>
      <c r="AN186" s="525"/>
      <c r="AO186" s="525"/>
      <c r="AP186" s="525"/>
      <c r="AQ186" s="525"/>
      <c r="AR186" s="525"/>
      <c r="AS186" s="525"/>
      <c r="AT186" s="525"/>
    </row>
    <row r="187" spans="1:46" s="2" customFormat="1">
      <c r="A187" s="508"/>
      <c r="C187" s="525"/>
      <c r="D187" s="525"/>
      <c r="E187" s="525"/>
      <c r="F187" s="525"/>
      <c r="G187" s="525"/>
      <c r="H187" s="525"/>
      <c r="I187" s="525"/>
      <c r="J187" s="525"/>
      <c r="K187" s="525"/>
      <c r="L187" s="525"/>
      <c r="M187" s="525"/>
      <c r="N187" s="525"/>
      <c r="O187" s="525"/>
      <c r="P187" s="525"/>
      <c r="Q187" s="525"/>
      <c r="R187" s="498"/>
      <c r="S187" s="498"/>
      <c r="T187" s="498"/>
      <c r="U187" s="498"/>
      <c r="V187" s="498"/>
      <c r="W187" s="498"/>
      <c r="X187" s="498"/>
      <c r="Y187" s="498"/>
      <c r="Z187" s="498"/>
      <c r="AA187" s="498"/>
      <c r="AB187" s="498"/>
      <c r="AD187" s="498"/>
      <c r="AE187" s="498"/>
      <c r="AG187" s="498"/>
      <c r="AH187" s="498"/>
      <c r="AI187" s="538"/>
      <c r="AJ187" s="507"/>
      <c r="AN187" s="525"/>
      <c r="AO187" s="525"/>
      <c r="AP187" s="525"/>
      <c r="AQ187" s="525"/>
      <c r="AR187" s="525"/>
      <c r="AS187" s="525"/>
      <c r="AT187" s="525"/>
    </row>
    <row r="188" spans="1:46" s="2" customFormat="1">
      <c r="A188" s="508"/>
      <c r="C188" s="525"/>
      <c r="D188" s="525"/>
      <c r="E188" s="525"/>
      <c r="F188" s="525"/>
      <c r="G188" s="525"/>
      <c r="H188" s="525"/>
      <c r="I188" s="525"/>
      <c r="J188" s="525"/>
      <c r="K188" s="525"/>
      <c r="L188" s="525"/>
      <c r="M188" s="525"/>
      <c r="N188" s="525"/>
      <c r="O188" s="525"/>
      <c r="P188" s="525"/>
      <c r="Q188" s="525"/>
      <c r="R188" s="498"/>
      <c r="S188" s="498"/>
      <c r="T188" s="498"/>
      <c r="U188" s="498"/>
      <c r="V188" s="498"/>
      <c r="W188" s="498"/>
      <c r="X188" s="498"/>
      <c r="Y188" s="498"/>
      <c r="Z188" s="498"/>
      <c r="AA188" s="498"/>
      <c r="AB188" s="498"/>
      <c r="AD188" s="498"/>
      <c r="AE188" s="498"/>
      <c r="AG188" s="498"/>
      <c r="AH188" s="498"/>
      <c r="AI188" s="538"/>
      <c r="AJ188" s="507"/>
      <c r="AN188" s="525"/>
      <c r="AO188" s="525"/>
      <c r="AP188" s="525"/>
      <c r="AQ188" s="525"/>
      <c r="AR188" s="525"/>
      <c r="AS188" s="525"/>
      <c r="AT188" s="525"/>
    </row>
    <row r="189" spans="1:46" s="2" customFormat="1">
      <c r="A189" s="508"/>
      <c r="C189" s="525"/>
      <c r="D189" s="525"/>
      <c r="E189" s="525"/>
      <c r="F189" s="525"/>
      <c r="G189" s="525"/>
      <c r="H189" s="525"/>
      <c r="I189" s="525"/>
      <c r="J189" s="525"/>
      <c r="K189" s="525"/>
      <c r="L189" s="525"/>
      <c r="M189" s="525"/>
      <c r="N189" s="525"/>
      <c r="O189" s="525"/>
      <c r="P189" s="525"/>
      <c r="Q189" s="525"/>
      <c r="R189" s="498"/>
      <c r="S189" s="498"/>
      <c r="T189" s="498"/>
      <c r="U189" s="498"/>
      <c r="V189" s="498"/>
      <c r="W189" s="498"/>
      <c r="X189" s="498"/>
      <c r="Y189" s="498"/>
      <c r="Z189" s="498"/>
      <c r="AA189" s="498"/>
      <c r="AB189" s="498"/>
      <c r="AD189" s="498"/>
      <c r="AE189" s="498"/>
      <c r="AG189" s="498"/>
      <c r="AH189" s="498"/>
      <c r="AI189" s="538"/>
      <c r="AJ189" s="507"/>
      <c r="AN189" s="525"/>
      <c r="AO189" s="525"/>
      <c r="AP189" s="525"/>
      <c r="AQ189" s="525"/>
      <c r="AR189" s="525"/>
      <c r="AS189" s="525"/>
      <c r="AT189" s="525"/>
    </row>
    <row r="190" spans="1:46" s="2" customFormat="1">
      <c r="A190" s="496"/>
      <c r="B190" s="515"/>
      <c r="C190" s="498"/>
      <c r="D190" s="498"/>
      <c r="E190" s="498"/>
      <c r="F190" s="498"/>
      <c r="G190" s="498"/>
      <c r="H190" s="498"/>
      <c r="I190" s="498"/>
      <c r="J190" s="498"/>
      <c r="K190" s="498"/>
      <c r="L190" s="498"/>
      <c r="M190" s="498"/>
      <c r="N190" s="498"/>
      <c r="O190" s="498"/>
      <c r="P190" s="498"/>
      <c r="Q190" s="498"/>
      <c r="R190" s="498"/>
      <c r="S190" s="498"/>
      <c r="T190" s="498"/>
      <c r="U190" s="498"/>
      <c r="V190" s="498"/>
      <c r="W190" s="498"/>
      <c r="X190" s="498"/>
      <c r="Y190" s="498"/>
      <c r="Z190" s="498"/>
      <c r="AA190" s="498"/>
      <c r="AB190" s="498"/>
      <c r="AC190" s="144"/>
      <c r="AD190" s="144"/>
      <c r="AG190" s="233"/>
      <c r="AN190" s="525"/>
    </row>
    <row r="191" spans="1:46" s="2" customFormat="1">
      <c r="A191" s="496"/>
      <c r="C191" s="525"/>
      <c r="D191" s="525"/>
      <c r="E191" s="525"/>
      <c r="F191" s="525"/>
      <c r="G191" s="525"/>
      <c r="H191" s="525"/>
      <c r="I191" s="525"/>
      <c r="J191" s="525"/>
      <c r="K191" s="525"/>
      <c r="L191" s="525"/>
      <c r="M191" s="525"/>
      <c r="N191" s="525"/>
      <c r="O191" s="525"/>
      <c r="P191" s="525"/>
      <c r="Q191" s="525"/>
      <c r="R191" s="525"/>
      <c r="S191" s="525"/>
      <c r="T191" s="525"/>
      <c r="U191" s="525"/>
      <c r="V191" s="525"/>
      <c r="W191" s="525"/>
      <c r="X191" s="525"/>
      <c r="Y191" s="525"/>
      <c r="Z191" s="525"/>
      <c r="AA191" s="525"/>
      <c r="AB191" s="525"/>
      <c r="AE191" s="525"/>
      <c r="AH191" s="525"/>
      <c r="AI191" s="525"/>
      <c r="AN191" s="525"/>
      <c r="AO191" s="525"/>
      <c r="AP191" s="525"/>
      <c r="AQ191" s="525"/>
      <c r="AR191" s="525"/>
    </row>
    <row r="192" spans="1:46" s="2" customFormat="1">
      <c r="A192" s="506"/>
      <c r="C192" s="525"/>
      <c r="D192" s="525"/>
      <c r="E192" s="525"/>
      <c r="F192" s="525"/>
      <c r="G192" s="525"/>
      <c r="H192" s="525"/>
      <c r="I192" s="525"/>
      <c r="J192" s="525"/>
      <c r="K192" s="525"/>
      <c r="L192" s="525"/>
      <c r="M192" s="525"/>
      <c r="N192" s="525"/>
      <c r="O192" s="525"/>
      <c r="P192" s="525"/>
      <c r="Q192" s="525"/>
      <c r="R192" s="525"/>
      <c r="S192" s="525"/>
      <c r="T192" s="525"/>
      <c r="U192" s="525"/>
      <c r="V192" s="525"/>
      <c r="W192" s="525"/>
      <c r="X192" s="525"/>
      <c r="Y192" s="525"/>
      <c r="Z192" s="525"/>
      <c r="AA192" s="525"/>
      <c r="AB192" s="525"/>
      <c r="AI192" s="525"/>
      <c r="AN192" s="525"/>
      <c r="AO192" s="525"/>
      <c r="AP192" s="525"/>
      <c r="AQ192" s="525"/>
    </row>
    <row r="193" spans="1:44" s="2" customFormat="1">
      <c r="A193" s="508"/>
      <c r="C193" s="525"/>
      <c r="D193" s="525"/>
      <c r="E193" s="525"/>
      <c r="F193" s="525"/>
      <c r="G193" s="525"/>
      <c r="H193" s="525"/>
      <c r="I193" s="525"/>
      <c r="J193" s="525"/>
      <c r="K193" s="525"/>
      <c r="L193" s="525"/>
      <c r="M193" s="525"/>
      <c r="N193" s="525"/>
      <c r="O193" s="525"/>
      <c r="P193" s="525"/>
      <c r="Q193" s="525"/>
      <c r="R193" s="525"/>
      <c r="S193" s="525"/>
      <c r="T193" s="525"/>
      <c r="U193" s="525"/>
      <c r="V193" s="525"/>
      <c r="W193" s="525"/>
      <c r="X193" s="525"/>
      <c r="Y193" s="525"/>
      <c r="Z193" s="525"/>
      <c r="AA193" s="525"/>
      <c r="AB193" s="525"/>
      <c r="AE193" s="525"/>
      <c r="AH193" s="525"/>
      <c r="AI193" s="525"/>
      <c r="AJ193" s="537"/>
      <c r="AN193" s="525"/>
      <c r="AO193" s="525"/>
      <c r="AP193" s="525"/>
      <c r="AQ193" s="525"/>
      <c r="AR193" s="525"/>
    </row>
    <row r="194" spans="1:44" s="2" customFormat="1">
      <c r="A194" s="508"/>
      <c r="C194" s="525"/>
      <c r="D194" s="525"/>
      <c r="E194" s="525"/>
      <c r="F194" s="525"/>
      <c r="G194" s="525"/>
      <c r="H194" s="525"/>
      <c r="I194" s="525"/>
      <c r="J194" s="525"/>
      <c r="K194" s="525"/>
      <c r="L194" s="525"/>
      <c r="M194" s="525"/>
      <c r="N194" s="525"/>
      <c r="O194" s="525"/>
      <c r="P194" s="525"/>
      <c r="Q194" s="525"/>
      <c r="R194" s="525"/>
      <c r="S194" s="525"/>
      <c r="T194" s="525"/>
      <c r="U194" s="525"/>
      <c r="V194" s="525"/>
      <c r="W194" s="525"/>
      <c r="X194" s="525"/>
      <c r="Y194" s="525"/>
      <c r="Z194" s="525"/>
      <c r="AA194" s="525"/>
      <c r="AB194" s="525"/>
      <c r="AE194" s="525"/>
      <c r="AH194" s="525"/>
      <c r="AI194" s="525"/>
      <c r="AJ194" s="537"/>
      <c r="AN194" s="525"/>
      <c r="AO194" s="525"/>
      <c r="AP194" s="525"/>
      <c r="AQ194" s="525"/>
      <c r="AR194" s="525"/>
    </row>
    <row r="195" spans="1:44" s="2" customFormat="1">
      <c r="A195" s="508"/>
      <c r="C195" s="525"/>
      <c r="D195" s="525"/>
      <c r="E195" s="525"/>
      <c r="F195" s="525"/>
      <c r="G195" s="525"/>
      <c r="H195" s="525"/>
      <c r="I195" s="525"/>
      <c r="J195" s="525"/>
      <c r="K195" s="525"/>
      <c r="L195" s="525"/>
      <c r="M195" s="525"/>
      <c r="N195" s="525"/>
      <c r="O195" s="525"/>
      <c r="P195" s="525"/>
      <c r="Q195" s="525"/>
      <c r="R195" s="525"/>
      <c r="S195" s="525"/>
      <c r="T195" s="525"/>
      <c r="U195" s="525"/>
      <c r="V195" s="525"/>
      <c r="W195" s="525"/>
      <c r="X195" s="525"/>
      <c r="Y195" s="525"/>
      <c r="Z195" s="525"/>
      <c r="AA195" s="525"/>
      <c r="AB195" s="525"/>
      <c r="AE195" s="525"/>
      <c r="AH195" s="525"/>
      <c r="AI195" s="525"/>
      <c r="AJ195" s="537"/>
      <c r="AN195" s="525"/>
      <c r="AO195" s="525"/>
      <c r="AP195" s="525"/>
      <c r="AQ195" s="525"/>
      <c r="AR195" s="525"/>
    </row>
    <row r="196" spans="1:44" s="2" customFormat="1">
      <c r="A196" s="508"/>
      <c r="C196" s="525"/>
      <c r="D196" s="525"/>
      <c r="E196" s="525"/>
      <c r="F196" s="525"/>
      <c r="G196" s="525"/>
      <c r="H196" s="525"/>
      <c r="I196" s="525"/>
      <c r="J196" s="525"/>
      <c r="K196" s="525"/>
      <c r="L196" s="525"/>
      <c r="M196" s="525"/>
      <c r="N196" s="525"/>
      <c r="O196" s="525"/>
      <c r="P196" s="525"/>
      <c r="Q196" s="525"/>
      <c r="R196" s="525"/>
      <c r="S196" s="525"/>
      <c r="T196" s="525"/>
      <c r="U196" s="525"/>
      <c r="V196" s="525"/>
      <c r="W196" s="525"/>
      <c r="X196" s="525"/>
      <c r="Y196" s="525"/>
      <c r="Z196" s="525"/>
      <c r="AA196" s="525"/>
      <c r="AB196" s="525"/>
      <c r="AE196" s="525"/>
      <c r="AH196" s="525"/>
      <c r="AI196" s="525"/>
      <c r="AJ196" s="537"/>
      <c r="AN196" s="525"/>
      <c r="AO196" s="525"/>
      <c r="AP196" s="525"/>
      <c r="AQ196" s="525"/>
      <c r="AR196" s="525"/>
    </row>
    <row r="197" spans="1:44" s="2" customFormat="1">
      <c r="A197" s="508"/>
      <c r="C197" s="525"/>
      <c r="D197" s="525"/>
      <c r="E197" s="525"/>
      <c r="F197" s="525"/>
      <c r="G197" s="525"/>
      <c r="H197" s="525"/>
      <c r="I197" s="525"/>
      <c r="J197" s="525"/>
      <c r="K197" s="525"/>
      <c r="L197" s="525"/>
      <c r="M197" s="525"/>
      <c r="N197" s="525"/>
      <c r="O197" s="525"/>
      <c r="P197" s="525"/>
      <c r="Q197" s="525"/>
      <c r="R197" s="525"/>
      <c r="S197" s="525"/>
      <c r="T197" s="525"/>
      <c r="U197" s="525"/>
      <c r="V197" s="525"/>
      <c r="W197" s="525"/>
      <c r="X197" s="525"/>
      <c r="Y197" s="525"/>
      <c r="Z197" s="525"/>
      <c r="AA197" s="525"/>
      <c r="AB197" s="525"/>
      <c r="AE197" s="525"/>
      <c r="AH197" s="525"/>
      <c r="AI197" s="525"/>
      <c r="AJ197" s="537"/>
      <c r="AN197" s="525"/>
      <c r="AO197" s="525"/>
      <c r="AP197" s="525"/>
      <c r="AQ197" s="525"/>
      <c r="AR197" s="525"/>
    </row>
    <row r="198" spans="1:44" s="2" customFormat="1">
      <c r="A198" s="508"/>
      <c r="C198" s="525"/>
      <c r="D198" s="525"/>
      <c r="E198" s="525"/>
      <c r="F198" s="525"/>
      <c r="G198" s="525"/>
      <c r="H198" s="525"/>
      <c r="I198" s="525"/>
      <c r="J198" s="525"/>
      <c r="K198" s="525"/>
      <c r="L198" s="525"/>
      <c r="M198" s="525"/>
      <c r="N198" s="525"/>
      <c r="O198" s="525"/>
      <c r="P198" s="525"/>
      <c r="Q198" s="525"/>
      <c r="R198" s="525"/>
      <c r="S198" s="525"/>
      <c r="T198" s="525"/>
      <c r="U198" s="525"/>
      <c r="V198" s="525"/>
      <c r="W198" s="525"/>
      <c r="X198" s="525"/>
      <c r="Y198" s="525"/>
      <c r="Z198" s="525"/>
      <c r="AA198" s="525"/>
      <c r="AB198" s="525"/>
      <c r="AE198" s="525"/>
      <c r="AH198" s="525"/>
      <c r="AI198" s="525"/>
      <c r="AJ198" s="537"/>
      <c r="AN198" s="525"/>
      <c r="AO198" s="525"/>
      <c r="AP198" s="525"/>
      <c r="AQ198" s="525"/>
      <c r="AR198" s="525"/>
    </row>
    <row r="199" spans="1:44" s="2" customFormat="1">
      <c r="A199" s="508"/>
      <c r="C199" s="525"/>
      <c r="D199" s="525"/>
      <c r="E199" s="525"/>
      <c r="F199" s="525"/>
      <c r="G199" s="525"/>
      <c r="H199" s="525"/>
      <c r="I199" s="525"/>
      <c r="J199" s="525"/>
      <c r="K199" s="525"/>
      <c r="L199" s="525"/>
      <c r="M199" s="525"/>
      <c r="N199" s="525"/>
      <c r="O199" s="525"/>
      <c r="P199" s="525"/>
      <c r="Q199" s="525"/>
      <c r="R199" s="525"/>
      <c r="S199" s="525"/>
      <c r="T199" s="525"/>
      <c r="U199" s="525"/>
      <c r="V199" s="525"/>
      <c r="W199" s="525"/>
      <c r="X199" s="525"/>
      <c r="Y199" s="525"/>
      <c r="Z199" s="525"/>
      <c r="AA199" s="525"/>
      <c r="AB199" s="525"/>
      <c r="AC199" s="525"/>
      <c r="AD199" s="521"/>
      <c r="AE199" s="521"/>
      <c r="AF199" s="525"/>
      <c r="AG199" s="525"/>
      <c r="AH199" s="525"/>
      <c r="AI199" s="525"/>
      <c r="AJ199" s="537"/>
      <c r="AN199" s="525"/>
      <c r="AO199" s="525"/>
      <c r="AP199" s="525"/>
      <c r="AQ199" s="525"/>
      <c r="AR199" s="525"/>
    </row>
    <row r="200" spans="1:44" s="2" customFormat="1">
      <c r="A200" s="508"/>
      <c r="C200" s="525"/>
      <c r="D200" s="525"/>
      <c r="E200" s="525"/>
      <c r="F200" s="525"/>
      <c r="G200" s="525"/>
      <c r="H200" s="525"/>
      <c r="I200" s="525"/>
      <c r="J200" s="525"/>
      <c r="K200" s="525"/>
      <c r="L200" s="525"/>
      <c r="M200" s="525"/>
      <c r="N200" s="525"/>
      <c r="O200" s="525"/>
      <c r="P200" s="525"/>
      <c r="Q200" s="525"/>
      <c r="R200" s="525"/>
      <c r="S200" s="525"/>
      <c r="T200" s="525"/>
      <c r="U200" s="525"/>
      <c r="V200" s="525"/>
      <c r="W200" s="525"/>
      <c r="X200" s="525"/>
      <c r="Y200" s="525"/>
      <c r="Z200" s="525"/>
      <c r="AA200" s="525"/>
      <c r="AB200" s="525"/>
      <c r="AC200" s="525"/>
      <c r="AE200" s="525"/>
      <c r="AG200" s="521"/>
      <c r="AH200" s="525"/>
      <c r="AI200" s="525"/>
      <c r="AN200" s="525"/>
      <c r="AO200" s="525"/>
      <c r="AP200" s="525"/>
      <c r="AQ200" s="525"/>
      <c r="AR200" s="525"/>
    </row>
    <row r="201" spans="1:44" s="2" customFormat="1">
      <c r="A201" s="496"/>
      <c r="B201" s="497"/>
      <c r="C201" s="498"/>
      <c r="D201" s="498"/>
      <c r="E201" s="498"/>
      <c r="F201" s="498"/>
      <c r="G201" s="498"/>
      <c r="H201" s="498"/>
      <c r="I201" s="498"/>
      <c r="J201" s="498"/>
      <c r="K201" s="498"/>
      <c r="L201" s="498"/>
      <c r="M201" s="498"/>
      <c r="N201" s="498"/>
      <c r="O201" s="498"/>
      <c r="P201" s="498"/>
      <c r="Q201" s="498"/>
      <c r="R201" s="498"/>
      <c r="S201" s="498"/>
      <c r="T201" s="498"/>
      <c r="U201" s="498"/>
      <c r="V201" s="498"/>
      <c r="W201" s="498"/>
      <c r="X201" s="498"/>
      <c r="Y201" s="498"/>
      <c r="Z201" s="498"/>
      <c r="AA201" s="498"/>
      <c r="AB201" s="498"/>
      <c r="AC201" s="144"/>
      <c r="AD201" s="539"/>
      <c r="AN201" s="525"/>
    </row>
    <row r="202" spans="1:44" s="2" customFormat="1">
      <c r="A202" s="496"/>
      <c r="C202" s="498"/>
      <c r="D202" s="498"/>
      <c r="E202" s="498"/>
      <c r="F202" s="498"/>
      <c r="G202" s="498"/>
      <c r="H202" s="498"/>
      <c r="I202" s="498"/>
      <c r="J202" s="498"/>
      <c r="K202" s="498"/>
      <c r="L202" s="498"/>
      <c r="M202" s="498"/>
      <c r="N202" s="498"/>
      <c r="O202" s="498"/>
      <c r="P202" s="498"/>
      <c r="Q202" s="498"/>
      <c r="R202" s="498"/>
      <c r="S202" s="498"/>
      <c r="T202" s="498"/>
      <c r="U202" s="498"/>
      <c r="V202" s="498"/>
      <c r="W202" s="498"/>
      <c r="X202" s="498"/>
      <c r="Y202" s="498"/>
      <c r="Z202" s="498"/>
      <c r="AA202" s="498"/>
      <c r="AB202" s="498"/>
      <c r="AC202" s="521"/>
      <c r="AD202" s="540"/>
      <c r="AE202" s="540"/>
      <c r="AF202" s="540"/>
      <c r="AG202" s="540"/>
      <c r="AH202" s="509"/>
      <c r="AI202" s="541"/>
      <c r="AJ202" s="538"/>
      <c r="AN202" s="525"/>
      <c r="AO202" s="525"/>
      <c r="AP202" s="525"/>
      <c r="AQ202" s="525"/>
      <c r="AR202" s="509"/>
    </row>
    <row r="203" spans="1:44" s="2" customFormat="1">
      <c r="A203" s="506"/>
      <c r="C203" s="498"/>
      <c r="D203" s="498"/>
      <c r="E203" s="498"/>
      <c r="F203" s="498"/>
      <c r="G203" s="498"/>
      <c r="H203" s="498"/>
      <c r="I203" s="498"/>
      <c r="J203" s="498"/>
      <c r="K203" s="498"/>
      <c r="L203" s="498"/>
      <c r="M203" s="498"/>
      <c r="N203" s="498"/>
      <c r="O203" s="498"/>
      <c r="P203" s="498"/>
      <c r="Q203" s="498"/>
      <c r="R203" s="498"/>
      <c r="S203" s="498"/>
      <c r="T203" s="498"/>
      <c r="U203" s="498"/>
      <c r="V203" s="498"/>
      <c r="W203" s="498"/>
      <c r="X203" s="498"/>
      <c r="Y203" s="498"/>
      <c r="Z203" s="498"/>
      <c r="AA203" s="498"/>
      <c r="AB203" s="498"/>
      <c r="AC203" s="521"/>
      <c r="AD203" s="540"/>
      <c r="AF203" s="540"/>
      <c r="AG203" s="540"/>
      <c r="AH203" s="507"/>
      <c r="AI203" s="541"/>
      <c r="AJ203" s="538"/>
      <c r="AN203" s="525"/>
      <c r="AO203" s="525"/>
      <c r="AP203" s="525"/>
      <c r="AQ203" s="525"/>
      <c r="AR203" s="507"/>
    </row>
    <row r="204" spans="1:44" s="2" customFormat="1">
      <c r="A204" s="508"/>
      <c r="C204" s="525"/>
      <c r="D204" s="525"/>
      <c r="E204" s="525"/>
      <c r="F204" s="525"/>
      <c r="G204" s="525"/>
      <c r="H204" s="525"/>
      <c r="I204" s="525"/>
      <c r="J204" s="525"/>
      <c r="K204" s="525"/>
      <c r="L204" s="525"/>
      <c r="M204" s="525"/>
      <c r="N204" s="525"/>
      <c r="O204" s="525"/>
      <c r="P204" s="525"/>
      <c r="Q204" s="525"/>
      <c r="R204" s="498"/>
      <c r="S204" s="498"/>
      <c r="T204" s="498"/>
      <c r="U204" s="498"/>
      <c r="V204" s="498"/>
      <c r="W204" s="498"/>
      <c r="X204" s="498"/>
      <c r="Y204" s="498"/>
      <c r="Z204" s="498"/>
      <c r="AA204" s="498"/>
      <c r="AB204" s="498"/>
      <c r="AC204" s="521"/>
      <c r="AD204" s="540"/>
      <c r="AE204" s="540"/>
      <c r="AF204" s="540"/>
      <c r="AG204" s="540"/>
      <c r="AI204" s="541"/>
      <c r="AJ204" s="538"/>
      <c r="AN204" s="525"/>
      <c r="AO204" s="525"/>
      <c r="AP204" s="525"/>
      <c r="AQ204" s="525"/>
    </row>
    <row r="205" spans="1:44" s="2" customFormat="1">
      <c r="A205" s="508"/>
      <c r="C205" s="525"/>
      <c r="D205" s="525"/>
      <c r="E205" s="525"/>
      <c r="F205" s="525"/>
      <c r="G205" s="525"/>
      <c r="H205" s="525"/>
      <c r="I205" s="525"/>
      <c r="J205" s="525"/>
      <c r="K205" s="525"/>
      <c r="L205" s="525"/>
      <c r="M205" s="525"/>
      <c r="N205" s="525"/>
      <c r="O205" s="525"/>
      <c r="P205" s="525"/>
      <c r="Q205" s="525"/>
      <c r="R205" s="525"/>
      <c r="S205" s="525"/>
      <c r="T205" s="525"/>
      <c r="U205" s="525"/>
      <c r="V205" s="525"/>
      <c r="W205" s="498"/>
      <c r="X205" s="498"/>
      <c r="Y205" s="498"/>
      <c r="Z205" s="498"/>
      <c r="AA205" s="498"/>
      <c r="AB205" s="498"/>
      <c r="AC205" s="521"/>
      <c r="AD205" s="540"/>
      <c r="AE205" s="540"/>
      <c r="AF205" s="540"/>
      <c r="AG205" s="540"/>
      <c r="AH205" s="509"/>
      <c r="AI205" s="541"/>
      <c r="AJ205" s="538"/>
      <c r="AN205" s="525"/>
      <c r="AO205" s="525"/>
      <c r="AP205" s="525"/>
      <c r="AQ205" s="525"/>
      <c r="AR205" s="509"/>
    </row>
    <row r="206" spans="1:44" s="2" customFormat="1">
      <c r="A206" s="508"/>
      <c r="C206" s="525"/>
      <c r="D206" s="525"/>
      <c r="E206" s="525"/>
      <c r="F206" s="525"/>
      <c r="G206" s="525"/>
      <c r="H206" s="525"/>
      <c r="I206" s="525"/>
      <c r="J206" s="525"/>
      <c r="K206" s="525"/>
      <c r="L206" s="525"/>
      <c r="M206" s="525"/>
      <c r="N206" s="525"/>
      <c r="O206" s="525"/>
      <c r="P206" s="525"/>
      <c r="Q206" s="525"/>
      <c r="R206" s="498"/>
      <c r="S206" s="498"/>
      <c r="T206" s="498"/>
      <c r="U206" s="498"/>
      <c r="V206" s="498"/>
      <c r="W206" s="498"/>
      <c r="X206" s="498"/>
      <c r="Y206" s="498"/>
      <c r="Z206" s="498"/>
      <c r="AA206" s="498"/>
      <c r="AB206" s="498"/>
      <c r="AC206" s="521"/>
      <c r="AD206" s="540"/>
      <c r="AE206" s="540"/>
      <c r="AF206" s="540"/>
      <c r="AG206" s="540"/>
      <c r="AH206" s="509"/>
      <c r="AI206" s="541"/>
      <c r="AJ206" s="538"/>
      <c r="AN206" s="525"/>
      <c r="AO206" s="525"/>
      <c r="AP206" s="525"/>
      <c r="AQ206" s="525"/>
      <c r="AR206" s="509"/>
    </row>
    <row r="207" spans="1:44" s="2" customFormat="1">
      <c r="A207" s="508"/>
      <c r="C207" s="525"/>
      <c r="D207" s="525"/>
      <c r="E207" s="525"/>
      <c r="F207" s="525"/>
      <c r="G207" s="525"/>
      <c r="H207" s="525"/>
      <c r="I207" s="525"/>
      <c r="J207" s="525"/>
      <c r="K207" s="525"/>
      <c r="L207" s="525"/>
      <c r="M207" s="525"/>
      <c r="N207" s="525"/>
      <c r="O207" s="525"/>
      <c r="P207" s="525"/>
      <c r="Q207" s="525"/>
      <c r="R207" s="498"/>
      <c r="S207" s="498"/>
      <c r="T207" s="498"/>
      <c r="U207" s="498"/>
      <c r="V207" s="498"/>
      <c r="W207" s="498"/>
      <c r="X207" s="498"/>
      <c r="Y207" s="498"/>
      <c r="Z207" s="498"/>
      <c r="AA207" s="498"/>
      <c r="AB207" s="498"/>
      <c r="AC207" s="521"/>
      <c r="AD207" s="540"/>
      <c r="AE207" s="540"/>
      <c r="AF207" s="540"/>
      <c r="AG207" s="540"/>
      <c r="AH207" s="509"/>
      <c r="AI207" s="541"/>
      <c r="AJ207" s="538"/>
      <c r="AN207" s="525"/>
      <c r="AO207" s="525"/>
      <c r="AP207" s="525"/>
      <c r="AQ207" s="525"/>
      <c r="AR207" s="509"/>
    </row>
    <row r="208" spans="1:44" s="2" customFormat="1">
      <c r="A208" s="508"/>
      <c r="C208" s="525"/>
      <c r="D208" s="525"/>
      <c r="E208" s="525"/>
      <c r="F208" s="525"/>
      <c r="G208" s="525"/>
      <c r="H208" s="525"/>
      <c r="I208" s="525"/>
      <c r="J208" s="525"/>
      <c r="K208" s="525"/>
      <c r="L208" s="525"/>
      <c r="M208" s="525"/>
      <c r="N208" s="525"/>
      <c r="O208" s="525"/>
      <c r="P208" s="525"/>
      <c r="Q208" s="525"/>
      <c r="R208" s="498"/>
      <c r="S208" s="498"/>
      <c r="T208" s="498"/>
      <c r="U208" s="498"/>
      <c r="V208" s="498"/>
      <c r="W208" s="498"/>
      <c r="X208" s="498"/>
      <c r="Y208" s="498"/>
      <c r="Z208" s="498"/>
      <c r="AA208" s="498"/>
      <c r="AB208" s="498"/>
      <c r="AC208" s="521"/>
      <c r="AD208" s="540"/>
      <c r="AE208" s="540"/>
      <c r="AF208" s="540"/>
      <c r="AG208" s="540"/>
      <c r="AH208" s="509"/>
      <c r="AI208" s="541"/>
      <c r="AJ208" s="538"/>
      <c r="AN208" s="525"/>
      <c r="AO208" s="525"/>
      <c r="AP208" s="525"/>
      <c r="AQ208" s="525"/>
      <c r="AR208" s="509"/>
    </row>
    <row r="209" spans="1:46" s="2" customFormat="1">
      <c r="A209" s="508"/>
      <c r="C209" s="525"/>
      <c r="D209" s="525"/>
      <c r="E209" s="525"/>
      <c r="F209" s="525"/>
      <c r="G209" s="525"/>
      <c r="H209" s="525"/>
      <c r="I209" s="525"/>
      <c r="J209" s="525"/>
      <c r="K209" s="525"/>
      <c r="L209" s="525"/>
      <c r="M209" s="525"/>
      <c r="N209" s="525"/>
      <c r="O209" s="525"/>
      <c r="P209" s="525"/>
      <c r="Q209" s="525"/>
      <c r="R209" s="498"/>
      <c r="S209" s="498"/>
      <c r="T209" s="498"/>
      <c r="U209" s="498"/>
      <c r="V209" s="498"/>
      <c r="W209" s="498"/>
      <c r="X209" s="498"/>
      <c r="Y209" s="498"/>
      <c r="Z209" s="498"/>
      <c r="AA209" s="498"/>
      <c r="AB209" s="498"/>
      <c r="AC209" s="521"/>
      <c r="AD209" s="540"/>
      <c r="AE209" s="540"/>
      <c r="AF209" s="540"/>
      <c r="AG209" s="540"/>
      <c r="AH209" s="509"/>
      <c r="AI209" s="541"/>
      <c r="AJ209" s="538"/>
      <c r="AN209" s="525"/>
      <c r="AO209" s="525"/>
      <c r="AP209" s="525"/>
      <c r="AQ209" s="525"/>
      <c r="AR209" s="509"/>
    </row>
    <row r="210" spans="1:46" s="2" customFormat="1">
      <c r="A210" s="508"/>
      <c r="C210" s="525"/>
      <c r="D210" s="525"/>
      <c r="E210" s="525"/>
      <c r="F210" s="525"/>
      <c r="G210" s="525"/>
      <c r="H210" s="525"/>
      <c r="I210" s="525"/>
      <c r="J210" s="525"/>
      <c r="K210" s="525"/>
      <c r="L210" s="525"/>
      <c r="M210" s="525"/>
      <c r="N210" s="525"/>
      <c r="O210" s="525"/>
      <c r="P210" s="525"/>
      <c r="Q210" s="525"/>
      <c r="R210" s="525"/>
      <c r="S210" s="525"/>
      <c r="T210" s="525"/>
      <c r="U210" s="525"/>
      <c r="V210" s="525"/>
      <c r="W210" s="525"/>
      <c r="X210" s="525"/>
      <c r="Y210" s="525"/>
      <c r="Z210" s="525"/>
      <c r="AA210" s="525"/>
      <c r="AB210" s="525"/>
      <c r="AC210" s="528"/>
      <c r="AD210" s="542"/>
      <c r="AE210" s="542"/>
      <c r="AF210" s="525"/>
      <c r="AG210" s="525"/>
      <c r="AH210" s="509"/>
      <c r="AI210" s="541"/>
      <c r="AJ210" s="538"/>
      <c r="AN210" s="525"/>
      <c r="AO210" s="525"/>
      <c r="AP210" s="525"/>
      <c r="AQ210" s="525"/>
      <c r="AR210" s="509"/>
    </row>
    <row r="211" spans="1:46" s="2" customFormat="1">
      <c r="A211" s="508"/>
      <c r="C211" s="525"/>
      <c r="D211" s="525"/>
      <c r="E211" s="525"/>
      <c r="F211" s="525"/>
      <c r="G211" s="525"/>
      <c r="H211" s="525"/>
      <c r="I211" s="525"/>
      <c r="J211" s="525"/>
      <c r="K211" s="525"/>
      <c r="L211" s="525"/>
      <c r="M211" s="525"/>
      <c r="N211" s="525"/>
      <c r="O211" s="525"/>
      <c r="P211" s="525"/>
      <c r="Q211" s="525"/>
      <c r="R211" s="498"/>
      <c r="S211" s="498"/>
      <c r="T211" s="498"/>
      <c r="U211" s="498"/>
      <c r="V211" s="498"/>
      <c r="W211" s="498"/>
      <c r="X211" s="498"/>
      <c r="Y211" s="498"/>
      <c r="Z211" s="498"/>
      <c r="AA211" s="498"/>
      <c r="AB211" s="498"/>
      <c r="AC211" s="521"/>
      <c r="AD211" s="540"/>
      <c r="AE211" s="540"/>
      <c r="AF211" s="540"/>
      <c r="AG211" s="540"/>
      <c r="AH211" s="509"/>
      <c r="AI211" s="541"/>
      <c r="AJ211" s="538"/>
      <c r="AN211" s="525"/>
      <c r="AO211" s="525"/>
      <c r="AP211" s="525"/>
      <c r="AQ211" s="525"/>
      <c r="AR211" s="509"/>
    </row>
    <row r="212" spans="1:46" s="2" customFormat="1">
      <c r="A212" s="496"/>
      <c r="B212" s="515"/>
      <c r="C212" s="498"/>
      <c r="D212" s="498"/>
      <c r="E212" s="498"/>
      <c r="F212" s="498"/>
      <c r="G212" s="498"/>
      <c r="H212" s="498"/>
      <c r="I212" s="498"/>
      <c r="J212" s="498"/>
      <c r="K212" s="498"/>
      <c r="L212" s="498"/>
      <c r="M212" s="498"/>
      <c r="N212" s="498"/>
      <c r="O212" s="498"/>
      <c r="P212" s="498"/>
      <c r="Q212" s="498"/>
      <c r="R212" s="498"/>
      <c r="S212" s="498"/>
      <c r="T212" s="498"/>
      <c r="U212" s="498"/>
      <c r="V212" s="498"/>
      <c r="W212" s="498"/>
      <c r="X212" s="498"/>
      <c r="Y212" s="498"/>
      <c r="Z212" s="498"/>
      <c r="AA212" s="498"/>
      <c r="AB212" s="498"/>
      <c r="AC212" s="144"/>
      <c r="AD212" s="539"/>
      <c r="AJ212" s="537"/>
      <c r="AN212" s="525"/>
    </row>
    <row r="213" spans="1:46" s="2" customFormat="1">
      <c r="A213" s="496"/>
      <c r="C213" s="525"/>
      <c r="D213" s="525"/>
      <c r="E213" s="525"/>
      <c r="F213" s="525"/>
      <c r="G213" s="525"/>
      <c r="H213" s="525"/>
      <c r="I213" s="525"/>
      <c r="J213" s="525"/>
      <c r="K213" s="525"/>
      <c r="L213" s="525"/>
      <c r="M213" s="525"/>
      <c r="N213" s="525"/>
      <c r="O213" s="525"/>
      <c r="P213" s="525"/>
      <c r="Q213" s="525"/>
      <c r="R213" s="525"/>
      <c r="S213" s="525"/>
      <c r="T213" s="525"/>
      <c r="U213" s="525"/>
      <c r="V213" s="525"/>
      <c r="W213" s="525"/>
      <c r="X213" s="525"/>
      <c r="Y213" s="525"/>
      <c r="Z213" s="525"/>
      <c r="AA213" s="525"/>
      <c r="AB213" s="525"/>
      <c r="AE213" s="543"/>
      <c r="AH213" s="525"/>
      <c r="AI213" s="537"/>
      <c r="AJ213" s="537"/>
      <c r="AN213" s="525"/>
      <c r="AO213" s="525"/>
      <c r="AP213" s="525"/>
      <c r="AQ213" s="525"/>
      <c r="AR213" s="525"/>
      <c r="AS213" s="525"/>
      <c r="AT213" s="525"/>
    </row>
    <row r="214" spans="1:46" s="2" customFormat="1">
      <c r="A214" s="506"/>
      <c r="C214" s="525"/>
      <c r="D214" s="525"/>
      <c r="E214" s="525"/>
      <c r="F214" s="525"/>
      <c r="G214" s="525"/>
      <c r="H214" s="525"/>
      <c r="I214" s="525"/>
      <c r="J214" s="525"/>
      <c r="K214" s="525"/>
      <c r="L214" s="525"/>
      <c r="M214" s="525"/>
      <c r="N214" s="525"/>
      <c r="O214" s="525"/>
      <c r="P214" s="525"/>
      <c r="Q214" s="525"/>
      <c r="R214" s="525"/>
      <c r="S214" s="525"/>
      <c r="T214" s="525"/>
      <c r="U214" s="525"/>
      <c r="V214" s="525"/>
      <c r="W214" s="525"/>
      <c r="X214" s="525"/>
      <c r="Y214" s="525"/>
      <c r="Z214" s="525"/>
      <c r="AA214" s="525"/>
      <c r="AB214" s="525"/>
      <c r="AH214" s="525"/>
      <c r="AI214" s="537"/>
      <c r="AJ214" s="537"/>
      <c r="AN214" s="525"/>
      <c r="AO214" s="525"/>
      <c r="AP214" s="525"/>
      <c r="AQ214" s="525"/>
      <c r="AR214" s="525"/>
      <c r="AS214" s="525"/>
      <c r="AT214" s="525"/>
    </row>
    <row r="215" spans="1:46" s="2" customFormat="1">
      <c r="A215" s="508"/>
      <c r="C215" s="525"/>
      <c r="D215" s="525"/>
      <c r="E215" s="525"/>
      <c r="F215" s="525"/>
      <c r="G215" s="525"/>
      <c r="H215" s="525"/>
      <c r="I215" s="525"/>
      <c r="J215" s="525"/>
      <c r="K215" s="525"/>
      <c r="L215" s="525"/>
      <c r="M215" s="525"/>
      <c r="N215" s="525"/>
      <c r="O215" s="525"/>
      <c r="P215" s="525"/>
      <c r="Q215" s="525"/>
      <c r="R215" s="525"/>
      <c r="S215" s="525"/>
      <c r="T215" s="525"/>
      <c r="U215" s="525"/>
      <c r="V215" s="525"/>
      <c r="W215" s="525"/>
      <c r="X215" s="525"/>
      <c r="Y215" s="525"/>
      <c r="Z215" s="525"/>
      <c r="AA215" s="525"/>
      <c r="AB215" s="525"/>
      <c r="AC215" s="525"/>
      <c r="AE215" s="543"/>
      <c r="AH215" s="525"/>
      <c r="AI215" s="537"/>
      <c r="AJ215" s="537"/>
      <c r="AN215" s="525"/>
      <c r="AO215" s="525"/>
      <c r="AP215" s="525"/>
      <c r="AQ215" s="525"/>
      <c r="AR215" s="525"/>
      <c r="AS215" s="525"/>
      <c r="AT215" s="525"/>
    </row>
    <row r="216" spans="1:46" s="2" customFormat="1">
      <c r="A216" s="508"/>
      <c r="C216" s="525"/>
      <c r="D216" s="525"/>
      <c r="E216" s="525"/>
      <c r="F216" s="525"/>
      <c r="G216" s="525"/>
      <c r="H216" s="525"/>
      <c r="I216" s="525"/>
      <c r="J216" s="525"/>
      <c r="K216" s="525"/>
      <c r="L216" s="525"/>
      <c r="M216" s="525"/>
      <c r="N216" s="525"/>
      <c r="O216" s="525"/>
      <c r="P216" s="525"/>
      <c r="Q216" s="525"/>
      <c r="R216" s="525"/>
      <c r="S216" s="525"/>
      <c r="T216" s="525"/>
      <c r="U216" s="525"/>
      <c r="V216" s="525"/>
      <c r="W216" s="525"/>
      <c r="X216" s="525"/>
      <c r="Y216" s="525"/>
      <c r="Z216" s="525"/>
      <c r="AA216" s="525"/>
      <c r="AB216" s="525"/>
      <c r="AC216" s="525"/>
      <c r="AE216" s="543"/>
      <c r="AH216" s="525"/>
      <c r="AI216" s="537"/>
      <c r="AJ216" s="537"/>
      <c r="AN216" s="525"/>
      <c r="AO216" s="525"/>
      <c r="AP216" s="525"/>
      <c r="AQ216" s="525"/>
      <c r="AR216" s="525"/>
      <c r="AS216" s="525"/>
      <c r="AT216" s="525"/>
    </row>
    <row r="217" spans="1:46" s="2" customFormat="1">
      <c r="A217" s="508"/>
      <c r="C217" s="525"/>
      <c r="D217" s="525"/>
      <c r="E217" s="525"/>
      <c r="F217" s="525"/>
      <c r="G217" s="525"/>
      <c r="H217" s="525"/>
      <c r="I217" s="525"/>
      <c r="J217" s="525"/>
      <c r="K217" s="525"/>
      <c r="L217" s="525"/>
      <c r="M217" s="525"/>
      <c r="N217" s="525"/>
      <c r="O217" s="525"/>
      <c r="P217" s="525"/>
      <c r="Q217" s="525"/>
      <c r="R217" s="525"/>
      <c r="S217" s="525"/>
      <c r="T217" s="525"/>
      <c r="U217" s="525"/>
      <c r="V217" s="525"/>
      <c r="W217" s="525"/>
      <c r="X217" s="525"/>
      <c r="Y217" s="525"/>
      <c r="Z217" s="525"/>
      <c r="AA217" s="525"/>
      <c r="AB217" s="525"/>
      <c r="AC217" s="525"/>
      <c r="AE217" s="543"/>
      <c r="AH217" s="525"/>
      <c r="AI217" s="537"/>
      <c r="AJ217" s="537"/>
      <c r="AN217" s="525"/>
      <c r="AO217" s="525"/>
      <c r="AP217" s="525"/>
      <c r="AQ217" s="525"/>
      <c r="AR217" s="525"/>
      <c r="AS217" s="525"/>
      <c r="AT217" s="525"/>
    </row>
    <row r="218" spans="1:46" s="2" customFormat="1">
      <c r="A218" s="508"/>
      <c r="C218" s="525"/>
      <c r="D218" s="525"/>
      <c r="E218" s="525"/>
      <c r="F218" s="525"/>
      <c r="G218" s="525"/>
      <c r="H218" s="525"/>
      <c r="I218" s="525"/>
      <c r="J218" s="525"/>
      <c r="K218" s="525"/>
      <c r="L218" s="525"/>
      <c r="M218" s="525"/>
      <c r="N218" s="525"/>
      <c r="O218" s="525"/>
      <c r="P218" s="525"/>
      <c r="Q218" s="525"/>
      <c r="R218" s="525"/>
      <c r="S218" s="525"/>
      <c r="T218" s="525"/>
      <c r="U218" s="525"/>
      <c r="V218" s="525"/>
      <c r="W218" s="525"/>
      <c r="X218" s="525"/>
      <c r="Y218" s="525"/>
      <c r="Z218" s="525"/>
      <c r="AA218" s="525"/>
      <c r="AB218" s="525"/>
      <c r="AC218" s="525"/>
      <c r="AE218" s="543"/>
      <c r="AH218" s="525"/>
      <c r="AI218" s="537"/>
      <c r="AJ218" s="537"/>
      <c r="AN218" s="525"/>
      <c r="AO218" s="525"/>
      <c r="AP218" s="525"/>
      <c r="AQ218" s="525"/>
      <c r="AR218" s="525"/>
      <c r="AS218" s="525"/>
      <c r="AT218" s="525"/>
    </row>
    <row r="219" spans="1:46" s="2" customFormat="1">
      <c r="A219" s="508"/>
      <c r="C219" s="525"/>
      <c r="D219" s="525"/>
      <c r="E219" s="525"/>
      <c r="F219" s="525"/>
      <c r="G219" s="525"/>
      <c r="H219" s="525"/>
      <c r="I219" s="525"/>
      <c r="J219" s="525"/>
      <c r="K219" s="525"/>
      <c r="L219" s="525"/>
      <c r="M219" s="525"/>
      <c r="N219" s="525"/>
      <c r="O219" s="525"/>
      <c r="P219" s="525"/>
      <c r="Q219" s="525"/>
      <c r="R219" s="525"/>
      <c r="S219" s="525"/>
      <c r="T219" s="525"/>
      <c r="U219" s="525"/>
      <c r="V219" s="525"/>
      <c r="W219" s="525"/>
      <c r="X219" s="525"/>
      <c r="Y219" s="525"/>
      <c r="Z219" s="525"/>
      <c r="AA219" s="525"/>
      <c r="AB219" s="525"/>
      <c r="AC219" s="525"/>
      <c r="AD219" s="521"/>
      <c r="AE219" s="543"/>
      <c r="AF219" s="525"/>
      <c r="AG219" s="525"/>
      <c r="AH219" s="525"/>
      <c r="AI219" s="537"/>
      <c r="AJ219" s="537"/>
      <c r="AN219" s="525"/>
      <c r="AO219" s="525"/>
      <c r="AP219" s="525"/>
      <c r="AQ219" s="525"/>
      <c r="AR219" s="525"/>
      <c r="AS219" s="525"/>
      <c r="AT219" s="525"/>
    </row>
    <row r="220" spans="1:46" s="2" customFormat="1">
      <c r="A220" s="508"/>
      <c r="C220" s="525"/>
      <c r="D220" s="525"/>
      <c r="E220" s="525"/>
      <c r="F220" s="525"/>
      <c r="G220" s="525"/>
      <c r="H220" s="525"/>
      <c r="I220" s="525"/>
      <c r="J220" s="525"/>
      <c r="K220" s="525"/>
      <c r="L220" s="525"/>
      <c r="M220" s="525"/>
      <c r="N220" s="525"/>
      <c r="O220" s="525"/>
      <c r="P220" s="525"/>
      <c r="Q220" s="525"/>
      <c r="R220" s="525"/>
      <c r="S220" s="525"/>
      <c r="T220" s="525"/>
      <c r="U220" s="525"/>
      <c r="V220" s="525"/>
      <c r="W220" s="525"/>
      <c r="X220" s="525"/>
      <c r="Y220" s="525"/>
      <c r="Z220" s="525"/>
      <c r="AA220" s="525"/>
      <c r="AB220" s="525"/>
      <c r="AC220" s="525"/>
      <c r="AE220" s="543"/>
      <c r="AH220" s="525"/>
      <c r="AI220" s="537"/>
      <c r="AJ220" s="537"/>
      <c r="AN220" s="525"/>
      <c r="AO220" s="525"/>
      <c r="AP220" s="525"/>
      <c r="AQ220" s="525"/>
      <c r="AR220" s="525"/>
      <c r="AS220" s="525"/>
      <c r="AT220" s="525"/>
    </row>
    <row r="221" spans="1:46" s="2" customFormat="1">
      <c r="A221" s="508"/>
      <c r="C221" s="525"/>
      <c r="D221" s="525"/>
      <c r="E221" s="525"/>
      <c r="F221" s="525"/>
      <c r="G221" s="525"/>
      <c r="H221" s="525"/>
      <c r="I221" s="525"/>
      <c r="J221" s="525"/>
      <c r="K221" s="525"/>
      <c r="L221" s="525"/>
      <c r="M221" s="525"/>
      <c r="N221" s="525"/>
      <c r="O221" s="525"/>
      <c r="P221" s="525"/>
      <c r="Q221" s="525"/>
      <c r="R221" s="525"/>
      <c r="S221" s="525"/>
      <c r="T221" s="525"/>
      <c r="U221" s="525"/>
      <c r="V221" s="525"/>
      <c r="W221" s="525"/>
      <c r="X221" s="525"/>
      <c r="Y221" s="525"/>
      <c r="Z221" s="525"/>
      <c r="AA221" s="525"/>
      <c r="AB221" s="525"/>
      <c r="AC221" s="525"/>
      <c r="AD221" s="521"/>
      <c r="AE221" s="543"/>
      <c r="AF221" s="525"/>
      <c r="AG221" s="525"/>
      <c r="AH221" s="525"/>
      <c r="AI221" s="537"/>
      <c r="AJ221" s="537"/>
      <c r="AN221" s="525"/>
      <c r="AO221" s="525"/>
      <c r="AP221" s="525"/>
      <c r="AQ221" s="525"/>
      <c r="AR221" s="525"/>
      <c r="AS221" s="525"/>
      <c r="AT221" s="525"/>
    </row>
    <row r="222" spans="1:46" s="2" customFormat="1">
      <c r="A222" s="508"/>
      <c r="C222" s="525"/>
      <c r="D222" s="525"/>
      <c r="E222" s="525"/>
      <c r="F222" s="525"/>
      <c r="G222" s="525"/>
      <c r="H222" s="525"/>
      <c r="I222" s="525"/>
      <c r="J222" s="525"/>
      <c r="K222" s="525"/>
      <c r="L222" s="525"/>
      <c r="M222" s="525"/>
      <c r="N222" s="525"/>
      <c r="O222" s="525"/>
      <c r="P222" s="525"/>
      <c r="Q222" s="525"/>
      <c r="R222" s="525"/>
      <c r="S222" s="525"/>
      <c r="T222" s="525"/>
      <c r="U222" s="525"/>
      <c r="V222" s="525"/>
      <c r="W222" s="525"/>
      <c r="X222" s="525"/>
      <c r="Y222" s="525"/>
      <c r="Z222" s="525"/>
      <c r="AA222" s="525"/>
      <c r="AB222" s="525"/>
      <c r="AC222" s="525"/>
      <c r="AE222" s="543"/>
      <c r="AH222" s="525"/>
      <c r="AI222" s="537"/>
      <c r="AJ222" s="537"/>
      <c r="AN222" s="525"/>
      <c r="AO222" s="525"/>
      <c r="AP222" s="525"/>
      <c r="AQ222" s="525"/>
      <c r="AR222" s="525"/>
      <c r="AS222" s="525"/>
      <c r="AT222" s="525"/>
    </row>
    <row r="223" spans="1:46" s="2" customFormat="1">
      <c r="A223" s="496"/>
      <c r="B223" s="497"/>
      <c r="C223" s="498"/>
      <c r="D223" s="498"/>
      <c r="E223" s="498"/>
      <c r="F223" s="498"/>
      <c r="G223" s="498"/>
      <c r="H223" s="498"/>
      <c r="I223" s="498"/>
      <c r="J223" s="498"/>
      <c r="K223" s="498"/>
      <c r="L223" s="498"/>
      <c r="M223" s="498"/>
      <c r="N223" s="498"/>
      <c r="O223" s="498"/>
      <c r="P223" s="498"/>
      <c r="Q223" s="498"/>
      <c r="R223" s="498"/>
      <c r="S223" s="498"/>
      <c r="T223" s="498"/>
      <c r="U223" s="498"/>
      <c r="V223" s="498"/>
      <c r="W223" s="498"/>
      <c r="X223" s="498"/>
      <c r="Y223" s="498"/>
      <c r="Z223" s="498"/>
      <c r="AA223" s="498"/>
      <c r="AB223" s="498"/>
      <c r="AC223" s="144"/>
      <c r="AD223" s="540"/>
      <c r="AN223" s="525"/>
    </row>
    <row r="224" spans="1:46" s="2" customFormat="1">
      <c r="A224" s="496"/>
      <c r="C224" s="498"/>
      <c r="D224" s="498"/>
      <c r="E224" s="498"/>
      <c r="F224" s="498"/>
      <c r="G224" s="498"/>
      <c r="H224" s="498"/>
      <c r="I224" s="498"/>
      <c r="J224" s="498"/>
      <c r="K224" s="498"/>
      <c r="L224" s="498"/>
      <c r="M224" s="498"/>
      <c r="N224" s="498"/>
      <c r="O224" s="498"/>
      <c r="P224" s="498"/>
      <c r="Q224" s="498"/>
      <c r="R224" s="498"/>
      <c r="S224" s="498"/>
      <c r="T224" s="498"/>
      <c r="U224" s="498"/>
      <c r="V224" s="498"/>
      <c r="W224" s="498"/>
      <c r="X224" s="498"/>
      <c r="Y224" s="498"/>
      <c r="Z224" s="498"/>
      <c r="AA224" s="498"/>
      <c r="AB224" s="498"/>
      <c r="AC224" s="521"/>
      <c r="AD224" s="540"/>
      <c r="AE224" s="540"/>
      <c r="AF224" s="540"/>
      <c r="AG224" s="540"/>
      <c r="AH224" s="498"/>
      <c r="AI224" s="541"/>
      <c r="AJ224" s="538"/>
      <c r="AN224" s="525"/>
      <c r="AO224" s="525"/>
      <c r="AP224" s="525"/>
      <c r="AQ224" s="525"/>
      <c r="AR224" s="525"/>
      <c r="AS224" s="525"/>
      <c r="AT224" s="525"/>
    </row>
    <row r="225" spans="1:46" s="2" customFormat="1">
      <c r="A225" s="506"/>
      <c r="C225" s="498"/>
      <c r="D225" s="498"/>
      <c r="E225" s="498"/>
      <c r="F225" s="498"/>
      <c r="G225" s="498"/>
      <c r="H225" s="498"/>
      <c r="I225" s="498"/>
      <c r="J225" s="498"/>
      <c r="K225" s="498"/>
      <c r="L225" s="498"/>
      <c r="M225" s="498"/>
      <c r="N225" s="498"/>
      <c r="O225" s="498"/>
      <c r="P225" s="498"/>
      <c r="Q225" s="498"/>
      <c r="R225" s="498"/>
      <c r="S225" s="498"/>
      <c r="T225" s="498"/>
      <c r="U225" s="498"/>
      <c r="V225" s="498"/>
      <c r="W225" s="498"/>
      <c r="X225" s="498"/>
      <c r="Y225" s="498"/>
      <c r="Z225" s="498"/>
      <c r="AA225" s="498"/>
      <c r="AB225" s="498"/>
      <c r="AC225" s="521"/>
      <c r="AD225" s="540"/>
      <c r="AF225" s="540"/>
      <c r="AG225" s="540"/>
      <c r="AH225" s="498"/>
      <c r="AI225" s="541"/>
      <c r="AJ225" s="538"/>
      <c r="AN225" s="525"/>
      <c r="AO225" s="525"/>
      <c r="AP225" s="525"/>
      <c r="AQ225" s="525"/>
      <c r="AR225" s="525"/>
      <c r="AS225" s="525"/>
      <c r="AT225" s="525"/>
    </row>
    <row r="226" spans="1:46" s="2" customFormat="1">
      <c r="A226" s="508"/>
      <c r="C226" s="525"/>
      <c r="D226" s="525"/>
      <c r="E226" s="525"/>
      <c r="F226" s="525"/>
      <c r="G226" s="525"/>
      <c r="H226" s="525"/>
      <c r="I226" s="525"/>
      <c r="J226" s="525"/>
      <c r="K226" s="525"/>
      <c r="L226" s="525"/>
      <c r="M226" s="525"/>
      <c r="N226" s="525"/>
      <c r="O226" s="525"/>
      <c r="P226" s="525"/>
      <c r="Q226" s="525"/>
      <c r="R226" s="498"/>
      <c r="S226" s="498"/>
      <c r="T226" s="498"/>
      <c r="U226" s="498"/>
      <c r="V226" s="498"/>
      <c r="W226" s="498"/>
      <c r="X226" s="498"/>
      <c r="Y226" s="498"/>
      <c r="Z226" s="498"/>
      <c r="AA226" s="498"/>
      <c r="AB226" s="498"/>
      <c r="AC226" s="521"/>
      <c r="AD226" s="540"/>
      <c r="AE226" s="540"/>
      <c r="AF226" s="540"/>
      <c r="AG226" s="540"/>
      <c r="AH226" s="498"/>
      <c r="AI226" s="541"/>
      <c r="AJ226" s="538"/>
      <c r="AN226" s="525"/>
      <c r="AO226" s="525"/>
      <c r="AP226" s="525"/>
      <c r="AQ226" s="525"/>
      <c r="AR226" s="525"/>
      <c r="AS226" s="525"/>
      <c r="AT226" s="525"/>
    </row>
    <row r="227" spans="1:46" s="2" customFormat="1">
      <c r="A227" s="508"/>
      <c r="C227" s="525"/>
      <c r="D227" s="525"/>
      <c r="E227" s="525"/>
      <c r="F227" s="525"/>
      <c r="G227" s="525"/>
      <c r="H227" s="525"/>
      <c r="I227" s="525"/>
      <c r="J227" s="525"/>
      <c r="K227" s="525"/>
      <c r="L227" s="525"/>
      <c r="M227" s="525"/>
      <c r="N227" s="525"/>
      <c r="O227" s="525"/>
      <c r="P227" s="525"/>
      <c r="Q227" s="525"/>
      <c r="R227" s="498"/>
      <c r="S227" s="498"/>
      <c r="T227" s="498"/>
      <c r="U227" s="498"/>
      <c r="V227" s="498"/>
      <c r="W227" s="498"/>
      <c r="X227" s="498"/>
      <c r="Y227" s="498"/>
      <c r="Z227" s="498"/>
      <c r="AA227" s="498"/>
      <c r="AB227" s="498"/>
      <c r="AC227" s="521"/>
      <c r="AD227" s="540"/>
      <c r="AE227" s="540"/>
      <c r="AF227" s="540"/>
      <c r="AG227" s="540"/>
      <c r="AH227" s="498"/>
      <c r="AI227" s="541"/>
      <c r="AJ227" s="538"/>
      <c r="AN227" s="525"/>
      <c r="AO227" s="525"/>
      <c r="AP227" s="525"/>
      <c r="AQ227" s="525"/>
      <c r="AR227" s="525"/>
      <c r="AS227" s="525"/>
      <c r="AT227" s="525"/>
    </row>
    <row r="228" spans="1:46" s="2" customFormat="1">
      <c r="A228" s="508"/>
      <c r="C228" s="525"/>
      <c r="D228" s="525"/>
      <c r="E228" s="525"/>
      <c r="F228" s="525"/>
      <c r="G228" s="525"/>
      <c r="H228" s="525"/>
      <c r="I228" s="525"/>
      <c r="J228" s="525"/>
      <c r="K228" s="525"/>
      <c r="L228" s="525"/>
      <c r="M228" s="525"/>
      <c r="N228" s="525"/>
      <c r="O228" s="525"/>
      <c r="P228" s="525"/>
      <c r="Q228" s="525"/>
      <c r="R228" s="498"/>
      <c r="S228" s="498"/>
      <c r="T228" s="498"/>
      <c r="U228" s="498"/>
      <c r="V228" s="498"/>
      <c r="W228" s="498"/>
      <c r="X228" s="498"/>
      <c r="Y228" s="498"/>
      <c r="Z228" s="498"/>
      <c r="AA228" s="498"/>
      <c r="AB228" s="498"/>
      <c r="AC228" s="521"/>
      <c r="AD228" s="540"/>
      <c r="AE228" s="540"/>
      <c r="AF228" s="540"/>
      <c r="AG228" s="540"/>
      <c r="AH228" s="498"/>
      <c r="AI228" s="541"/>
      <c r="AJ228" s="538"/>
      <c r="AN228" s="525"/>
      <c r="AO228" s="525"/>
      <c r="AP228" s="525"/>
      <c r="AQ228" s="525"/>
      <c r="AR228" s="525"/>
      <c r="AS228" s="525"/>
      <c r="AT228" s="525"/>
    </row>
    <row r="229" spans="1:46" s="2" customFormat="1">
      <c r="A229" s="508"/>
      <c r="C229" s="525"/>
      <c r="D229" s="525"/>
      <c r="E229" s="525"/>
      <c r="F229" s="525"/>
      <c r="G229" s="525"/>
      <c r="H229" s="525"/>
      <c r="I229" s="525"/>
      <c r="J229" s="525"/>
      <c r="K229" s="525"/>
      <c r="L229" s="525"/>
      <c r="M229" s="525"/>
      <c r="N229" s="525"/>
      <c r="O229" s="525"/>
      <c r="P229" s="525"/>
      <c r="Q229" s="525"/>
      <c r="R229" s="498"/>
      <c r="S229" s="498"/>
      <c r="T229" s="498"/>
      <c r="U229" s="498"/>
      <c r="V229" s="498"/>
      <c r="W229" s="498"/>
      <c r="X229" s="498"/>
      <c r="Y229" s="498"/>
      <c r="Z229" s="498"/>
      <c r="AA229" s="498"/>
      <c r="AB229" s="498"/>
      <c r="AC229" s="521"/>
      <c r="AD229" s="540"/>
      <c r="AE229" s="540"/>
      <c r="AF229" s="540"/>
      <c r="AG229" s="540"/>
      <c r="AH229" s="498"/>
      <c r="AI229" s="541"/>
      <c r="AJ229" s="538"/>
      <c r="AN229" s="525"/>
      <c r="AO229" s="525"/>
      <c r="AP229" s="525"/>
      <c r="AQ229" s="525"/>
      <c r="AR229" s="525"/>
      <c r="AS229" s="525"/>
      <c r="AT229" s="525"/>
    </row>
    <row r="230" spans="1:46" s="2" customFormat="1">
      <c r="A230" s="508"/>
      <c r="C230" s="525"/>
      <c r="D230" s="525"/>
      <c r="E230" s="525"/>
      <c r="F230" s="525"/>
      <c r="G230" s="525"/>
      <c r="H230" s="525"/>
      <c r="I230" s="525"/>
      <c r="J230" s="525"/>
      <c r="K230" s="525"/>
      <c r="L230" s="525"/>
      <c r="M230" s="525"/>
      <c r="N230" s="525"/>
      <c r="O230" s="525"/>
      <c r="P230" s="525"/>
      <c r="Q230" s="525"/>
      <c r="R230" s="498"/>
      <c r="S230" s="498"/>
      <c r="T230" s="498"/>
      <c r="U230" s="498"/>
      <c r="V230" s="498"/>
      <c r="W230" s="498"/>
      <c r="X230" s="525"/>
      <c r="Y230" s="525"/>
      <c r="Z230" s="525"/>
      <c r="AA230" s="525"/>
      <c r="AB230" s="525"/>
      <c r="AC230" s="528"/>
      <c r="AD230" s="542"/>
      <c r="AE230" s="540"/>
      <c r="AF230" s="542"/>
      <c r="AG230" s="542"/>
      <c r="AH230" s="498"/>
      <c r="AI230" s="541"/>
      <c r="AJ230" s="538"/>
      <c r="AN230" s="525"/>
      <c r="AO230" s="525"/>
      <c r="AP230" s="525"/>
      <c r="AQ230" s="525"/>
      <c r="AR230" s="525"/>
      <c r="AS230" s="525"/>
      <c r="AT230" s="525"/>
    </row>
    <row r="231" spans="1:46" s="2" customFormat="1">
      <c r="A231" s="508"/>
      <c r="C231" s="525"/>
      <c r="D231" s="525"/>
      <c r="E231" s="525"/>
      <c r="F231" s="525"/>
      <c r="G231" s="525"/>
      <c r="H231" s="525"/>
      <c r="I231" s="525"/>
      <c r="J231" s="525"/>
      <c r="K231" s="525"/>
      <c r="L231" s="525"/>
      <c r="M231" s="525"/>
      <c r="N231" s="525"/>
      <c r="O231" s="525"/>
      <c r="P231" s="525"/>
      <c r="Q231" s="525"/>
      <c r="R231" s="498"/>
      <c r="S231" s="498"/>
      <c r="T231" s="498"/>
      <c r="U231" s="498"/>
      <c r="V231" s="498"/>
      <c r="W231" s="498"/>
      <c r="X231" s="498"/>
      <c r="Y231" s="498"/>
      <c r="Z231" s="498"/>
      <c r="AA231" s="498"/>
      <c r="AB231" s="498"/>
      <c r="AC231" s="521"/>
      <c r="AD231" s="540"/>
      <c r="AE231" s="540"/>
      <c r="AF231" s="540"/>
      <c r="AG231" s="540"/>
      <c r="AH231" s="498"/>
      <c r="AI231" s="541"/>
      <c r="AJ231" s="538"/>
      <c r="AN231" s="525"/>
      <c r="AO231" s="525"/>
      <c r="AP231" s="525"/>
      <c r="AQ231" s="525"/>
      <c r="AR231" s="525"/>
      <c r="AS231" s="525"/>
      <c r="AT231" s="525"/>
    </row>
    <row r="232" spans="1:46" s="2" customFormat="1">
      <c r="A232" s="508"/>
      <c r="C232" s="525"/>
      <c r="D232" s="525"/>
      <c r="E232" s="525"/>
      <c r="F232" s="525"/>
      <c r="G232" s="525"/>
      <c r="H232" s="525"/>
      <c r="I232" s="525"/>
      <c r="J232" s="525"/>
      <c r="K232" s="525"/>
      <c r="L232" s="525"/>
      <c r="M232" s="525"/>
      <c r="N232" s="525"/>
      <c r="O232" s="525"/>
      <c r="P232" s="525"/>
      <c r="Q232" s="525"/>
      <c r="R232" s="525"/>
      <c r="S232" s="525"/>
      <c r="T232" s="525"/>
      <c r="U232" s="525"/>
      <c r="V232" s="525"/>
      <c r="W232" s="525"/>
      <c r="X232" s="525"/>
      <c r="Y232" s="525"/>
      <c r="Z232" s="525"/>
      <c r="AA232" s="525"/>
      <c r="AB232" s="525"/>
      <c r="AC232" s="528"/>
      <c r="AD232" s="542"/>
      <c r="AE232" s="540"/>
      <c r="AF232" s="542"/>
      <c r="AG232" s="542"/>
      <c r="AH232" s="498"/>
      <c r="AI232" s="541"/>
      <c r="AJ232" s="538"/>
      <c r="AN232" s="525"/>
      <c r="AO232" s="525"/>
      <c r="AP232" s="525"/>
      <c r="AQ232" s="525"/>
      <c r="AR232" s="525"/>
      <c r="AS232" s="525"/>
      <c r="AT232" s="525"/>
    </row>
    <row r="233" spans="1:46" s="2" customFormat="1">
      <c r="A233" s="508"/>
      <c r="C233" s="525"/>
      <c r="D233" s="525"/>
      <c r="E233" s="525"/>
      <c r="F233" s="525"/>
      <c r="G233" s="525"/>
      <c r="H233" s="525"/>
      <c r="I233" s="525"/>
      <c r="J233" s="525"/>
      <c r="K233" s="525"/>
      <c r="L233" s="525"/>
      <c r="M233" s="525"/>
      <c r="N233" s="525"/>
      <c r="O233" s="525"/>
      <c r="P233" s="525"/>
      <c r="Q233" s="525"/>
      <c r="R233" s="498"/>
      <c r="S233" s="498"/>
      <c r="T233" s="498"/>
      <c r="U233" s="498"/>
      <c r="V233" s="498"/>
      <c r="W233" s="498"/>
      <c r="X233" s="498"/>
      <c r="Y233" s="498"/>
      <c r="Z233" s="498"/>
      <c r="AA233" s="498"/>
      <c r="AB233" s="498"/>
      <c r="AC233" s="521"/>
      <c r="AD233" s="540"/>
      <c r="AE233" s="540"/>
      <c r="AF233" s="540"/>
      <c r="AG233" s="540"/>
      <c r="AH233" s="498"/>
      <c r="AI233" s="541"/>
      <c r="AJ233" s="538"/>
      <c r="AN233" s="525"/>
      <c r="AO233" s="525"/>
      <c r="AP233" s="525"/>
      <c r="AQ233" s="525"/>
      <c r="AR233" s="525"/>
      <c r="AS233" s="525"/>
      <c r="AT233" s="525"/>
    </row>
    <row r="234" spans="1:46" s="2" customFormat="1">
      <c r="A234" s="496"/>
      <c r="B234" s="515"/>
      <c r="C234" s="498"/>
      <c r="D234" s="498"/>
      <c r="E234" s="498"/>
      <c r="F234" s="498"/>
      <c r="G234" s="498"/>
      <c r="H234" s="498"/>
      <c r="I234" s="498"/>
      <c r="J234" s="498"/>
      <c r="K234" s="498"/>
      <c r="L234" s="498"/>
      <c r="M234" s="498"/>
      <c r="N234" s="498"/>
      <c r="O234" s="498"/>
      <c r="P234" s="498"/>
      <c r="Q234" s="498"/>
      <c r="R234" s="498"/>
      <c r="S234" s="498"/>
      <c r="T234" s="498"/>
      <c r="U234" s="498"/>
      <c r="V234" s="498"/>
      <c r="W234" s="498"/>
      <c r="X234" s="498"/>
      <c r="Y234" s="498"/>
      <c r="Z234" s="498"/>
      <c r="AA234" s="498"/>
      <c r="AB234" s="498"/>
      <c r="AC234" s="144"/>
      <c r="AD234" s="539"/>
      <c r="AN234" s="525"/>
    </row>
    <row r="235" spans="1:46" s="2" customFormat="1">
      <c r="A235" s="496"/>
      <c r="C235" s="498"/>
      <c r="D235" s="498"/>
      <c r="E235" s="498"/>
      <c r="F235" s="498"/>
      <c r="G235" s="498"/>
      <c r="H235" s="498"/>
      <c r="I235" s="498"/>
      <c r="J235" s="498"/>
      <c r="K235" s="525"/>
      <c r="L235" s="525"/>
      <c r="M235" s="525"/>
      <c r="N235" s="525"/>
      <c r="O235" s="525"/>
      <c r="P235" s="525"/>
      <c r="Q235" s="525"/>
      <c r="R235" s="525"/>
      <c r="S235" s="525"/>
      <c r="T235" s="525"/>
      <c r="U235" s="525"/>
      <c r="V235" s="525"/>
      <c r="W235" s="525"/>
      <c r="X235" s="525"/>
      <c r="Y235" s="525"/>
      <c r="Z235" s="525"/>
      <c r="AA235" s="525"/>
      <c r="AB235" s="525"/>
      <c r="AC235" s="525"/>
      <c r="AD235" s="525"/>
      <c r="AE235" s="525"/>
      <c r="AF235" s="526"/>
      <c r="AG235" s="526"/>
      <c r="AH235" s="526"/>
      <c r="AI235" s="537"/>
      <c r="AJ235" s="537"/>
      <c r="AK235" s="537"/>
      <c r="AL235" s="537"/>
      <c r="AM235" s="537"/>
      <c r="AN235" s="537"/>
      <c r="AO235" s="537"/>
      <c r="AP235" s="537"/>
      <c r="AQ235" s="537"/>
      <c r="AR235" s="537"/>
      <c r="AS235" s="537"/>
      <c r="AT235" s="537"/>
    </row>
    <row r="236" spans="1:46" s="2" customFormat="1">
      <c r="A236" s="506"/>
      <c r="C236" s="498"/>
      <c r="D236" s="498"/>
      <c r="E236" s="498"/>
      <c r="F236" s="498"/>
      <c r="G236" s="498"/>
      <c r="H236" s="498"/>
      <c r="I236" s="498"/>
      <c r="J236" s="498"/>
      <c r="K236" s="525"/>
      <c r="L236" s="525"/>
      <c r="M236" s="525"/>
      <c r="N236" s="525"/>
      <c r="O236" s="525"/>
      <c r="P236" s="525"/>
      <c r="Q236" s="525"/>
      <c r="R236" s="525"/>
      <c r="S236" s="525"/>
      <c r="T236" s="525"/>
      <c r="U236" s="525"/>
      <c r="V236" s="525"/>
      <c r="W236" s="525"/>
      <c r="X236" s="525"/>
      <c r="Y236" s="525"/>
      <c r="Z236" s="525"/>
      <c r="AA236" s="525"/>
      <c r="AB236" s="525"/>
      <c r="AC236" s="525"/>
      <c r="AD236" s="525"/>
      <c r="AE236" s="525"/>
      <c r="AF236" s="526"/>
      <c r="AG236" s="526"/>
      <c r="AH236" s="526"/>
      <c r="AI236" s="537"/>
      <c r="AK236" s="537"/>
      <c r="AL236" s="537"/>
      <c r="AO236" s="526"/>
      <c r="AT236" s="537"/>
    </row>
    <row r="237" spans="1:46" s="2" customFormat="1">
      <c r="A237" s="508"/>
      <c r="C237" s="525"/>
      <c r="D237" s="525"/>
      <c r="E237" s="525"/>
      <c r="F237" s="525"/>
      <c r="G237" s="525"/>
      <c r="H237" s="525"/>
      <c r="I237" s="525"/>
      <c r="J237" s="525"/>
      <c r="K237" s="525"/>
      <c r="L237" s="525"/>
      <c r="M237" s="525"/>
      <c r="N237" s="525"/>
      <c r="O237" s="525"/>
      <c r="P237" s="525"/>
      <c r="Q237" s="525"/>
      <c r="R237" s="525"/>
      <c r="S237" s="525"/>
      <c r="T237" s="525"/>
      <c r="U237" s="525"/>
      <c r="V237" s="525"/>
      <c r="W237" s="525"/>
      <c r="X237" s="525"/>
      <c r="Y237" s="525"/>
      <c r="Z237" s="525"/>
      <c r="AA237" s="525"/>
      <c r="AB237" s="525"/>
      <c r="AC237" s="525"/>
      <c r="AD237" s="525"/>
      <c r="AE237" s="525"/>
      <c r="AF237" s="526"/>
      <c r="AG237" s="526"/>
      <c r="AH237" s="526"/>
      <c r="AI237" s="537"/>
      <c r="AJ237" s="537"/>
      <c r="AK237" s="537"/>
      <c r="AL237" s="537"/>
      <c r="AM237" s="537"/>
      <c r="AN237" s="537"/>
      <c r="AO237" s="526"/>
      <c r="AP237" s="537"/>
      <c r="AQ237" s="537"/>
      <c r="AR237" s="537"/>
      <c r="AS237" s="537"/>
      <c r="AT237" s="537"/>
    </row>
    <row r="238" spans="1:46" s="2" customFormat="1">
      <c r="A238" s="508"/>
      <c r="C238" s="525"/>
      <c r="D238" s="525"/>
      <c r="E238" s="525"/>
      <c r="F238" s="525"/>
      <c r="G238" s="525"/>
      <c r="H238" s="525"/>
      <c r="I238" s="525"/>
      <c r="J238" s="525"/>
      <c r="K238" s="525"/>
      <c r="L238" s="525"/>
      <c r="M238" s="525"/>
      <c r="N238" s="525"/>
      <c r="O238" s="525"/>
      <c r="P238" s="525"/>
      <c r="Q238" s="525"/>
      <c r="R238" s="525"/>
      <c r="S238" s="525"/>
      <c r="T238" s="525"/>
      <c r="U238" s="525"/>
      <c r="V238" s="525"/>
      <c r="W238" s="525"/>
      <c r="X238" s="525"/>
      <c r="Y238" s="525"/>
      <c r="Z238" s="525"/>
      <c r="AA238" s="525"/>
      <c r="AB238" s="525"/>
      <c r="AC238" s="525"/>
      <c r="AD238" s="525"/>
      <c r="AE238" s="525"/>
      <c r="AF238" s="526"/>
      <c r="AG238" s="526"/>
      <c r="AH238" s="526"/>
      <c r="AI238" s="537"/>
      <c r="AJ238" s="537"/>
      <c r="AK238" s="537"/>
      <c r="AL238" s="537"/>
      <c r="AM238" s="537"/>
      <c r="AN238" s="537"/>
      <c r="AO238" s="526"/>
      <c r="AP238" s="537"/>
      <c r="AQ238" s="537"/>
      <c r="AR238" s="537"/>
      <c r="AS238" s="537"/>
      <c r="AT238" s="537"/>
    </row>
    <row r="239" spans="1:46" s="2" customFormat="1">
      <c r="A239" s="508"/>
      <c r="C239" s="525"/>
      <c r="D239" s="525"/>
      <c r="E239" s="525"/>
      <c r="F239" s="525"/>
      <c r="G239" s="525"/>
      <c r="H239" s="525"/>
      <c r="I239" s="525"/>
      <c r="J239" s="525"/>
      <c r="K239" s="525"/>
      <c r="L239" s="525"/>
      <c r="M239" s="525"/>
      <c r="N239" s="525"/>
      <c r="O239" s="525"/>
      <c r="P239" s="525"/>
      <c r="Q239" s="525"/>
      <c r="R239" s="525"/>
      <c r="S239" s="525"/>
      <c r="T239" s="525"/>
      <c r="U239" s="525"/>
      <c r="V239" s="525"/>
      <c r="W239" s="525"/>
      <c r="X239" s="525"/>
      <c r="Y239" s="525"/>
      <c r="Z239" s="525"/>
      <c r="AA239" s="525"/>
      <c r="AB239" s="525"/>
      <c r="AC239" s="525"/>
      <c r="AD239" s="525"/>
      <c r="AE239" s="525"/>
      <c r="AF239" s="526"/>
      <c r="AG239" s="526"/>
      <c r="AH239" s="526"/>
      <c r="AI239" s="537"/>
      <c r="AJ239" s="537"/>
      <c r="AK239" s="537"/>
      <c r="AL239" s="537"/>
      <c r="AM239" s="537"/>
      <c r="AN239" s="537"/>
      <c r="AO239" s="537"/>
      <c r="AP239" s="537"/>
      <c r="AQ239" s="537"/>
      <c r="AR239" s="537"/>
      <c r="AS239" s="537"/>
      <c r="AT239" s="537"/>
    </row>
    <row r="240" spans="1:46" s="2" customFormat="1">
      <c r="A240" s="508"/>
      <c r="C240" s="525"/>
      <c r="D240" s="525"/>
      <c r="E240" s="525"/>
      <c r="F240" s="525"/>
      <c r="G240" s="525"/>
      <c r="H240" s="525"/>
      <c r="I240" s="525"/>
      <c r="J240" s="525"/>
      <c r="K240" s="525"/>
      <c r="L240" s="525"/>
      <c r="M240" s="525"/>
      <c r="N240" s="525"/>
      <c r="O240" s="525"/>
      <c r="P240" s="525"/>
      <c r="Q240" s="525"/>
      <c r="R240" s="525"/>
      <c r="S240" s="525"/>
      <c r="T240" s="525"/>
      <c r="U240" s="525"/>
      <c r="V240" s="525"/>
      <c r="W240" s="525"/>
      <c r="X240" s="525"/>
      <c r="Y240" s="525"/>
      <c r="Z240" s="525"/>
      <c r="AA240" s="525"/>
      <c r="AB240" s="525"/>
      <c r="AC240" s="525"/>
      <c r="AD240" s="525"/>
      <c r="AE240" s="525"/>
      <c r="AF240" s="526"/>
      <c r="AG240" s="526"/>
      <c r="AH240" s="526"/>
      <c r="AI240" s="537"/>
      <c r="AJ240" s="537"/>
      <c r="AK240" s="537"/>
      <c r="AL240" s="537"/>
      <c r="AM240" s="537"/>
      <c r="AN240" s="537"/>
      <c r="AO240" s="537"/>
      <c r="AP240" s="537"/>
      <c r="AQ240" s="537"/>
      <c r="AR240" s="537"/>
      <c r="AS240" s="537"/>
      <c r="AT240" s="537"/>
    </row>
    <row r="241" spans="1:62" s="2" customFormat="1">
      <c r="A241" s="508"/>
      <c r="C241" s="525"/>
      <c r="D241" s="525"/>
      <c r="E241" s="525"/>
      <c r="F241" s="525"/>
      <c r="G241" s="525"/>
      <c r="H241" s="525"/>
      <c r="I241" s="525"/>
      <c r="J241" s="525"/>
      <c r="K241" s="525"/>
      <c r="L241" s="525"/>
      <c r="M241" s="525"/>
      <c r="N241" s="525"/>
      <c r="O241" s="525"/>
      <c r="P241" s="525"/>
      <c r="Q241" s="525"/>
      <c r="R241" s="525"/>
      <c r="S241" s="525"/>
      <c r="T241" s="525"/>
      <c r="U241" s="525"/>
      <c r="V241" s="525"/>
      <c r="W241" s="525"/>
      <c r="X241" s="525"/>
      <c r="Y241" s="525"/>
      <c r="Z241" s="525"/>
      <c r="AA241" s="525"/>
      <c r="AB241" s="525"/>
      <c r="AC241" s="525"/>
      <c r="AD241" s="525"/>
      <c r="AE241" s="525"/>
      <c r="AF241" s="526"/>
      <c r="AG241" s="526"/>
      <c r="AH241" s="526"/>
      <c r="AI241" s="537"/>
      <c r="AJ241" s="537"/>
      <c r="AK241" s="537"/>
      <c r="AL241" s="537"/>
      <c r="AM241" s="537"/>
      <c r="AN241" s="537"/>
      <c r="AO241" s="537"/>
      <c r="AP241" s="537"/>
      <c r="AQ241" s="537"/>
      <c r="AR241" s="537"/>
      <c r="AS241" s="537"/>
      <c r="AT241" s="537"/>
    </row>
    <row r="242" spans="1:62" s="2" customFormat="1">
      <c r="A242" s="508"/>
      <c r="C242" s="525"/>
      <c r="D242" s="525"/>
      <c r="E242" s="525"/>
      <c r="F242" s="525"/>
      <c r="G242" s="525"/>
      <c r="H242" s="525"/>
      <c r="I242" s="525"/>
      <c r="J242" s="525"/>
      <c r="K242" s="525"/>
      <c r="L242" s="525"/>
      <c r="M242" s="525"/>
      <c r="N242" s="525"/>
      <c r="O242" s="525"/>
      <c r="P242" s="525"/>
      <c r="Q242" s="525"/>
      <c r="R242" s="525"/>
      <c r="S242" s="525"/>
      <c r="T242" s="525"/>
      <c r="U242" s="525"/>
      <c r="V242" s="525"/>
      <c r="W242" s="525"/>
      <c r="X242" s="525"/>
      <c r="Y242" s="525"/>
      <c r="Z242" s="525"/>
      <c r="AA242" s="525"/>
      <c r="AB242" s="525"/>
      <c r="AC242" s="525"/>
      <c r="AD242" s="525"/>
      <c r="AE242" s="525"/>
      <c r="AF242" s="526"/>
      <c r="AG242" s="526"/>
      <c r="AH242" s="526"/>
      <c r="AI242" s="537"/>
      <c r="AJ242" s="537"/>
      <c r="AK242" s="537"/>
      <c r="AL242" s="537"/>
      <c r="AM242" s="537"/>
      <c r="AN242" s="537"/>
      <c r="AO242" s="537"/>
      <c r="AP242" s="537"/>
      <c r="AQ242" s="537"/>
      <c r="AR242" s="537"/>
      <c r="AS242" s="537"/>
      <c r="AT242" s="537"/>
    </row>
    <row r="243" spans="1:62" s="2" customFormat="1">
      <c r="A243" s="508"/>
      <c r="C243" s="525"/>
      <c r="D243" s="525"/>
      <c r="E243" s="525"/>
      <c r="F243" s="525"/>
      <c r="G243" s="525"/>
      <c r="H243" s="525"/>
      <c r="I243" s="525"/>
      <c r="J243" s="525"/>
      <c r="K243" s="525"/>
      <c r="L243" s="525"/>
      <c r="M243" s="525"/>
      <c r="N243" s="525"/>
      <c r="O243" s="525"/>
      <c r="P243" s="525"/>
      <c r="Q243" s="525"/>
      <c r="R243" s="525"/>
      <c r="S243" s="525"/>
      <c r="T243" s="525"/>
      <c r="U243" s="525"/>
      <c r="V243" s="525"/>
      <c r="W243" s="525"/>
      <c r="X243" s="525"/>
      <c r="Y243" s="525"/>
      <c r="Z243" s="525"/>
      <c r="AA243" s="525"/>
      <c r="AB243" s="525"/>
      <c r="AC243" s="525"/>
      <c r="AD243" s="525"/>
      <c r="AE243" s="525"/>
      <c r="AF243" s="526"/>
      <c r="AG243" s="526"/>
      <c r="AH243" s="526"/>
      <c r="AI243" s="537"/>
      <c r="AJ243" s="537"/>
      <c r="AK243" s="537"/>
      <c r="AL243" s="537"/>
      <c r="AM243" s="537"/>
      <c r="AN243" s="537"/>
      <c r="AO243" s="526"/>
      <c r="AP243" s="537"/>
      <c r="AQ243" s="537"/>
      <c r="AR243" s="537"/>
      <c r="AS243" s="537"/>
      <c r="AT243" s="537"/>
    </row>
    <row r="244" spans="1:62" s="2" customFormat="1">
      <c r="A244" s="508"/>
      <c r="C244" s="525"/>
      <c r="D244" s="525"/>
      <c r="E244" s="525"/>
      <c r="F244" s="525"/>
      <c r="G244" s="525"/>
      <c r="H244" s="525"/>
      <c r="I244" s="525"/>
      <c r="J244" s="525"/>
      <c r="K244" s="525"/>
      <c r="L244" s="525"/>
      <c r="M244" s="525"/>
      <c r="N244" s="525"/>
      <c r="O244" s="525"/>
      <c r="P244" s="525"/>
      <c r="Q244" s="525"/>
      <c r="R244" s="525"/>
      <c r="S244" s="525"/>
      <c r="T244" s="525"/>
      <c r="U244" s="525"/>
      <c r="V244" s="525"/>
      <c r="W244" s="525"/>
      <c r="X244" s="525"/>
      <c r="Y244" s="525"/>
      <c r="Z244" s="525"/>
      <c r="AA244" s="525"/>
      <c r="AB244" s="525"/>
      <c r="AC244" s="525"/>
      <c r="AD244" s="525"/>
      <c r="AE244" s="525"/>
      <c r="AF244" s="526"/>
      <c r="AG244" s="526"/>
      <c r="AH244" s="526"/>
      <c r="AI244" s="537"/>
      <c r="AJ244" s="537"/>
      <c r="AK244" s="537"/>
      <c r="AL244" s="537"/>
      <c r="AM244" s="537"/>
      <c r="AN244" s="537"/>
      <c r="AO244" s="526"/>
      <c r="AP244" s="537"/>
      <c r="AQ244" s="537"/>
      <c r="AR244" s="537"/>
      <c r="AS244" s="537"/>
      <c r="AT244" s="537"/>
    </row>
    <row r="245" spans="1:62" s="144" customFormat="1" ht="30" customHeight="1">
      <c r="A245" s="1107"/>
      <c r="B245" s="1107"/>
      <c r="C245" s="1107"/>
      <c r="D245" s="1107"/>
      <c r="E245" s="1107"/>
      <c r="F245" s="1107"/>
      <c r="G245" s="1107"/>
      <c r="H245" s="1107"/>
      <c r="I245" s="489"/>
      <c r="J245" s="489"/>
      <c r="K245" s="489"/>
      <c r="L245" s="489"/>
      <c r="M245" s="489"/>
      <c r="N245" s="489"/>
      <c r="O245" s="489"/>
      <c r="P245" s="489"/>
      <c r="Q245" s="489"/>
      <c r="R245" s="489"/>
      <c r="S245" s="489"/>
      <c r="T245" s="489"/>
      <c r="U245" s="489"/>
      <c r="V245" s="489"/>
      <c r="W245" s="489"/>
      <c r="X245" s="489"/>
      <c r="Y245" s="489"/>
      <c r="Z245" s="489"/>
      <c r="AA245" s="489"/>
      <c r="AB245" s="489"/>
      <c r="AC245" s="489"/>
      <c r="AD245" s="489"/>
      <c r="AE245" s="489"/>
      <c r="AF245" s="1107"/>
      <c r="AG245" s="1107"/>
      <c r="AO245" s="489"/>
      <c r="AV245" s="526"/>
      <c r="AW245" s="2"/>
      <c r="AX245" s="2"/>
      <c r="AY245" s="2"/>
      <c r="AZ245" s="2"/>
      <c r="BA245" s="2"/>
      <c r="BB245" s="2"/>
      <c r="BC245" s="2"/>
      <c r="BD245" s="2"/>
      <c r="BE245" s="2"/>
      <c r="BF245" s="2"/>
      <c r="BG245" s="2"/>
      <c r="BH245" s="2"/>
      <c r="BI245" s="2"/>
      <c r="BJ245" s="2"/>
    </row>
    <row r="246" spans="1:62" s="144" customFormat="1" ht="17.25" customHeight="1">
      <c r="A246" s="1108"/>
      <c r="B246" s="1108"/>
      <c r="C246" s="1108"/>
      <c r="D246" s="1108"/>
      <c r="E246" s="544"/>
      <c r="F246" s="544"/>
      <c r="G246" s="544"/>
      <c r="H246" s="544"/>
      <c r="I246" s="544"/>
      <c r="J246" s="545"/>
      <c r="K246" s="545"/>
      <c r="L246" s="545"/>
      <c r="M246" s="545"/>
      <c r="N246" s="545"/>
      <c r="O246" s="545"/>
      <c r="P246" s="545"/>
      <c r="Q246" s="545"/>
      <c r="R246" s="545"/>
      <c r="S246" s="545"/>
      <c r="T246" s="545"/>
      <c r="U246" s="545"/>
      <c r="V246" s="545"/>
      <c r="W246" s="545"/>
      <c r="X246" s="545"/>
      <c r="Y246" s="545"/>
      <c r="Z246" s="545"/>
      <c r="AA246" s="545"/>
      <c r="AB246" s="545"/>
      <c r="AC246" s="545"/>
      <c r="AD246" s="545"/>
      <c r="AE246" s="545"/>
      <c r="AF246" s="1107"/>
      <c r="AG246" s="1107"/>
      <c r="AV246" s="526"/>
      <c r="AW246" s="2"/>
      <c r="AX246" s="2"/>
      <c r="AY246" s="2"/>
      <c r="AZ246" s="2"/>
      <c r="BA246" s="2"/>
      <c r="BB246" s="2"/>
      <c r="BC246" s="2"/>
      <c r="BD246" s="2"/>
      <c r="BE246" s="2"/>
      <c r="BF246" s="2"/>
      <c r="BG246" s="2"/>
      <c r="BH246" s="2"/>
      <c r="BI246" s="2"/>
      <c r="BJ246" s="2"/>
    </row>
    <row r="247" spans="1:62" s="144" customFormat="1" ht="15.75" customHeight="1">
      <c r="A247" s="1108"/>
      <c r="B247" s="1108"/>
      <c r="C247" s="1108"/>
      <c r="D247" s="1108"/>
      <c r="E247" s="1108"/>
      <c r="F247" s="1108"/>
      <c r="G247" s="544"/>
      <c r="H247" s="544"/>
      <c r="I247" s="544"/>
      <c r="J247" s="544"/>
      <c r="K247" s="546"/>
      <c r="L247" s="546"/>
      <c r="M247" s="546"/>
      <c r="N247" s="546"/>
      <c r="O247" s="546"/>
      <c r="P247" s="546"/>
      <c r="Q247" s="546"/>
      <c r="R247" s="546"/>
      <c r="S247" s="546"/>
      <c r="T247" s="546"/>
      <c r="U247" s="546"/>
      <c r="V247" s="546"/>
      <c r="W247" s="546"/>
      <c r="X247" s="546"/>
      <c r="Y247" s="546"/>
      <c r="Z247" s="546"/>
      <c r="AA247" s="546"/>
      <c r="AB247" s="546"/>
      <c r="AC247" s="546"/>
      <c r="AD247" s="546"/>
      <c r="AE247" s="546"/>
      <c r="AF247" s="1107"/>
      <c r="AG247" s="1107"/>
      <c r="AV247" s="526"/>
      <c r="AW247" s="2"/>
      <c r="AX247" s="2"/>
      <c r="AY247" s="2"/>
      <c r="AZ247" s="2"/>
      <c r="BA247" s="2"/>
      <c r="BB247" s="2"/>
      <c r="BC247" s="2"/>
      <c r="BD247" s="2"/>
      <c r="BE247" s="2"/>
      <c r="BF247" s="2"/>
      <c r="BG247" s="2"/>
      <c r="BH247" s="2"/>
      <c r="BI247" s="2"/>
      <c r="BJ247" s="2"/>
    </row>
    <row r="248" spans="1:62" s="144" customFormat="1" ht="15.75" customHeight="1">
      <c r="A248" s="1108"/>
      <c r="B248" s="1108"/>
      <c r="C248" s="1108"/>
      <c r="D248" s="1108"/>
      <c r="E248" s="1108"/>
      <c r="F248" s="1108"/>
      <c r="G248" s="1108"/>
      <c r="H248" s="1108"/>
      <c r="I248" s="1108"/>
      <c r="J248" s="1108"/>
      <c r="K248" s="1108"/>
      <c r="L248" s="1108"/>
      <c r="M248" s="1108"/>
      <c r="N248" s="1108"/>
      <c r="O248" s="1108"/>
      <c r="P248" s="1108"/>
      <c r="Q248" s="1108"/>
      <c r="R248" s="1108"/>
      <c r="S248" s="1108"/>
      <c r="T248" s="1108"/>
      <c r="U248" s="1108"/>
      <c r="V248" s="1108"/>
      <c r="W248" s="1108"/>
      <c r="X248" s="1108"/>
      <c r="Y248" s="1108"/>
      <c r="Z248" s="1108"/>
      <c r="AA248" s="1108"/>
      <c r="AB248" s="1108"/>
      <c r="AC248" s="1108"/>
      <c r="AD248" s="1108"/>
      <c r="AE248" s="1108"/>
      <c r="AF248" s="546"/>
      <c r="AG248" s="546"/>
      <c r="AK248" s="2"/>
      <c r="AL248" s="2"/>
      <c r="AV248" s="526"/>
      <c r="AW248" s="2"/>
      <c r="AX248" s="2"/>
      <c r="AY248" s="2"/>
      <c r="AZ248" s="2"/>
      <c r="BA248" s="2"/>
      <c r="BB248" s="2"/>
      <c r="BC248" s="2"/>
      <c r="BD248" s="2"/>
      <c r="BE248" s="2"/>
      <c r="BF248" s="2"/>
      <c r="BG248" s="2"/>
      <c r="BH248" s="2"/>
      <c r="BI248" s="2"/>
      <c r="BJ248" s="2"/>
    </row>
    <row r="249" spans="1:62" s="2" customFormat="1">
      <c r="A249" s="494"/>
      <c r="B249" s="490"/>
      <c r="C249" s="490"/>
      <c r="D249" s="490"/>
      <c r="E249" s="490"/>
      <c r="F249" s="490"/>
      <c r="G249" s="490"/>
      <c r="H249" s="490"/>
      <c r="I249" s="490"/>
      <c r="J249" s="490"/>
      <c r="K249" s="490"/>
      <c r="L249" s="490"/>
      <c r="M249" s="490"/>
      <c r="N249" s="490"/>
      <c r="O249" s="490"/>
      <c r="P249" s="490"/>
      <c r="Q249" s="490"/>
      <c r="R249" s="490"/>
      <c r="S249" s="490"/>
      <c r="T249" s="490"/>
      <c r="U249" s="490"/>
      <c r="V249" s="490"/>
      <c r="W249" s="490"/>
      <c r="X249" s="490"/>
      <c r="Y249" s="490"/>
      <c r="Z249" s="490"/>
      <c r="AA249" s="490"/>
      <c r="AB249" s="490"/>
      <c r="AC249" s="490"/>
      <c r="AD249" s="490"/>
      <c r="AE249" s="490"/>
      <c r="AF249" s="490"/>
      <c r="AG249" s="490"/>
      <c r="AH249" s="490"/>
      <c r="AI249" s="490"/>
      <c r="AJ249" s="490"/>
      <c r="AK249" s="490"/>
      <c r="AL249" s="490"/>
      <c r="AM249" s="490"/>
      <c r="AN249" s="490"/>
      <c r="AO249" s="490"/>
      <c r="AP249" s="490"/>
      <c r="AQ249" s="490"/>
      <c r="AR249" s="490"/>
      <c r="AS249" s="490"/>
      <c r="AT249" s="490"/>
    </row>
    <row r="250" spans="1:62" s="2" customFormat="1" ht="38.25" customHeight="1">
      <c r="A250" s="496"/>
      <c r="B250" s="497"/>
      <c r="C250" s="525"/>
      <c r="D250" s="525"/>
      <c r="E250" s="525"/>
      <c r="F250" s="525"/>
      <c r="G250" s="525"/>
      <c r="H250" s="525"/>
      <c r="I250" s="525"/>
      <c r="J250" s="525"/>
      <c r="K250" s="525"/>
      <c r="L250" s="528"/>
      <c r="M250" s="528"/>
      <c r="N250" s="528"/>
      <c r="O250" s="528"/>
      <c r="P250" s="528"/>
      <c r="Q250" s="528"/>
      <c r="R250" s="528"/>
      <c r="S250" s="528"/>
      <c r="T250" s="528"/>
      <c r="U250" s="528"/>
      <c r="V250" s="525"/>
      <c r="W250" s="525"/>
      <c r="X250" s="525"/>
      <c r="Y250" s="525"/>
      <c r="Z250" s="525"/>
      <c r="AA250" s="525"/>
      <c r="AB250" s="526"/>
      <c r="AC250" s="526"/>
      <c r="AD250" s="526"/>
      <c r="AE250" s="526"/>
      <c r="AF250" s="526"/>
      <c r="AG250" s="488"/>
      <c r="AH250" s="526"/>
      <c r="AI250" s="488"/>
      <c r="AJ250" s="547"/>
      <c r="AK250" s="547"/>
      <c r="AL250" s="548"/>
      <c r="AM250" s="492"/>
      <c r="AN250" s="492"/>
      <c r="AO250" s="549"/>
      <c r="AP250" s="549"/>
      <c r="AQ250" s="549"/>
      <c r="AR250" s="549"/>
      <c r="AS250" s="492"/>
      <c r="AT250" s="492"/>
    </row>
    <row r="251" spans="1:62" s="2" customFormat="1" ht="16.5" customHeight="1">
      <c r="A251" s="496"/>
      <c r="B251" s="515"/>
      <c r="C251" s="498"/>
      <c r="D251" s="498"/>
      <c r="E251" s="498"/>
      <c r="F251" s="498"/>
      <c r="G251" s="498"/>
      <c r="H251" s="498"/>
      <c r="I251" s="498"/>
      <c r="J251" s="498"/>
      <c r="K251" s="498"/>
      <c r="L251" s="232"/>
      <c r="M251" s="232"/>
      <c r="N251" s="232"/>
      <c r="O251" s="232"/>
      <c r="P251" s="232"/>
      <c r="Q251" s="232"/>
      <c r="R251" s="232"/>
      <c r="S251" s="232"/>
      <c r="T251" s="232"/>
      <c r="U251" s="232"/>
      <c r="V251" s="232"/>
      <c r="W251" s="498"/>
      <c r="X251" s="498"/>
      <c r="Y251" s="498"/>
      <c r="Z251" s="498"/>
      <c r="AA251" s="498"/>
      <c r="AF251" s="498"/>
      <c r="AG251" s="498"/>
      <c r="AH251" s="498"/>
      <c r="AI251" s="507"/>
      <c r="AJ251" s="535"/>
      <c r="AK251" s="535"/>
      <c r="AL251" s="550"/>
      <c r="AM251" s="492"/>
      <c r="AN251" s="492"/>
      <c r="AO251" s="492"/>
      <c r="AP251" s="492"/>
      <c r="AQ251" s="492"/>
      <c r="AR251" s="492"/>
      <c r="AS251" s="492"/>
      <c r="AT251" s="492"/>
    </row>
    <row r="252" spans="1:62" s="2" customFormat="1">
      <c r="A252" s="496"/>
      <c r="B252" s="515"/>
      <c r="C252" s="498"/>
      <c r="D252" s="498"/>
      <c r="E252" s="498"/>
      <c r="F252" s="498"/>
      <c r="G252" s="498"/>
      <c r="H252" s="498"/>
      <c r="I252" s="498"/>
      <c r="J252" s="498"/>
      <c r="K252" s="498"/>
      <c r="L252" s="232"/>
      <c r="M252" s="498"/>
      <c r="N252" s="498"/>
      <c r="O252" s="498"/>
      <c r="P252" s="498"/>
      <c r="Q252" s="498"/>
      <c r="R252" s="498"/>
      <c r="S252" s="498"/>
      <c r="T252" s="498"/>
      <c r="U252" s="498"/>
      <c r="V252" s="498"/>
      <c r="W252" s="498"/>
      <c r="X252" s="498"/>
      <c r="Y252" s="498"/>
      <c r="Z252" s="498"/>
      <c r="AA252" s="498"/>
      <c r="AD252" s="551"/>
      <c r="AE252" s="498"/>
      <c r="AI252" s="507"/>
      <c r="AJ252" s="535"/>
      <c r="AK252" s="535"/>
      <c r="AL252" s="492"/>
      <c r="AM252" s="492"/>
      <c r="AN252" s="492"/>
      <c r="AO252" s="492"/>
      <c r="AP252" s="492"/>
      <c r="AQ252" s="492"/>
      <c r="AR252" s="492"/>
      <c r="AS252" s="492"/>
      <c r="AT252" s="492"/>
    </row>
    <row r="253" spans="1:62" s="2" customFormat="1">
      <c r="A253" s="496"/>
      <c r="B253" s="515"/>
      <c r="C253" s="498"/>
      <c r="D253" s="498"/>
      <c r="E253" s="498"/>
      <c r="F253" s="498"/>
      <c r="G253" s="498"/>
      <c r="H253" s="498"/>
      <c r="I253" s="498"/>
      <c r="J253" s="498"/>
      <c r="K253" s="498"/>
      <c r="L253" s="498"/>
      <c r="M253" s="498"/>
      <c r="N253" s="498"/>
      <c r="O253" s="498"/>
      <c r="P253" s="498"/>
      <c r="Q253" s="498"/>
      <c r="R253" s="498"/>
      <c r="S253" s="498"/>
      <c r="T253" s="498"/>
      <c r="U253" s="498"/>
      <c r="V253" s="498"/>
      <c r="W253" s="498"/>
      <c r="X253" s="498"/>
      <c r="Y253" s="498"/>
      <c r="Z253" s="498"/>
      <c r="AA253" s="498"/>
      <c r="AC253" s="524"/>
      <c r="AD253" s="507"/>
      <c r="AJ253" s="535"/>
      <c r="AK253" s="535"/>
      <c r="AL253" s="492"/>
      <c r="AM253" s="492"/>
      <c r="AN253" s="492"/>
      <c r="AO253" s="492"/>
      <c r="AP253" s="492"/>
      <c r="AQ253" s="492"/>
      <c r="AR253" s="492"/>
      <c r="AS253" s="492"/>
      <c r="AT253" s="492"/>
    </row>
    <row r="254" spans="1:62" s="2" customFormat="1">
      <c r="A254" s="496"/>
      <c r="C254" s="498"/>
      <c r="D254" s="498"/>
      <c r="E254" s="498"/>
      <c r="F254" s="498"/>
      <c r="G254" s="498"/>
      <c r="H254" s="498"/>
      <c r="I254" s="144"/>
      <c r="J254" s="144"/>
      <c r="K254" s="144"/>
      <c r="L254" s="144"/>
      <c r="M254" s="144"/>
      <c r="N254" s="498"/>
      <c r="O254" s="498"/>
      <c r="P254" s="498"/>
      <c r="Q254" s="498"/>
      <c r="R254" s="498"/>
      <c r="S254" s="498"/>
      <c r="T254" s="498"/>
      <c r="U254" s="498"/>
      <c r="V254" s="498"/>
      <c r="W254" s="498"/>
      <c r="X254" s="498"/>
      <c r="Y254" s="498"/>
      <c r="Z254" s="498"/>
      <c r="AA254" s="498"/>
      <c r="AB254" s="144"/>
      <c r="AC254" s="144"/>
      <c r="AD254" s="144"/>
    </row>
    <row r="255" spans="1:62" s="2" customFormat="1">
      <c r="A255" s="496"/>
      <c r="B255" s="515"/>
      <c r="C255" s="498"/>
      <c r="D255" s="498"/>
      <c r="E255" s="498"/>
      <c r="F255" s="498"/>
      <c r="G255" s="498"/>
      <c r="H255" s="498"/>
      <c r="I255" s="525"/>
      <c r="J255" s="525"/>
      <c r="K255" s="525"/>
      <c r="L255" s="525"/>
      <c r="M255" s="525"/>
      <c r="N255" s="525"/>
      <c r="O255" s="525"/>
      <c r="P255" s="525"/>
      <c r="Q255" s="525"/>
      <c r="R255" s="525"/>
      <c r="S255" s="525"/>
      <c r="T255" s="525"/>
      <c r="U255" s="525"/>
      <c r="V255" s="525"/>
      <c r="W255" s="525"/>
      <c r="X255" s="525"/>
      <c r="Y255" s="525"/>
      <c r="Z255" s="525"/>
      <c r="AA255" s="525"/>
      <c r="AB255" s="525"/>
      <c r="AC255" s="525"/>
      <c r="AD255" s="543"/>
      <c r="AE255" s="552"/>
      <c r="AF255" s="488"/>
      <c r="AG255" s="488"/>
      <c r="AH255" s="488"/>
      <c r="AI255" s="488"/>
      <c r="AJ255" s="488"/>
      <c r="AK255" s="488"/>
    </row>
    <row r="256" spans="1:62" s="2" customFormat="1">
      <c r="A256" s="496"/>
      <c r="C256" s="498"/>
      <c r="D256" s="498"/>
      <c r="E256" s="498"/>
      <c r="F256" s="498"/>
      <c r="G256" s="498"/>
      <c r="H256" s="498"/>
      <c r="I256" s="498"/>
      <c r="J256" s="498"/>
      <c r="K256" s="498"/>
      <c r="L256" s="498"/>
      <c r="M256" s="498"/>
      <c r="N256" s="498"/>
      <c r="O256" s="498"/>
      <c r="P256" s="498"/>
      <c r="Q256" s="498"/>
      <c r="R256" s="498"/>
      <c r="S256" s="498"/>
      <c r="T256" s="498"/>
      <c r="U256" s="498"/>
      <c r="V256" s="498"/>
      <c r="W256" s="498"/>
      <c r="X256" s="498"/>
      <c r="Y256" s="498"/>
      <c r="Z256" s="498"/>
      <c r="AA256" s="498"/>
      <c r="AB256" s="498"/>
      <c r="AC256" s="144"/>
      <c r="AD256" s="525"/>
      <c r="AE256" s="542"/>
      <c r="AF256" s="542"/>
      <c r="AG256" s="542"/>
      <c r="AH256" s="542"/>
      <c r="AI256" s="542"/>
      <c r="AJ256" s="542"/>
      <c r="AK256" s="542"/>
      <c r="AL256" s="542"/>
      <c r="AM256" s="542"/>
      <c r="AN256" s="542"/>
      <c r="AO256" s="542"/>
      <c r="AP256" s="542"/>
      <c r="AQ256" s="542"/>
      <c r="AR256" s="542"/>
      <c r="AS256" s="542"/>
      <c r="AT256" s="542"/>
      <c r="AU256" s="542"/>
      <c r="AV256" s="542"/>
    </row>
    <row r="257" spans="1:54" s="2" customFormat="1" ht="15">
      <c r="A257" s="553"/>
      <c r="B257" s="545"/>
      <c r="C257" s="545"/>
      <c r="D257" s="545"/>
      <c r="E257" s="545"/>
      <c r="F257" s="545"/>
      <c r="G257" s="545"/>
      <c r="H257" s="545"/>
      <c r="I257" s="545"/>
      <c r="J257" s="545"/>
      <c r="K257" s="545"/>
      <c r="L257" s="545"/>
      <c r="M257" s="545"/>
      <c r="N257" s="545"/>
      <c r="O257" s="545"/>
      <c r="P257" s="545"/>
      <c r="Q257" s="545"/>
      <c r="R257" s="545"/>
      <c r="S257" s="545"/>
      <c r="T257" s="545"/>
      <c r="U257" s="545"/>
      <c r="V257" s="545"/>
      <c r="W257" s="545"/>
      <c r="X257" s="545"/>
      <c r="Y257" s="545"/>
      <c r="Z257" s="545"/>
      <c r="AA257" s="545"/>
      <c r="AB257" s="545"/>
      <c r="AC257" s="144"/>
      <c r="AD257" s="525"/>
      <c r="AE257" s="542"/>
      <c r="AF257" s="542"/>
      <c r="AG257" s="542"/>
      <c r="AH257" s="542"/>
      <c r="AJ257" s="542"/>
    </row>
    <row r="258" spans="1:54" s="2" customFormat="1" ht="15.75" customHeight="1">
      <c r="A258" s="1108"/>
      <c r="B258" s="1108"/>
      <c r="C258" s="1108"/>
      <c r="D258" s="1108"/>
      <c r="E258" s="1108"/>
      <c r="F258" s="1108"/>
      <c r="G258" s="1108"/>
      <c r="H258" s="1108"/>
      <c r="I258" s="1108"/>
      <c r="J258" s="1108"/>
      <c r="K258" s="1108"/>
      <c r="L258" s="1108"/>
      <c r="M258" s="1108"/>
      <c r="N258" s="1108"/>
      <c r="O258" s="1108"/>
      <c r="P258" s="1108"/>
      <c r="Q258" s="1108"/>
      <c r="R258" s="1108"/>
      <c r="S258" s="1108"/>
      <c r="T258" s="1108"/>
      <c r="U258" s="1108"/>
      <c r="V258" s="1108"/>
      <c r="W258" s="1108"/>
      <c r="X258" s="1108"/>
      <c r="Y258" s="1108"/>
      <c r="Z258" s="1108"/>
      <c r="AA258" s="1108"/>
      <c r="AB258" s="1108"/>
      <c r="AC258" s="144"/>
      <c r="AD258" s="488"/>
      <c r="AE258" s="488"/>
      <c r="AF258" s="488"/>
      <c r="AG258" s="488"/>
      <c r="AH258" s="488"/>
      <c r="AI258" s="488"/>
      <c r="AJ258" s="542"/>
    </row>
    <row r="259" spans="1:54" s="144" customFormat="1" ht="18" customHeight="1">
      <c r="A259" s="1108"/>
      <c r="B259" s="1108"/>
      <c r="C259" s="1108"/>
      <c r="D259" s="1108"/>
      <c r="E259" s="1108"/>
      <c r="F259" s="1108"/>
      <c r="G259" s="1108"/>
      <c r="H259" s="1108"/>
      <c r="I259" s="1108"/>
      <c r="J259" s="1108"/>
      <c r="K259" s="1108"/>
      <c r="L259" s="1108"/>
      <c r="M259" s="1108"/>
      <c r="N259" s="1108"/>
      <c r="O259" s="1108"/>
      <c r="P259" s="1108"/>
      <c r="Q259" s="1108"/>
      <c r="R259" s="1108"/>
      <c r="S259" s="1108"/>
      <c r="T259" s="1108"/>
      <c r="U259" s="1108"/>
      <c r="V259" s="1108"/>
      <c r="W259" s="1108"/>
      <c r="X259" s="1108"/>
      <c r="Y259" s="1108"/>
      <c r="Z259" s="1108"/>
      <c r="AA259" s="1108"/>
      <c r="AB259" s="1108"/>
      <c r="AR259" s="2"/>
      <c r="AS259" s="2"/>
      <c r="AT259" s="2"/>
      <c r="AU259" s="2"/>
      <c r="AV259" s="2"/>
      <c r="AW259" s="2"/>
      <c r="AX259" s="2"/>
      <c r="AY259" s="2"/>
    </row>
    <row r="260" spans="1:54" s="144" customFormat="1" ht="18" customHeight="1">
      <c r="A260" s="1108"/>
      <c r="B260" s="1108"/>
      <c r="C260" s="1108"/>
      <c r="D260" s="1108"/>
      <c r="E260" s="1108"/>
      <c r="F260" s="1108"/>
      <c r="G260" s="1108"/>
      <c r="H260" s="1108"/>
      <c r="I260" s="1108"/>
      <c r="J260" s="1108"/>
      <c r="K260" s="1108"/>
      <c r="L260" s="1108"/>
      <c r="M260" s="1108"/>
      <c r="N260" s="1108"/>
      <c r="O260" s="1108"/>
      <c r="P260" s="1108"/>
      <c r="Q260" s="1108"/>
      <c r="R260" s="1108"/>
      <c r="S260" s="1108"/>
      <c r="T260" s="1108"/>
      <c r="U260" s="1108"/>
      <c r="V260" s="1108"/>
      <c r="W260" s="1108"/>
      <c r="X260" s="1108"/>
      <c r="Y260" s="1108"/>
      <c r="Z260" s="1108"/>
      <c r="AA260" s="1108"/>
      <c r="AB260" s="1108"/>
      <c r="AR260" s="2"/>
      <c r="AS260" s="2"/>
      <c r="AT260" s="2"/>
      <c r="AU260" s="2"/>
      <c r="AV260" s="2"/>
      <c r="AW260" s="2"/>
      <c r="AX260" s="2"/>
      <c r="AY260" s="2"/>
    </row>
    <row r="261" spans="1:54" s="144" customFormat="1" ht="18" customHeight="1">
      <c r="A261" s="1108"/>
      <c r="B261" s="1108"/>
      <c r="C261" s="1108"/>
      <c r="D261" s="1108"/>
      <c r="E261" s="1108"/>
      <c r="F261" s="1108"/>
      <c r="G261" s="1108"/>
      <c r="H261" s="1108"/>
      <c r="I261" s="1108"/>
      <c r="J261" s="1108"/>
      <c r="K261" s="1108"/>
      <c r="L261" s="1108"/>
      <c r="M261" s="1108"/>
      <c r="N261" s="1108"/>
      <c r="O261" s="1108"/>
      <c r="P261" s="1108"/>
      <c r="Q261" s="1108"/>
      <c r="R261" s="1108"/>
      <c r="S261" s="1108"/>
      <c r="T261" s="1108"/>
      <c r="U261" s="1108"/>
      <c r="V261" s="1108"/>
      <c r="W261" s="1108"/>
      <c r="X261" s="1108"/>
      <c r="Y261" s="1108"/>
      <c r="Z261" s="1108"/>
      <c r="AA261" s="1108"/>
      <c r="AB261" s="1108"/>
    </row>
    <row r="262" spans="1:54" s="144" customFormat="1" ht="18" customHeight="1">
      <c r="A262" s="1108"/>
      <c r="B262" s="1108"/>
      <c r="C262" s="1108"/>
      <c r="D262" s="1108"/>
      <c r="E262" s="1108"/>
      <c r="F262" s="1108"/>
      <c r="G262" s="1108"/>
      <c r="H262" s="1108"/>
      <c r="I262" s="1108"/>
      <c r="J262" s="1108"/>
      <c r="K262" s="1108"/>
      <c r="L262" s="1108"/>
      <c r="M262" s="1108"/>
      <c r="N262" s="1108"/>
      <c r="O262" s="1108"/>
      <c r="P262" s="1108"/>
      <c r="Q262" s="1108"/>
      <c r="R262" s="1108"/>
      <c r="S262" s="1108"/>
      <c r="T262" s="1108"/>
      <c r="U262" s="1108"/>
      <c r="V262" s="1108"/>
      <c r="W262" s="1108"/>
      <c r="X262" s="1108"/>
      <c r="Y262" s="1108"/>
      <c r="Z262" s="1108"/>
      <c r="AA262" s="1108"/>
      <c r="AB262" s="1108"/>
    </row>
    <row r="263" spans="1:54" s="144" customFormat="1" ht="18" customHeight="1">
      <c r="A263" s="1108"/>
      <c r="B263" s="1108"/>
      <c r="C263" s="1108"/>
      <c r="D263" s="1108"/>
      <c r="E263" s="1108"/>
      <c r="F263" s="1108"/>
      <c r="G263" s="1108"/>
      <c r="H263" s="1108"/>
      <c r="I263" s="1108"/>
      <c r="J263" s="1108"/>
      <c r="K263" s="1108"/>
      <c r="L263" s="1108"/>
      <c r="M263" s="1108"/>
      <c r="N263" s="1108"/>
      <c r="O263" s="1108"/>
      <c r="P263" s="1108"/>
      <c r="Q263" s="1108"/>
      <c r="R263" s="1108"/>
      <c r="S263" s="1108"/>
      <c r="T263" s="1108"/>
      <c r="U263" s="1108"/>
      <c r="V263" s="1108"/>
      <c r="W263" s="1108"/>
      <c r="X263" s="1108"/>
      <c r="Y263" s="1108"/>
      <c r="Z263" s="1108"/>
      <c r="AA263" s="1108"/>
      <c r="AB263" s="1108"/>
    </row>
    <row r="264" spans="1:54" s="144" customFormat="1" ht="18" customHeight="1">
      <c r="A264" s="545"/>
      <c r="B264" s="545"/>
      <c r="C264" s="545"/>
      <c r="D264" s="545"/>
      <c r="E264" s="545"/>
      <c r="F264" s="545"/>
      <c r="G264" s="545"/>
      <c r="H264" s="545"/>
      <c r="I264" s="545"/>
      <c r="J264" s="545"/>
      <c r="K264" s="545"/>
      <c r="L264" s="545"/>
      <c r="M264" s="545"/>
      <c r="N264" s="545"/>
      <c r="O264" s="545"/>
      <c r="P264" s="545"/>
      <c r="Q264" s="545"/>
      <c r="R264" s="545"/>
      <c r="S264" s="545"/>
      <c r="T264" s="545"/>
      <c r="U264" s="545"/>
      <c r="V264" s="545"/>
      <c r="W264" s="545"/>
      <c r="X264" s="545"/>
      <c r="Y264" s="545"/>
      <c r="Z264" s="545"/>
      <c r="AA264" s="545"/>
      <c r="AB264" s="545"/>
    </row>
    <row r="265" spans="1:54" s="144" customFormat="1" ht="18" customHeight="1">
      <c r="A265" s="545"/>
      <c r="B265" s="545"/>
      <c r="C265" s="545"/>
      <c r="D265" s="545"/>
      <c r="E265" s="545"/>
      <c r="F265" s="545"/>
      <c r="G265" s="545"/>
      <c r="H265" s="545"/>
      <c r="I265" s="545"/>
      <c r="J265" s="545"/>
      <c r="K265" s="545"/>
      <c r="L265" s="545"/>
      <c r="M265" s="545"/>
      <c r="N265" s="545"/>
      <c r="O265" s="545"/>
      <c r="P265" s="545"/>
      <c r="Q265" s="545"/>
      <c r="R265" s="545"/>
      <c r="S265" s="545"/>
      <c r="T265" s="545"/>
      <c r="U265" s="545"/>
      <c r="V265" s="545"/>
      <c r="W265" s="545"/>
      <c r="X265" s="545"/>
      <c r="Y265" s="545"/>
      <c r="Z265" s="545"/>
      <c r="AA265" s="545"/>
      <c r="AB265" s="545"/>
    </row>
    <row r="266" spans="1:54" s="535" customFormat="1">
      <c r="A266" s="494"/>
      <c r="B266" s="554"/>
      <c r="C266" s="490"/>
      <c r="D266" s="490"/>
      <c r="E266" s="490"/>
      <c r="F266" s="490"/>
      <c r="G266" s="490"/>
      <c r="H266" s="490"/>
      <c r="I266" s="490"/>
      <c r="J266" s="490"/>
      <c r="K266" s="490"/>
      <c r="L266" s="490"/>
      <c r="M266" s="490"/>
      <c r="N266" s="490"/>
      <c r="O266" s="490"/>
      <c r="P266" s="490"/>
      <c r="Q266" s="490"/>
      <c r="R266" s="490"/>
      <c r="S266" s="490"/>
      <c r="T266" s="490"/>
      <c r="U266" s="490"/>
      <c r="V266" s="490"/>
      <c r="W266" s="490"/>
      <c r="X266" s="490"/>
      <c r="Y266" s="490"/>
      <c r="Z266" s="490"/>
      <c r="AA266" s="490"/>
      <c r="AB266" s="490"/>
      <c r="AC266" s="490"/>
      <c r="AD266" s="490"/>
      <c r="AE266" s="490"/>
      <c r="AF266" s="490"/>
      <c r="AG266" s="490"/>
      <c r="AH266" s="490"/>
      <c r="AI266" s="490"/>
      <c r="AJ266" s="490"/>
      <c r="AK266" s="490"/>
      <c r="AL266" s="490"/>
      <c r="AM266" s="490"/>
      <c r="AN266" s="490"/>
      <c r="AO266" s="555"/>
      <c r="AP266" s="490"/>
      <c r="AQ266" s="555"/>
      <c r="AR266" s="555"/>
      <c r="AS266" s="490"/>
      <c r="AT266" s="490"/>
      <c r="AU266" s="490"/>
      <c r="AV266" s="490"/>
      <c r="AW266" s="490"/>
      <c r="AX266" s="490"/>
      <c r="AY266" s="490"/>
      <c r="AZ266" s="490"/>
      <c r="BA266" s="490"/>
      <c r="BB266" s="490"/>
    </row>
    <row r="267" spans="1:54" s="2" customFormat="1">
      <c r="A267" s="556"/>
      <c r="B267" s="557"/>
      <c r="C267" s="498"/>
      <c r="D267" s="498"/>
      <c r="E267" s="498"/>
      <c r="F267" s="498"/>
      <c r="G267" s="498"/>
      <c r="H267" s="498"/>
      <c r="I267" s="498"/>
      <c r="J267" s="498"/>
      <c r="K267" s="498"/>
      <c r="L267" s="498"/>
      <c r="M267" s="498"/>
      <c r="N267" s="498"/>
      <c r="O267" s="498"/>
      <c r="P267" s="498"/>
      <c r="Q267" s="498"/>
      <c r="R267" s="498"/>
      <c r="S267" s="498"/>
      <c r="T267" s="498"/>
      <c r="U267" s="498"/>
      <c r="V267" s="498"/>
      <c r="W267" s="498"/>
      <c r="X267" s="498"/>
      <c r="Y267" s="498"/>
      <c r="Z267" s="498"/>
      <c r="AA267" s="498"/>
      <c r="AB267" s="498"/>
      <c r="AC267" s="498"/>
      <c r="AD267" s="509"/>
      <c r="AF267" s="233"/>
      <c r="AG267" s="233"/>
      <c r="AH267" s="233"/>
      <c r="AI267" s="233"/>
      <c r="AJ267" s="233"/>
      <c r="AK267" s="233"/>
      <c r="AL267" s="233"/>
      <c r="AM267" s="233"/>
      <c r="AN267" s="524"/>
      <c r="AP267" s="233"/>
      <c r="AQ267" s="526"/>
      <c r="AS267" s="233"/>
      <c r="AT267" s="526"/>
      <c r="AU267" s="233"/>
      <c r="AV267" s="233"/>
      <c r="AY267" s="233"/>
    </row>
    <row r="268" spans="1:54" s="2" customFormat="1">
      <c r="A268" s="556"/>
      <c r="B268" s="558"/>
      <c r="C268" s="498"/>
      <c r="D268" s="498"/>
      <c r="E268" s="498"/>
      <c r="F268" s="498"/>
      <c r="G268" s="498"/>
      <c r="H268" s="498"/>
      <c r="I268" s="498"/>
      <c r="J268" s="498"/>
      <c r="K268" s="498"/>
      <c r="L268" s="498"/>
      <c r="M268" s="498"/>
      <c r="N268" s="498"/>
      <c r="O268" s="498"/>
      <c r="P268" s="498"/>
      <c r="Q268" s="498"/>
      <c r="R268" s="498"/>
      <c r="S268" s="498"/>
      <c r="T268" s="498"/>
      <c r="U268" s="498"/>
      <c r="V268" s="498"/>
      <c r="W268" s="498"/>
      <c r="X268" s="498"/>
      <c r="Y268" s="498"/>
      <c r="Z268" s="498"/>
      <c r="AA268" s="498"/>
      <c r="AB268" s="498"/>
      <c r="AC268" s="498"/>
      <c r="AD268" s="509"/>
      <c r="AF268" s="509"/>
      <c r="AG268" s="509"/>
      <c r="AH268" s="498"/>
      <c r="AI268" s="498"/>
      <c r="AJ268" s="509"/>
      <c r="AM268" s="233"/>
      <c r="AO268" s="509"/>
      <c r="AQ268" s="509"/>
      <c r="AR268" s="509"/>
      <c r="AT268" s="509"/>
      <c r="AU268" s="509"/>
      <c r="AV268" s="233"/>
    </row>
    <row r="269" spans="1:54" s="2" customFormat="1">
      <c r="A269" s="556"/>
      <c r="B269" s="557"/>
      <c r="C269" s="498"/>
      <c r="D269" s="498"/>
      <c r="E269" s="498"/>
      <c r="F269" s="498"/>
      <c r="G269" s="498"/>
      <c r="H269" s="498"/>
      <c r="I269" s="498"/>
      <c r="J269" s="498"/>
      <c r="K269" s="498"/>
      <c r="L269" s="498"/>
      <c r="M269" s="498"/>
      <c r="N269" s="498"/>
      <c r="O269" s="498"/>
      <c r="P269" s="498"/>
      <c r="Q269" s="498"/>
      <c r="R269" s="498"/>
      <c r="S269" s="498"/>
      <c r="T269" s="498"/>
      <c r="U269" s="498"/>
      <c r="V269" s="498"/>
      <c r="W269" s="498"/>
      <c r="X269" s="498"/>
      <c r="Y269" s="498"/>
      <c r="Z269" s="498"/>
      <c r="AA269" s="498"/>
      <c r="AB269" s="498"/>
      <c r="AC269" s="498"/>
      <c r="AD269" s="509"/>
      <c r="AF269" s="509"/>
      <c r="AG269" s="509"/>
      <c r="AH269" s="498"/>
      <c r="AI269" s="498"/>
      <c r="AJ269" s="509"/>
      <c r="AK269" s="233"/>
      <c r="AL269" s="233"/>
      <c r="AM269" s="233"/>
      <c r="AN269" s="524"/>
      <c r="AO269" s="509"/>
      <c r="AP269" s="233"/>
      <c r="AQ269" s="509"/>
      <c r="AR269" s="509"/>
      <c r="AS269" s="233"/>
      <c r="AT269" s="509"/>
      <c r="AU269" s="509"/>
      <c r="AV269" s="233"/>
      <c r="AY269" s="233"/>
    </row>
    <row r="270" spans="1:54" s="2" customFormat="1" ht="13.5" customHeight="1">
      <c r="A270" s="556"/>
      <c r="B270" s="558"/>
      <c r="C270" s="498"/>
      <c r="D270" s="498"/>
      <c r="E270" s="498"/>
      <c r="F270" s="498"/>
      <c r="G270" s="498"/>
      <c r="H270" s="498"/>
      <c r="I270" s="498"/>
      <c r="J270" s="498"/>
      <c r="K270" s="498"/>
      <c r="L270" s="498"/>
      <c r="M270" s="498"/>
      <c r="N270" s="498"/>
      <c r="O270" s="498"/>
      <c r="P270" s="498"/>
      <c r="Q270" s="498"/>
      <c r="R270" s="498"/>
      <c r="S270" s="498"/>
      <c r="T270" s="498"/>
      <c r="U270" s="498"/>
      <c r="V270" s="498"/>
      <c r="W270" s="498"/>
      <c r="X270" s="498"/>
      <c r="Y270" s="498"/>
      <c r="Z270" s="498"/>
      <c r="AA270" s="498"/>
      <c r="AB270" s="498"/>
      <c r="AC270" s="498"/>
      <c r="AD270" s="509"/>
      <c r="AF270" s="509"/>
      <c r="AG270" s="523"/>
      <c r="AH270" s="498"/>
      <c r="AI270" s="498"/>
      <c r="AJ270" s="523"/>
      <c r="AM270" s="233"/>
      <c r="AO270" s="509"/>
      <c r="AQ270" s="523"/>
      <c r="AR270" s="509"/>
      <c r="AT270" s="523"/>
      <c r="AU270" s="523"/>
      <c r="AV270" s="233"/>
    </row>
    <row r="271" spans="1:54" s="2" customFormat="1">
      <c r="A271" s="556"/>
      <c r="B271" s="557"/>
      <c r="C271" s="498"/>
      <c r="D271" s="498"/>
      <c r="E271" s="498"/>
      <c r="F271" s="498"/>
      <c r="G271" s="498"/>
      <c r="H271" s="498"/>
      <c r="I271" s="498"/>
      <c r="J271" s="498"/>
      <c r="K271" s="498"/>
      <c r="L271" s="498"/>
      <c r="M271" s="498"/>
      <c r="N271" s="498"/>
      <c r="O271" s="498"/>
      <c r="P271" s="498"/>
      <c r="Q271" s="498"/>
      <c r="R271" s="498"/>
      <c r="S271" s="498"/>
      <c r="T271" s="498"/>
      <c r="U271" s="498"/>
      <c r="V271" s="498"/>
      <c r="W271" s="498"/>
      <c r="X271" s="498"/>
      <c r="Y271" s="498"/>
      <c r="Z271" s="498"/>
      <c r="AA271" s="498"/>
      <c r="AB271" s="498"/>
      <c r="AC271" s="498"/>
      <c r="AD271" s="509"/>
      <c r="AF271" s="509"/>
      <c r="AG271" s="507"/>
      <c r="AH271" s="498"/>
      <c r="AI271" s="498"/>
      <c r="AJ271" s="507"/>
      <c r="AM271" s="233"/>
      <c r="AO271" s="509"/>
      <c r="AQ271" s="507"/>
      <c r="AR271" s="509"/>
      <c r="AT271" s="507"/>
      <c r="AU271" s="507"/>
      <c r="AV271" s="233"/>
    </row>
    <row r="272" spans="1:54" s="2" customFormat="1">
      <c r="A272" s="556"/>
      <c r="B272" s="558"/>
      <c r="C272" s="498"/>
      <c r="D272" s="498"/>
      <c r="E272" s="498"/>
      <c r="F272" s="498"/>
      <c r="G272" s="498"/>
      <c r="H272" s="498"/>
      <c r="I272" s="498"/>
      <c r="J272" s="498"/>
      <c r="K272" s="498"/>
      <c r="L272" s="498"/>
      <c r="M272" s="498"/>
      <c r="N272" s="498"/>
      <c r="O272" s="498"/>
      <c r="P272" s="498"/>
      <c r="Q272" s="498"/>
      <c r="R272" s="498"/>
      <c r="S272" s="498"/>
      <c r="T272" s="498"/>
      <c r="U272" s="498"/>
      <c r="V272" s="498"/>
      <c r="W272" s="498"/>
      <c r="X272" s="498"/>
      <c r="Y272" s="498"/>
      <c r="Z272" s="498"/>
      <c r="AA272" s="498"/>
      <c r="AB272" s="498"/>
      <c r="AC272" s="498"/>
      <c r="AD272" s="509"/>
      <c r="AF272" s="509"/>
      <c r="AG272" s="509"/>
      <c r="AH272" s="498"/>
      <c r="AI272" s="498"/>
      <c r="AJ272" s="509"/>
      <c r="AM272" s="233"/>
      <c r="AO272" s="509"/>
      <c r="AQ272" s="509"/>
      <c r="AR272" s="509"/>
      <c r="AT272" s="509"/>
      <c r="AU272" s="509"/>
      <c r="AV272" s="233"/>
    </row>
    <row r="273" spans="1:51" s="2" customFormat="1">
      <c r="A273" s="559"/>
      <c r="B273" s="557"/>
      <c r="C273" s="498"/>
      <c r="D273" s="498"/>
      <c r="E273" s="498"/>
      <c r="F273" s="498"/>
      <c r="G273" s="498"/>
      <c r="H273" s="498"/>
      <c r="I273" s="498"/>
      <c r="J273" s="498"/>
      <c r="K273" s="498"/>
      <c r="L273" s="498"/>
      <c r="M273" s="498"/>
      <c r="N273" s="498"/>
      <c r="O273" s="498"/>
      <c r="P273" s="498"/>
      <c r="Q273" s="498"/>
      <c r="R273" s="498"/>
      <c r="S273" s="498"/>
      <c r="T273" s="498"/>
      <c r="U273" s="498"/>
      <c r="V273" s="498"/>
      <c r="W273" s="498"/>
      <c r="X273" s="498"/>
      <c r="Y273" s="498"/>
      <c r="Z273" s="498"/>
      <c r="AA273" s="498"/>
      <c r="AB273" s="498"/>
      <c r="AC273" s="498"/>
      <c r="AD273" s="509"/>
      <c r="AF273" s="509"/>
      <c r="AG273" s="507"/>
      <c r="AH273" s="498"/>
      <c r="AI273" s="498"/>
      <c r="AJ273" s="507"/>
      <c r="AM273" s="233"/>
      <c r="AO273" s="509"/>
      <c r="AQ273" s="507"/>
      <c r="AR273" s="509"/>
      <c r="AT273" s="507"/>
      <c r="AU273" s="507"/>
      <c r="AV273" s="233"/>
      <c r="AY273" s="233"/>
    </row>
    <row r="274" spans="1:51" s="2" customFormat="1">
      <c r="A274" s="556"/>
      <c r="B274" s="558"/>
      <c r="C274" s="498"/>
      <c r="D274" s="498"/>
      <c r="E274" s="498"/>
      <c r="F274" s="498"/>
      <c r="G274" s="498"/>
      <c r="H274" s="498"/>
      <c r="I274" s="498"/>
      <c r="J274" s="498"/>
      <c r="K274" s="498"/>
      <c r="L274" s="498"/>
      <c r="M274" s="498"/>
      <c r="N274" s="498"/>
      <c r="O274" s="498"/>
      <c r="P274" s="498"/>
      <c r="Q274" s="498"/>
      <c r="R274" s="498"/>
      <c r="S274" s="498"/>
      <c r="T274" s="498"/>
      <c r="U274" s="498"/>
      <c r="V274" s="498"/>
      <c r="W274" s="498"/>
      <c r="X274" s="498"/>
      <c r="Y274" s="498"/>
      <c r="Z274" s="498"/>
      <c r="AA274" s="498"/>
      <c r="AB274" s="498"/>
      <c r="AC274" s="498"/>
      <c r="AD274" s="509"/>
      <c r="AF274" s="509"/>
      <c r="AG274" s="509"/>
      <c r="AH274" s="498"/>
      <c r="AI274" s="498"/>
      <c r="AJ274" s="509"/>
      <c r="AM274" s="233"/>
      <c r="AO274" s="509"/>
      <c r="AQ274" s="509"/>
      <c r="AR274" s="509"/>
      <c r="AT274" s="509"/>
      <c r="AU274" s="509"/>
      <c r="AV274" s="233"/>
    </row>
    <row r="275" spans="1:51" s="2" customFormat="1">
      <c r="A275" s="559"/>
      <c r="B275" s="557"/>
      <c r="C275" s="498"/>
      <c r="D275" s="498"/>
      <c r="E275" s="498"/>
      <c r="F275" s="498"/>
      <c r="G275" s="498"/>
      <c r="H275" s="498"/>
      <c r="I275" s="498"/>
      <c r="J275" s="498"/>
      <c r="K275" s="498"/>
      <c r="L275" s="498"/>
      <c r="M275" s="498"/>
      <c r="N275" s="498"/>
      <c r="O275" s="498"/>
      <c r="P275" s="498"/>
      <c r="Q275" s="498"/>
      <c r="R275" s="498"/>
      <c r="S275" s="498"/>
      <c r="T275" s="498"/>
      <c r="U275" s="498"/>
      <c r="V275" s="498"/>
      <c r="W275" s="498"/>
      <c r="X275" s="498"/>
      <c r="Y275" s="498"/>
      <c r="Z275" s="498"/>
      <c r="AA275" s="498"/>
      <c r="AB275" s="498"/>
      <c r="AC275" s="498"/>
      <c r="AD275" s="509"/>
      <c r="AE275" s="507"/>
      <c r="AF275" s="509"/>
      <c r="AG275" s="507"/>
      <c r="AH275" s="498"/>
      <c r="AI275" s="498"/>
      <c r="AJ275" s="507"/>
      <c r="AM275" s="233"/>
      <c r="AN275" s="560"/>
      <c r="AO275" s="509"/>
      <c r="AQ275" s="507"/>
      <c r="AR275" s="509"/>
      <c r="AT275" s="507"/>
      <c r="AU275" s="507"/>
      <c r="AV275" s="233"/>
    </row>
    <row r="276" spans="1:51" s="2" customFormat="1">
      <c r="A276" s="556"/>
      <c r="B276" s="55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509"/>
      <c r="AF276" s="509"/>
      <c r="AG276" s="523"/>
      <c r="AH276" s="498"/>
      <c r="AI276" s="498"/>
      <c r="AJ276" s="523"/>
      <c r="AM276" s="233"/>
      <c r="AN276" s="561"/>
      <c r="AO276" s="509"/>
      <c r="AP276" s="507"/>
      <c r="AQ276" s="523"/>
      <c r="AR276" s="509"/>
      <c r="AT276" s="523"/>
      <c r="AU276" s="523"/>
      <c r="AV276" s="233"/>
    </row>
    <row r="277" spans="1:51" s="2" customFormat="1">
      <c r="A277" s="559"/>
      <c r="B277" s="562"/>
      <c r="C277" s="498"/>
      <c r="D277" s="498"/>
      <c r="E277" s="498"/>
      <c r="F277" s="498"/>
      <c r="G277" s="498"/>
      <c r="H277" s="498"/>
      <c r="I277" s="498"/>
      <c r="J277" s="498"/>
      <c r="K277" s="498"/>
      <c r="L277" s="498"/>
      <c r="M277" s="498"/>
      <c r="N277" s="498"/>
      <c r="O277" s="498"/>
      <c r="P277" s="498"/>
      <c r="Q277" s="498"/>
      <c r="R277" s="498"/>
      <c r="S277" s="498"/>
      <c r="T277" s="498"/>
      <c r="U277" s="498"/>
      <c r="V277" s="498"/>
      <c r="W277" s="498"/>
      <c r="X277" s="498"/>
      <c r="Y277" s="498"/>
      <c r="Z277" s="498"/>
      <c r="AA277" s="498"/>
      <c r="AB277" s="498"/>
      <c r="AC277" s="232"/>
      <c r="AD277" s="232"/>
      <c r="AE277" s="507"/>
      <c r="AF277" s="523"/>
      <c r="AG277" s="523"/>
      <c r="AH277" s="232"/>
      <c r="AI277" s="232"/>
      <c r="AJ277" s="232"/>
      <c r="AM277" s="233"/>
      <c r="AO277" s="232"/>
      <c r="AQ277" s="232"/>
      <c r="AR277" s="232"/>
      <c r="AT277" s="232"/>
      <c r="AU277" s="232"/>
      <c r="AV277" s="233"/>
    </row>
    <row r="278" spans="1:51" s="2" customFormat="1">
      <c r="A278" s="559"/>
      <c r="B278" s="557"/>
      <c r="C278" s="498"/>
      <c r="D278" s="498"/>
      <c r="E278" s="498"/>
      <c r="F278" s="498"/>
      <c r="G278" s="498"/>
      <c r="H278" s="498"/>
      <c r="I278" s="498"/>
      <c r="J278" s="498"/>
      <c r="K278" s="498"/>
      <c r="L278" s="498"/>
      <c r="M278" s="498"/>
      <c r="N278" s="498"/>
      <c r="O278" s="498"/>
      <c r="P278" s="498"/>
      <c r="Q278" s="498"/>
      <c r="R278" s="498"/>
      <c r="S278" s="498"/>
      <c r="T278" s="232"/>
      <c r="U278" s="498"/>
      <c r="V278" s="498"/>
      <c r="W278" s="498"/>
      <c r="X278" s="498"/>
      <c r="Y278" s="232"/>
      <c r="Z278" s="498"/>
      <c r="AA278" s="498"/>
      <c r="AB278" s="521"/>
      <c r="AC278" s="232"/>
      <c r="AD278" s="232"/>
      <c r="AF278" s="523"/>
      <c r="AG278" s="523"/>
      <c r="AH278" s="232"/>
      <c r="AI278" s="232"/>
      <c r="AJ278" s="232"/>
      <c r="AK278" s="233"/>
      <c r="AM278" s="233"/>
      <c r="AO278" s="232"/>
      <c r="AQ278" s="232"/>
      <c r="AR278" s="232"/>
      <c r="AS278" s="233"/>
      <c r="AT278" s="232"/>
      <c r="AU278" s="232"/>
      <c r="AV278" s="233"/>
    </row>
    <row r="279" spans="1:51" s="2" customFormat="1">
      <c r="A279" s="559"/>
      <c r="B279" s="562"/>
      <c r="C279" s="498"/>
      <c r="D279" s="498"/>
      <c r="E279" s="498"/>
      <c r="F279" s="498"/>
      <c r="G279" s="498"/>
      <c r="H279" s="498"/>
      <c r="I279" s="498"/>
      <c r="J279" s="498"/>
      <c r="K279" s="498"/>
      <c r="L279" s="498"/>
      <c r="M279" s="498"/>
      <c r="N279" s="498"/>
      <c r="O279" s="498"/>
      <c r="P279" s="498"/>
      <c r="Q279" s="498"/>
      <c r="R279" s="498"/>
      <c r="S279" s="498"/>
      <c r="T279" s="498"/>
      <c r="U279" s="498"/>
      <c r="V279" s="498"/>
      <c r="W279" s="498"/>
      <c r="X279" s="498"/>
      <c r="Y279" s="498"/>
      <c r="Z279" s="498"/>
      <c r="AA279" s="498"/>
      <c r="AB279" s="498"/>
      <c r="AC279" s="498"/>
      <c r="AF279" s="507"/>
      <c r="AG279" s="507"/>
      <c r="AH279" s="233"/>
      <c r="AI279" s="233"/>
      <c r="AJ279" s="507"/>
      <c r="AM279" s="233"/>
      <c r="AO279" s="507"/>
      <c r="AQ279" s="507"/>
      <c r="AR279" s="507"/>
      <c r="AT279" s="507"/>
      <c r="AU279" s="507"/>
      <c r="AV279" s="233"/>
    </row>
    <row r="280" spans="1:51" s="2" customFormat="1">
      <c r="A280" s="559"/>
      <c r="B280" s="562"/>
      <c r="C280" s="498"/>
      <c r="D280" s="498"/>
      <c r="E280" s="498"/>
      <c r="F280" s="498"/>
      <c r="G280" s="498"/>
      <c r="H280" s="498"/>
      <c r="I280" s="498"/>
      <c r="J280" s="498"/>
      <c r="K280" s="498"/>
      <c r="L280" s="498"/>
      <c r="M280" s="498"/>
      <c r="N280" s="498"/>
      <c r="O280" s="498"/>
      <c r="P280" s="498"/>
      <c r="Q280" s="498"/>
      <c r="R280" s="498"/>
      <c r="S280" s="498"/>
      <c r="T280" s="498"/>
      <c r="U280" s="498"/>
      <c r="V280" s="498"/>
      <c r="W280" s="498"/>
      <c r="X280" s="498"/>
      <c r="Y280" s="498"/>
      <c r="Z280" s="498"/>
      <c r="AA280" s="498"/>
      <c r="AB280" s="498"/>
      <c r="AC280" s="498"/>
      <c r="AD280" s="144"/>
      <c r="AF280" s="507"/>
      <c r="AG280" s="507"/>
      <c r="AH280" s="233"/>
      <c r="AI280" s="233"/>
      <c r="AJ280" s="507"/>
      <c r="AM280" s="233"/>
      <c r="AO280" s="507"/>
      <c r="AQ280" s="507"/>
      <c r="AR280" s="507"/>
      <c r="AT280" s="507"/>
      <c r="AU280" s="507"/>
      <c r="AV280" s="233"/>
    </row>
    <row r="281" spans="1:51" s="2" customFormat="1">
      <c r="A281" s="559"/>
      <c r="B281" s="562"/>
      <c r="C281" s="498"/>
      <c r="D281" s="498"/>
      <c r="E281" s="498"/>
      <c r="F281" s="498"/>
      <c r="G281" s="498"/>
      <c r="H281" s="498"/>
      <c r="I281" s="498"/>
      <c r="J281" s="498"/>
      <c r="K281" s="498"/>
      <c r="L281" s="498"/>
      <c r="M281" s="498"/>
      <c r="N281" s="498"/>
      <c r="O281" s="498"/>
      <c r="P281" s="498"/>
      <c r="Q281" s="498"/>
      <c r="R281" s="498"/>
      <c r="S281" s="498"/>
      <c r="T281" s="498"/>
      <c r="U281" s="498"/>
      <c r="V281" s="498"/>
      <c r="W281" s="498"/>
      <c r="X281" s="498"/>
      <c r="Y281" s="498"/>
      <c r="Z281" s="498"/>
      <c r="AA281" s="498"/>
      <c r="AB281" s="498"/>
      <c r="AC281" s="498"/>
      <c r="AD281" s="498"/>
      <c r="AF281" s="509"/>
      <c r="AG281" s="523"/>
      <c r="AH281" s="498"/>
      <c r="AI281" s="498"/>
      <c r="AJ281" s="232"/>
      <c r="AM281" s="233"/>
      <c r="AO281" s="498"/>
      <c r="AQ281" s="232"/>
      <c r="AR281" s="498"/>
      <c r="AT281" s="232"/>
      <c r="AU281" s="232"/>
      <c r="AV281" s="233"/>
    </row>
    <row r="282" spans="1:51" s="2" customFormat="1">
      <c r="A282" s="563"/>
      <c r="C282" s="498"/>
      <c r="D282" s="498"/>
      <c r="E282" s="498"/>
      <c r="F282" s="498"/>
      <c r="G282" s="498"/>
      <c r="H282" s="498"/>
      <c r="I282" s="498"/>
      <c r="J282" s="498"/>
      <c r="K282" s="498"/>
      <c r="L282" s="498"/>
      <c r="M282" s="498"/>
      <c r="N282" s="498"/>
      <c r="O282" s="498"/>
      <c r="P282" s="498"/>
      <c r="Q282" s="498"/>
      <c r="R282" s="498"/>
      <c r="S282" s="498"/>
      <c r="T282" s="498"/>
      <c r="U282" s="498"/>
      <c r="V282" s="498"/>
      <c r="W282" s="498"/>
      <c r="X282" s="498"/>
      <c r="Y282" s="498"/>
      <c r="Z282" s="498"/>
      <c r="AA282" s="498"/>
      <c r="AB282" s="498"/>
      <c r="AC282" s="498"/>
      <c r="AD282" s="498"/>
      <c r="AF282" s="509"/>
      <c r="AG282" s="564"/>
      <c r="AH282" s="498"/>
      <c r="AI282" s="498"/>
      <c r="AJ282" s="232"/>
      <c r="AM282" s="233"/>
      <c r="AO282" s="498"/>
      <c r="AQ282" s="232"/>
      <c r="AR282" s="498"/>
      <c r="AT282" s="232"/>
      <c r="AU282" s="232"/>
      <c r="AV282" s="233"/>
    </row>
    <row r="283" spans="1:51" s="2" customFormat="1">
      <c r="A283" s="563"/>
      <c r="C283" s="498"/>
      <c r="D283" s="498"/>
      <c r="E283" s="498"/>
      <c r="F283" s="498"/>
      <c r="G283" s="498"/>
      <c r="H283" s="498"/>
      <c r="I283" s="498"/>
      <c r="J283" s="498"/>
      <c r="K283" s="498"/>
      <c r="L283" s="498"/>
      <c r="M283" s="498"/>
      <c r="N283" s="498"/>
      <c r="O283" s="498"/>
      <c r="P283" s="498"/>
      <c r="Q283" s="498"/>
      <c r="R283" s="498"/>
      <c r="S283" s="498"/>
      <c r="T283" s="498"/>
      <c r="U283" s="498"/>
      <c r="V283" s="498"/>
      <c r="W283" s="498"/>
      <c r="X283" s="498"/>
      <c r="Y283" s="498"/>
      <c r="Z283" s="498"/>
      <c r="AA283" s="498"/>
      <c r="AB283" s="498"/>
      <c r="AC283" s="498"/>
      <c r="AD283" s="498"/>
      <c r="AE283" s="507"/>
      <c r="AF283" s="507"/>
      <c r="AG283" s="564"/>
      <c r="AH283" s="498"/>
      <c r="AI283" s="498"/>
      <c r="AJ283" s="507"/>
      <c r="AM283" s="233"/>
      <c r="AO283" s="507"/>
      <c r="AQ283" s="507"/>
      <c r="AR283" s="507"/>
      <c r="AT283" s="507"/>
      <c r="AU283" s="507"/>
      <c r="AV283" s="233"/>
    </row>
    <row r="284" spans="1:51" s="2" customFormat="1">
      <c r="A284" s="563"/>
      <c r="C284" s="498"/>
      <c r="D284" s="498"/>
      <c r="E284" s="498"/>
      <c r="F284" s="498"/>
      <c r="G284" s="498"/>
      <c r="H284" s="498"/>
      <c r="I284" s="498"/>
      <c r="J284" s="498"/>
      <c r="K284" s="498"/>
      <c r="L284" s="498"/>
      <c r="M284" s="498"/>
      <c r="N284" s="498"/>
      <c r="O284" s="498"/>
      <c r="P284" s="498"/>
      <c r="Q284" s="498"/>
      <c r="R284" s="498"/>
      <c r="S284" s="498"/>
      <c r="T284" s="498"/>
      <c r="U284" s="498"/>
      <c r="V284" s="498"/>
      <c r="W284" s="498"/>
      <c r="X284" s="498"/>
      <c r="Y284" s="498"/>
      <c r="Z284" s="498"/>
      <c r="AA284" s="498"/>
      <c r="AB284" s="498"/>
      <c r="AC284" s="498"/>
      <c r="AD284" s="498"/>
      <c r="AE284" s="507"/>
      <c r="AF284" s="509"/>
      <c r="AG284" s="564"/>
      <c r="AH284" s="498"/>
      <c r="AI284" s="498"/>
      <c r="AJ284" s="232"/>
      <c r="AM284" s="233"/>
      <c r="AO284" s="498"/>
      <c r="AQ284" s="232"/>
      <c r="AR284" s="498"/>
      <c r="AT284" s="232"/>
      <c r="AU284" s="232"/>
      <c r="AV284" s="233"/>
    </row>
    <row r="285" spans="1:51" s="2" customFormat="1">
      <c r="A285" s="563"/>
      <c r="B285" s="558"/>
      <c r="C285" s="498"/>
      <c r="D285" s="498"/>
      <c r="E285" s="498"/>
      <c r="F285" s="498"/>
      <c r="G285" s="498"/>
      <c r="H285" s="498"/>
      <c r="I285" s="498"/>
      <c r="J285" s="498"/>
      <c r="K285" s="498"/>
      <c r="L285" s="498"/>
      <c r="M285" s="498"/>
      <c r="N285" s="498"/>
      <c r="O285" s="498"/>
      <c r="P285" s="498"/>
      <c r="Q285" s="498"/>
      <c r="R285" s="498"/>
      <c r="S285" s="498"/>
      <c r="T285" s="498"/>
      <c r="U285" s="498"/>
      <c r="V285" s="498"/>
      <c r="W285" s="498"/>
      <c r="X285" s="498"/>
      <c r="Y285" s="498"/>
      <c r="Z285" s="498"/>
      <c r="AA285" s="498"/>
      <c r="AB285" s="498"/>
      <c r="AC285" s="498"/>
      <c r="AD285" s="498"/>
      <c r="AE285" s="507"/>
      <c r="AF285" s="509"/>
      <c r="AG285" s="564"/>
      <c r="AH285" s="498"/>
      <c r="AI285" s="498"/>
      <c r="AJ285" s="232"/>
      <c r="AM285" s="233"/>
      <c r="AO285" s="498"/>
      <c r="AQ285" s="232"/>
      <c r="AR285" s="498"/>
      <c r="AT285" s="232"/>
      <c r="AU285" s="232"/>
      <c r="AV285" s="233"/>
    </row>
    <row r="286" spans="1:51" s="2" customFormat="1">
      <c r="A286" s="565"/>
      <c r="C286" s="498"/>
      <c r="D286" s="498"/>
      <c r="E286" s="498"/>
      <c r="F286" s="498"/>
      <c r="G286" s="498"/>
      <c r="H286" s="498"/>
      <c r="I286" s="498"/>
      <c r="J286" s="498"/>
      <c r="K286" s="498"/>
      <c r="L286" s="498"/>
      <c r="M286" s="498"/>
      <c r="N286" s="498"/>
      <c r="O286" s="498"/>
      <c r="P286" s="498"/>
      <c r="Q286" s="498"/>
      <c r="R286" s="498"/>
      <c r="S286" s="498"/>
      <c r="T286" s="498"/>
      <c r="U286" s="498"/>
      <c r="V286" s="498"/>
      <c r="W286" s="498"/>
      <c r="X286" s="498"/>
      <c r="Y286" s="498"/>
      <c r="Z286" s="498"/>
      <c r="AA286" s="498"/>
      <c r="AB286" s="498"/>
      <c r="AC286" s="498"/>
      <c r="AD286" s="498"/>
      <c r="AF286" s="509"/>
      <c r="AG286" s="564"/>
      <c r="AH286" s="498"/>
      <c r="AI286" s="498"/>
      <c r="AJ286" s="232"/>
      <c r="AM286" s="233"/>
      <c r="AO286" s="498"/>
      <c r="AQ286" s="232"/>
      <c r="AR286" s="498"/>
      <c r="AT286" s="232"/>
      <c r="AU286" s="232"/>
      <c r="AV286" s="233"/>
    </row>
    <row r="287" spans="1:51" s="2" customFormat="1">
      <c r="A287" s="563"/>
      <c r="C287" s="498"/>
      <c r="D287" s="498"/>
      <c r="E287" s="498"/>
      <c r="F287" s="498"/>
      <c r="G287" s="498"/>
      <c r="H287" s="498"/>
      <c r="I287" s="498"/>
      <c r="J287" s="498"/>
      <c r="K287" s="498"/>
      <c r="L287" s="498"/>
      <c r="M287" s="498"/>
      <c r="N287" s="498"/>
      <c r="O287" s="498"/>
      <c r="P287" s="498"/>
      <c r="Q287" s="498"/>
      <c r="R287" s="498"/>
      <c r="S287" s="498"/>
      <c r="T287" s="498"/>
      <c r="U287" s="498"/>
      <c r="V287" s="498"/>
      <c r="W287" s="498"/>
      <c r="X287" s="498"/>
      <c r="Y287" s="498"/>
      <c r="Z287" s="498"/>
      <c r="AA287" s="498"/>
      <c r="AB287" s="498"/>
      <c r="AC287" s="498"/>
      <c r="AD287" s="498"/>
      <c r="AF287" s="509"/>
      <c r="AG287" s="564"/>
      <c r="AH287" s="498"/>
      <c r="AI287" s="498"/>
      <c r="AJ287" s="232"/>
      <c r="AM287" s="233"/>
      <c r="AO287" s="498"/>
      <c r="AQ287" s="232"/>
      <c r="AR287" s="498"/>
      <c r="AT287" s="232"/>
      <c r="AU287" s="232"/>
      <c r="AV287" s="233"/>
    </row>
    <row r="288" spans="1:51" s="2" customFormat="1">
      <c r="A288" s="563"/>
      <c r="C288" s="498"/>
      <c r="D288" s="498"/>
      <c r="E288" s="498"/>
      <c r="F288" s="498"/>
      <c r="G288" s="498"/>
      <c r="H288" s="498"/>
      <c r="I288" s="498"/>
      <c r="J288" s="498"/>
      <c r="K288" s="498"/>
      <c r="L288" s="498"/>
      <c r="M288" s="498"/>
      <c r="N288" s="498"/>
      <c r="O288" s="498"/>
      <c r="P288" s="498"/>
      <c r="Q288" s="498"/>
      <c r="R288" s="498"/>
      <c r="S288" s="498"/>
      <c r="T288" s="498"/>
      <c r="U288" s="498"/>
      <c r="V288" s="498"/>
      <c r="W288" s="498"/>
      <c r="X288" s="498"/>
      <c r="Y288" s="498"/>
      <c r="Z288" s="498"/>
      <c r="AA288" s="498"/>
      <c r="AB288" s="498"/>
      <c r="AC288" s="498"/>
      <c r="AD288" s="498"/>
      <c r="AF288" s="509"/>
      <c r="AG288" s="564"/>
      <c r="AH288" s="498"/>
      <c r="AI288" s="498"/>
      <c r="AJ288" s="232"/>
      <c r="AM288" s="233"/>
      <c r="AO288" s="498"/>
      <c r="AQ288" s="232"/>
      <c r="AR288" s="498"/>
      <c r="AT288" s="232"/>
      <c r="AU288" s="232"/>
      <c r="AV288" s="233"/>
    </row>
    <row r="289" spans="1:48" s="2" customFormat="1">
      <c r="A289" s="563"/>
      <c r="C289" s="498"/>
      <c r="D289" s="498"/>
      <c r="E289" s="498"/>
      <c r="F289" s="498"/>
      <c r="G289" s="498"/>
      <c r="H289" s="498"/>
      <c r="I289" s="498"/>
      <c r="J289" s="498"/>
      <c r="K289" s="498"/>
      <c r="L289" s="498"/>
      <c r="M289" s="498"/>
      <c r="N289" s="498"/>
      <c r="O289" s="498"/>
      <c r="P289" s="498"/>
      <c r="Q289" s="498"/>
      <c r="R289" s="498"/>
      <c r="S289" s="498"/>
      <c r="T289" s="498"/>
      <c r="U289" s="498"/>
      <c r="V289" s="498"/>
      <c r="W289" s="498"/>
      <c r="X289" s="498"/>
      <c r="Y289" s="498"/>
      <c r="Z289" s="498"/>
      <c r="AA289" s="498"/>
      <c r="AB289" s="498"/>
      <c r="AC289" s="498"/>
      <c r="AD289" s="498"/>
      <c r="AE289" s="507"/>
      <c r="AF289" s="509"/>
      <c r="AG289" s="566"/>
      <c r="AH289" s="498"/>
      <c r="AI289" s="498"/>
      <c r="AJ289" s="232"/>
      <c r="AM289" s="233"/>
      <c r="AO289" s="498"/>
      <c r="AQ289" s="232"/>
      <c r="AR289" s="498"/>
      <c r="AT289" s="232"/>
      <c r="AU289" s="232"/>
      <c r="AV289" s="233"/>
    </row>
    <row r="290" spans="1:48" s="2" customFormat="1" ht="17.25" customHeight="1">
      <c r="A290" s="559"/>
      <c r="B290" s="562"/>
      <c r="C290" s="498"/>
      <c r="D290" s="498"/>
      <c r="E290" s="498"/>
      <c r="F290" s="498"/>
      <c r="G290" s="498"/>
      <c r="H290" s="498"/>
      <c r="I290" s="498"/>
      <c r="J290" s="498"/>
      <c r="K290" s="498"/>
      <c r="L290" s="498"/>
      <c r="M290" s="498"/>
      <c r="N290" s="498"/>
      <c r="O290" s="498"/>
      <c r="P290" s="498"/>
      <c r="Q290" s="498"/>
      <c r="R290" s="498"/>
      <c r="S290" s="498"/>
      <c r="T290" s="498"/>
      <c r="U290" s="498"/>
      <c r="V290" s="498"/>
      <c r="W290" s="498"/>
      <c r="X290" s="498"/>
      <c r="Y290" s="498"/>
      <c r="Z290" s="498"/>
      <c r="AA290" s="498"/>
      <c r="AB290" s="498"/>
      <c r="AC290" s="498"/>
      <c r="AD290" s="144"/>
      <c r="AF290" s="144"/>
      <c r="AH290" s="530"/>
      <c r="AI290" s="530"/>
      <c r="AM290" s="233"/>
      <c r="AO290" s="144"/>
      <c r="AR290" s="144"/>
      <c r="AV290" s="233"/>
    </row>
    <row r="291" spans="1:48" s="2" customFormat="1">
      <c r="A291" s="559"/>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F291" s="523"/>
      <c r="AG291" s="566"/>
      <c r="AH291" s="498"/>
      <c r="AI291" s="498"/>
      <c r="AJ291" s="232"/>
      <c r="AM291" s="233"/>
      <c r="AO291" s="232"/>
      <c r="AQ291" s="232"/>
      <c r="AR291" s="232"/>
      <c r="AT291" s="232"/>
      <c r="AU291" s="232"/>
      <c r="AV291" s="233"/>
    </row>
    <row r="292" spans="1:48" s="2" customFormat="1">
      <c r="A292" s="563"/>
      <c r="C292" s="498"/>
      <c r="D292" s="498"/>
      <c r="E292" s="498"/>
      <c r="F292" s="498"/>
      <c r="G292" s="498"/>
      <c r="H292" s="498"/>
      <c r="I292" s="498"/>
      <c r="J292" s="498"/>
      <c r="K292" s="498"/>
      <c r="L292" s="498"/>
      <c r="M292" s="498"/>
      <c r="N292" s="498"/>
      <c r="O292" s="498"/>
      <c r="P292" s="498"/>
      <c r="Q292" s="498"/>
      <c r="R292" s="498"/>
      <c r="S292" s="498"/>
      <c r="T292" s="498"/>
      <c r="U292" s="498"/>
      <c r="V292" s="498"/>
      <c r="W292" s="498"/>
      <c r="X292" s="498"/>
      <c r="Y292" s="498"/>
      <c r="Z292" s="498"/>
      <c r="AA292" s="498"/>
      <c r="AB292" s="498"/>
      <c r="AC292" s="498"/>
      <c r="AD292" s="498"/>
      <c r="AF292" s="507"/>
      <c r="AG292" s="566"/>
      <c r="AH292" s="498"/>
      <c r="AI292" s="498"/>
      <c r="AJ292" s="232"/>
      <c r="AM292" s="233"/>
      <c r="AO292" s="232"/>
      <c r="AQ292" s="232"/>
      <c r="AR292" s="232"/>
      <c r="AT292" s="232"/>
      <c r="AU292" s="232"/>
      <c r="AV292" s="233"/>
    </row>
    <row r="293" spans="1:48" s="2" customFormat="1">
      <c r="A293" s="563"/>
      <c r="C293" s="498"/>
      <c r="D293" s="498"/>
      <c r="E293" s="498"/>
      <c r="F293" s="498"/>
      <c r="G293" s="498"/>
      <c r="H293" s="498"/>
      <c r="I293" s="498"/>
      <c r="J293" s="498"/>
      <c r="K293" s="498"/>
      <c r="L293" s="498"/>
      <c r="M293" s="498"/>
      <c r="N293" s="498"/>
      <c r="O293" s="498"/>
      <c r="P293" s="498"/>
      <c r="Q293" s="498"/>
      <c r="R293" s="498"/>
      <c r="S293" s="498"/>
      <c r="T293" s="498"/>
      <c r="U293" s="498"/>
      <c r="V293" s="498"/>
      <c r="W293" s="498"/>
      <c r="X293" s="498"/>
      <c r="Y293" s="498"/>
      <c r="Z293" s="498"/>
      <c r="AA293" s="498"/>
      <c r="AB293" s="498"/>
      <c r="AC293" s="498"/>
      <c r="AD293" s="498"/>
      <c r="AF293" s="507"/>
      <c r="AG293" s="566"/>
      <c r="AH293" s="498"/>
      <c r="AI293" s="498"/>
      <c r="AJ293" s="232"/>
      <c r="AM293" s="233"/>
      <c r="AQ293" s="232"/>
      <c r="AT293" s="232"/>
      <c r="AU293" s="232"/>
      <c r="AV293" s="233"/>
    </row>
    <row r="294" spans="1:48" s="2" customFormat="1">
      <c r="A294" s="563"/>
      <c r="C294" s="498"/>
      <c r="D294" s="498"/>
      <c r="E294" s="498"/>
      <c r="F294" s="498"/>
      <c r="G294" s="498"/>
      <c r="H294" s="498"/>
      <c r="I294" s="498"/>
      <c r="J294" s="498"/>
      <c r="K294" s="498"/>
      <c r="L294" s="498"/>
      <c r="M294" s="498"/>
      <c r="N294" s="498"/>
      <c r="O294" s="498"/>
      <c r="P294" s="498"/>
      <c r="Q294" s="498"/>
      <c r="R294" s="498"/>
      <c r="S294" s="498"/>
      <c r="T294" s="498"/>
      <c r="U294" s="498"/>
      <c r="V294" s="498"/>
      <c r="W294" s="498"/>
      <c r="X294" s="498"/>
      <c r="Y294" s="498"/>
      <c r="Z294" s="498"/>
      <c r="AA294" s="498"/>
      <c r="AB294" s="498"/>
      <c r="AC294" s="498"/>
      <c r="AD294" s="498"/>
      <c r="AF294" s="507"/>
      <c r="AG294" s="566"/>
      <c r="AH294" s="498"/>
      <c r="AI294" s="498"/>
      <c r="AJ294" s="232"/>
      <c r="AM294" s="233"/>
      <c r="AQ294" s="232"/>
      <c r="AT294" s="232"/>
      <c r="AU294" s="232"/>
      <c r="AV294" s="233"/>
    </row>
    <row r="295" spans="1:48" s="2" customFormat="1">
      <c r="A295" s="563"/>
      <c r="B295" s="558"/>
      <c r="C295" s="498"/>
      <c r="D295" s="498"/>
      <c r="E295" s="498"/>
      <c r="F295" s="498"/>
      <c r="G295" s="498"/>
      <c r="H295" s="498"/>
      <c r="I295" s="498"/>
      <c r="J295" s="498"/>
      <c r="K295" s="498"/>
      <c r="L295" s="498"/>
      <c r="M295" s="498"/>
      <c r="N295" s="498"/>
      <c r="O295" s="498"/>
      <c r="P295" s="498"/>
      <c r="Q295" s="498"/>
      <c r="R295" s="498"/>
      <c r="S295" s="498"/>
      <c r="T295" s="498"/>
      <c r="U295" s="498"/>
      <c r="V295" s="498"/>
      <c r="W295" s="498"/>
      <c r="X295" s="498"/>
      <c r="Y295" s="498"/>
      <c r="Z295" s="498"/>
      <c r="AA295" s="498"/>
      <c r="AB295" s="498"/>
      <c r="AC295" s="498"/>
      <c r="AD295" s="498"/>
      <c r="AF295" s="507"/>
      <c r="AG295" s="566"/>
      <c r="AH295" s="498"/>
      <c r="AI295" s="498"/>
      <c r="AJ295" s="232"/>
      <c r="AM295" s="233"/>
      <c r="AQ295" s="232"/>
      <c r="AT295" s="232"/>
      <c r="AU295" s="232"/>
      <c r="AV295" s="233"/>
    </row>
    <row r="296" spans="1:48" s="2" customFormat="1">
      <c r="A296" s="565"/>
      <c r="B296" s="558"/>
      <c r="C296" s="498"/>
      <c r="D296" s="498"/>
      <c r="E296" s="498"/>
      <c r="F296" s="498"/>
      <c r="G296" s="498"/>
      <c r="H296" s="498"/>
      <c r="I296" s="498"/>
      <c r="J296" s="498"/>
      <c r="K296" s="498"/>
      <c r="L296" s="498"/>
      <c r="M296" s="498"/>
      <c r="N296" s="498"/>
      <c r="O296" s="498"/>
      <c r="P296" s="498"/>
      <c r="Q296" s="498"/>
      <c r="R296" s="498"/>
      <c r="S296" s="498"/>
      <c r="T296" s="498"/>
      <c r="U296" s="498"/>
      <c r="V296" s="498"/>
      <c r="W296" s="498"/>
      <c r="X296" s="498"/>
      <c r="Y296" s="498"/>
      <c r="Z296" s="498"/>
      <c r="AA296" s="498"/>
      <c r="AB296" s="498"/>
      <c r="AC296" s="498"/>
      <c r="AD296" s="498"/>
      <c r="AF296" s="507"/>
      <c r="AG296" s="566"/>
      <c r="AH296" s="498"/>
      <c r="AI296" s="498"/>
      <c r="AJ296" s="232"/>
      <c r="AM296" s="233"/>
      <c r="AQ296" s="232"/>
      <c r="AT296" s="232"/>
      <c r="AU296" s="232"/>
      <c r="AV296" s="233"/>
    </row>
    <row r="297" spans="1:48" s="2" customFormat="1">
      <c r="A297" s="563"/>
      <c r="B297" s="558"/>
      <c r="C297" s="498"/>
      <c r="D297" s="498"/>
      <c r="E297" s="498"/>
      <c r="F297" s="498"/>
      <c r="G297" s="498"/>
      <c r="H297" s="498"/>
      <c r="I297" s="498"/>
      <c r="J297" s="498"/>
      <c r="K297" s="498"/>
      <c r="L297" s="498"/>
      <c r="M297" s="498"/>
      <c r="N297" s="498"/>
      <c r="O297" s="498"/>
      <c r="P297" s="498"/>
      <c r="Q297" s="498"/>
      <c r="R297" s="498"/>
      <c r="S297" s="498"/>
      <c r="T297" s="498"/>
      <c r="U297" s="498"/>
      <c r="V297" s="498"/>
      <c r="W297" s="498"/>
      <c r="X297" s="498"/>
      <c r="Y297" s="498"/>
      <c r="Z297" s="498"/>
      <c r="AA297" s="498"/>
      <c r="AB297" s="498"/>
      <c r="AC297" s="498"/>
      <c r="AD297" s="498"/>
      <c r="AF297" s="507"/>
      <c r="AG297" s="566"/>
      <c r="AH297" s="498"/>
      <c r="AI297" s="498"/>
      <c r="AJ297" s="232"/>
      <c r="AM297" s="233"/>
      <c r="AQ297" s="232"/>
      <c r="AT297" s="232"/>
      <c r="AU297" s="232"/>
      <c r="AV297" s="233"/>
    </row>
    <row r="298" spans="1:48" s="2" customFormat="1">
      <c r="A298" s="563"/>
      <c r="B298" s="558"/>
      <c r="C298" s="498"/>
      <c r="D298" s="498"/>
      <c r="E298" s="498"/>
      <c r="F298" s="498"/>
      <c r="G298" s="498"/>
      <c r="H298" s="498"/>
      <c r="I298" s="498"/>
      <c r="J298" s="498"/>
      <c r="K298" s="498"/>
      <c r="L298" s="498"/>
      <c r="M298" s="498"/>
      <c r="N298" s="498"/>
      <c r="O298" s="498"/>
      <c r="P298" s="498"/>
      <c r="Q298" s="498"/>
      <c r="R298" s="498"/>
      <c r="S298" s="498"/>
      <c r="T298" s="498"/>
      <c r="U298" s="498"/>
      <c r="V298" s="498"/>
      <c r="W298" s="498"/>
      <c r="X298" s="498"/>
      <c r="Y298" s="498"/>
      <c r="Z298" s="498"/>
      <c r="AA298" s="498"/>
      <c r="AB298" s="498"/>
      <c r="AC298" s="498"/>
      <c r="AD298" s="498"/>
      <c r="AF298" s="507"/>
      <c r="AG298" s="566"/>
      <c r="AH298" s="498"/>
      <c r="AI298" s="498"/>
      <c r="AJ298" s="232"/>
      <c r="AQ298" s="232"/>
      <c r="AT298" s="232"/>
      <c r="AU298" s="232"/>
      <c r="AV298" s="233"/>
    </row>
    <row r="299" spans="1:48" s="2" customFormat="1">
      <c r="A299" s="563"/>
      <c r="B299" s="558"/>
      <c r="C299" s="498"/>
      <c r="D299" s="498"/>
      <c r="E299" s="498"/>
      <c r="F299" s="498"/>
      <c r="G299" s="498"/>
      <c r="H299" s="498"/>
      <c r="I299" s="498"/>
      <c r="J299" s="498"/>
      <c r="K299" s="498"/>
      <c r="L299" s="498"/>
      <c r="M299" s="498"/>
      <c r="N299" s="498"/>
      <c r="O299" s="498"/>
      <c r="P299" s="498"/>
      <c r="Q299" s="498"/>
      <c r="R299" s="498"/>
      <c r="S299" s="498"/>
      <c r="T299" s="498"/>
      <c r="U299" s="498"/>
      <c r="V299" s="498"/>
      <c r="W299" s="498"/>
      <c r="X299" s="498"/>
      <c r="Y299" s="498"/>
      <c r="Z299" s="498"/>
      <c r="AA299" s="498"/>
      <c r="AB299" s="498"/>
      <c r="AC299" s="498"/>
      <c r="AD299" s="498"/>
      <c r="AF299" s="507"/>
      <c r="AG299" s="566"/>
      <c r="AH299" s="498"/>
      <c r="AI299" s="498"/>
      <c r="AJ299" s="232"/>
      <c r="AQ299" s="232"/>
      <c r="AT299" s="232"/>
      <c r="AU299" s="232"/>
      <c r="AV299" s="233"/>
    </row>
    <row r="300" spans="1:48" s="2" customFormat="1">
      <c r="A300" s="559"/>
      <c r="B300" s="558"/>
      <c r="C300" s="498"/>
      <c r="D300" s="498"/>
      <c r="E300" s="498"/>
      <c r="F300" s="498"/>
      <c r="G300" s="498"/>
      <c r="H300" s="498"/>
      <c r="I300" s="498"/>
      <c r="J300" s="498"/>
      <c r="K300" s="498"/>
      <c r="L300" s="498"/>
      <c r="M300" s="498"/>
      <c r="N300" s="498"/>
      <c r="O300" s="498"/>
      <c r="P300" s="498"/>
      <c r="Q300" s="498"/>
      <c r="R300" s="498"/>
      <c r="S300" s="498"/>
      <c r="T300" s="498"/>
      <c r="U300" s="498"/>
      <c r="V300" s="498"/>
      <c r="W300" s="498"/>
      <c r="X300" s="498"/>
      <c r="Y300" s="498"/>
      <c r="Z300" s="498"/>
      <c r="AA300" s="498"/>
      <c r="AB300" s="498"/>
      <c r="AC300" s="498"/>
      <c r="AD300" s="498"/>
      <c r="AF300" s="509"/>
      <c r="AG300" s="232"/>
      <c r="AH300" s="498"/>
      <c r="AI300" s="498"/>
      <c r="AJ300" s="232"/>
      <c r="AQ300" s="232"/>
      <c r="AT300" s="232"/>
      <c r="AU300" s="232"/>
      <c r="AV300" s="233"/>
    </row>
    <row r="301" spans="1:48" s="144" customFormat="1" ht="48.75" customHeight="1">
      <c r="A301" s="567"/>
      <c r="B301" s="567"/>
      <c r="C301" s="567"/>
      <c r="D301" s="567"/>
      <c r="E301" s="567"/>
      <c r="F301" s="567"/>
      <c r="G301" s="567"/>
      <c r="H301" s="567"/>
      <c r="I301" s="567"/>
      <c r="J301" s="567"/>
      <c r="K301" s="567"/>
      <c r="L301" s="567"/>
      <c r="M301" s="567"/>
      <c r="N301" s="567"/>
      <c r="O301" s="567"/>
      <c r="P301" s="567"/>
      <c r="Q301" s="567"/>
      <c r="R301" s="567"/>
      <c r="S301" s="567"/>
      <c r="T301" s="567"/>
      <c r="U301" s="567"/>
      <c r="V301" s="567"/>
      <c r="W301" s="567"/>
      <c r="X301" s="567"/>
      <c r="Y301" s="567"/>
      <c r="Z301" s="567"/>
      <c r="AA301" s="567"/>
      <c r="AB301" s="567"/>
      <c r="AC301" s="567"/>
      <c r="AD301" s="567"/>
      <c r="AE301" s="567"/>
      <c r="AF301" s="567"/>
      <c r="AG301" s="567"/>
      <c r="AH301" s="567"/>
      <c r="AM301" s="2"/>
      <c r="AO301" s="2"/>
      <c r="AP301" s="2"/>
      <c r="AQ301" s="2"/>
      <c r="AR301" s="2"/>
      <c r="AS301" s="2"/>
      <c r="AT301" s="2"/>
    </row>
    <row r="302" spans="1:48" s="144" customFormat="1" ht="13.5" hidden="1" customHeight="1">
      <c r="A302" s="567"/>
      <c r="B302" s="567"/>
      <c r="C302" s="567"/>
      <c r="D302" s="567"/>
      <c r="E302" s="567"/>
      <c r="F302" s="567"/>
      <c r="G302" s="567"/>
      <c r="H302" s="567"/>
      <c r="I302" s="567"/>
      <c r="J302" s="567"/>
      <c r="K302" s="567"/>
      <c r="L302" s="567"/>
      <c r="M302" s="567"/>
      <c r="N302" s="567"/>
      <c r="O302" s="567"/>
      <c r="P302" s="567"/>
      <c r="Q302" s="567"/>
      <c r="R302" s="567"/>
      <c r="S302" s="567"/>
      <c r="T302" s="567"/>
      <c r="U302" s="567"/>
      <c r="V302" s="567"/>
      <c r="W302" s="567"/>
      <c r="X302" s="567"/>
      <c r="Y302" s="567"/>
      <c r="Z302" s="567"/>
      <c r="AA302" s="567"/>
      <c r="AB302" s="567"/>
      <c r="AC302" s="567"/>
      <c r="AD302" s="567"/>
      <c r="AE302" s="567"/>
      <c r="AF302" s="567"/>
      <c r="AG302" s="567"/>
      <c r="AH302" s="567"/>
      <c r="AM302" s="2"/>
      <c r="AO302" s="2"/>
      <c r="AP302" s="2"/>
      <c r="AQ302" s="2"/>
      <c r="AR302" s="2"/>
      <c r="AS302" s="2"/>
      <c r="AT302" s="2"/>
    </row>
    <row r="303" spans="1:48" s="144" customFormat="1" ht="15" hidden="1" customHeight="1">
      <c r="A303" s="567"/>
      <c r="B303" s="567"/>
      <c r="C303" s="567"/>
      <c r="D303" s="567"/>
      <c r="E303" s="567"/>
      <c r="F303" s="567"/>
      <c r="G303" s="567"/>
      <c r="H303" s="567"/>
      <c r="I303" s="567"/>
      <c r="J303" s="567"/>
      <c r="K303" s="567"/>
      <c r="L303" s="567"/>
      <c r="M303" s="567"/>
      <c r="N303" s="567"/>
      <c r="O303" s="567"/>
      <c r="P303" s="567"/>
      <c r="Q303" s="567"/>
      <c r="R303" s="567"/>
      <c r="S303" s="567"/>
      <c r="T303" s="567"/>
      <c r="U303" s="567"/>
      <c r="V303" s="567"/>
      <c r="W303" s="567"/>
      <c r="X303" s="567"/>
      <c r="Y303" s="567"/>
      <c r="Z303" s="567"/>
      <c r="AA303" s="567"/>
      <c r="AB303" s="567"/>
      <c r="AC303" s="567"/>
      <c r="AD303" s="567"/>
      <c r="AE303" s="567"/>
      <c r="AF303" s="567"/>
      <c r="AG303" s="567"/>
      <c r="AH303" s="567"/>
      <c r="AM303" s="2"/>
      <c r="AO303" s="2"/>
      <c r="AP303" s="2"/>
      <c r="AQ303" s="2"/>
      <c r="AR303" s="2"/>
      <c r="AS303" s="2"/>
      <c r="AT303" s="2"/>
    </row>
    <row r="304" spans="1:48" s="144" customFormat="1" ht="14.25" customHeight="1">
      <c r="A304" s="1109"/>
      <c r="B304" s="1109"/>
      <c r="C304" s="1109"/>
      <c r="D304" s="1109"/>
      <c r="E304" s="568"/>
      <c r="F304" s="568"/>
      <c r="G304" s="568"/>
      <c r="H304" s="568"/>
      <c r="I304" s="568"/>
      <c r="J304" s="568"/>
      <c r="K304" s="568"/>
      <c r="L304" s="568"/>
      <c r="M304" s="568"/>
      <c r="N304" s="568"/>
      <c r="O304" s="568"/>
      <c r="P304" s="568"/>
      <c r="Q304" s="568"/>
      <c r="R304" s="568"/>
      <c r="S304" s="568"/>
      <c r="T304" s="568"/>
      <c r="U304" s="568"/>
      <c r="V304" s="568"/>
      <c r="W304" s="568"/>
      <c r="X304" s="568"/>
      <c r="Y304" s="568"/>
      <c r="Z304" s="568"/>
      <c r="AA304" s="568"/>
      <c r="AB304" s="568"/>
      <c r="AC304" s="568"/>
      <c r="AD304" s="568"/>
      <c r="AE304" s="568"/>
      <c r="AF304" s="568"/>
      <c r="AG304" s="568"/>
      <c r="AH304" s="568"/>
      <c r="AM304" s="2"/>
      <c r="AO304" s="2"/>
      <c r="AP304" s="2"/>
      <c r="AQ304" s="2"/>
      <c r="AR304" s="2"/>
      <c r="AS304" s="2"/>
      <c r="AT304" s="2"/>
    </row>
    <row r="305" spans="1:46" s="144" customFormat="1" ht="18" customHeight="1">
      <c r="A305" s="1112"/>
      <c r="B305" s="1112"/>
      <c r="C305" s="1112"/>
      <c r="D305" s="1112"/>
      <c r="E305" s="1112"/>
      <c r="F305" s="1112"/>
      <c r="G305" s="1112"/>
      <c r="H305" s="1112"/>
      <c r="I305" s="1112"/>
      <c r="J305" s="568"/>
      <c r="K305" s="568"/>
      <c r="L305" s="568"/>
      <c r="M305" s="568"/>
      <c r="N305" s="568"/>
      <c r="O305" s="568"/>
      <c r="P305" s="568"/>
      <c r="Q305" s="568"/>
      <c r="R305" s="568"/>
      <c r="S305" s="568"/>
      <c r="T305" s="568"/>
      <c r="U305" s="568"/>
      <c r="V305" s="568"/>
      <c r="W305" s="568"/>
      <c r="X305" s="568"/>
      <c r="Y305" s="568"/>
      <c r="Z305" s="568"/>
      <c r="AA305" s="568"/>
      <c r="AB305" s="568"/>
      <c r="AC305" s="568"/>
      <c r="AD305" s="568"/>
      <c r="AE305" s="568"/>
      <c r="AF305" s="568"/>
      <c r="AG305" s="568"/>
      <c r="AH305" s="568"/>
      <c r="AM305" s="2"/>
      <c r="AO305" s="2"/>
      <c r="AP305" s="2"/>
      <c r="AQ305" s="2"/>
      <c r="AR305" s="2"/>
      <c r="AS305" s="2"/>
      <c r="AT305" s="2"/>
    </row>
    <row r="306" spans="1:46" s="144" customFormat="1" ht="22.5" customHeight="1">
      <c r="A306" s="1112"/>
      <c r="B306" s="1112"/>
      <c r="C306" s="1112"/>
      <c r="D306" s="1112"/>
      <c r="E306" s="1112"/>
      <c r="F306" s="1112"/>
      <c r="G306" s="1112"/>
      <c r="H306" s="1112"/>
      <c r="I306" s="1112"/>
      <c r="J306" s="568"/>
      <c r="K306" s="568"/>
      <c r="L306" s="568"/>
      <c r="M306" s="568"/>
      <c r="N306" s="568"/>
      <c r="O306" s="568"/>
      <c r="P306" s="568"/>
      <c r="Q306" s="568"/>
      <c r="R306" s="568"/>
      <c r="S306" s="568"/>
      <c r="T306" s="568"/>
      <c r="U306" s="568"/>
      <c r="V306" s="568"/>
      <c r="W306" s="568"/>
      <c r="X306" s="568"/>
      <c r="Y306" s="568"/>
      <c r="Z306" s="568"/>
      <c r="AA306" s="568"/>
      <c r="AB306" s="568"/>
      <c r="AC306" s="568"/>
      <c r="AD306" s="568"/>
      <c r="AE306" s="568"/>
      <c r="AF306" s="568"/>
      <c r="AG306" s="568"/>
      <c r="AH306" s="568"/>
      <c r="AM306" s="2"/>
      <c r="AN306" s="2"/>
      <c r="AO306" s="2"/>
      <c r="AP306" s="2"/>
      <c r="AQ306" s="2"/>
      <c r="AR306" s="2"/>
      <c r="AS306" s="2"/>
      <c r="AT306" s="2"/>
    </row>
    <row r="307" spans="1:46" s="2" customFormat="1">
      <c r="A307" s="569"/>
      <c r="B307" s="570"/>
      <c r="C307" s="490"/>
      <c r="D307" s="490"/>
      <c r="E307" s="490"/>
      <c r="F307" s="490"/>
      <c r="G307" s="490"/>
      <c r="H307" s="490"/>
      <c r="I307" s="490"/>
      <c r="J307" s="490"/>
      <c r="K307" s="490"/>
      <c r="L307" s="490"/>
      <c r="M307" s="490"/>
      <c r="N307" s="490"/>
      <c r="O307" s="490"/>
      <c r="P307" s="490"/>
      <c r="Q307" s="490"/>
      <c r="R307" s="490"/>
      <c r="S307" s="490"/>
      <c r="T307" s="490"/>
      <c r="U307" s="490"/>
      <c r="V307" s="490"/>
      <c r="W307" s="490"/>
      <c r="X307" s="490"/>
      <c r="Y307" s="490"/>
      <c r="Z307" s="490"/>
      <c r="AA307" s="490"/>
      <c r="AB307" s="490"/>
      <c r="AC307" s="490"/>
      <c r="AD307" s="490"/>
      <c r="AE307" s="490"/>
      <c r="AF307" s="490"/>
      <c r="AG307" s="490"/>
      <c r="AH307" s="490"/>
      <c r="AI307" s="490"/>
      <c r="AJ307" s="490"/>
      <c r="AK307" s="490"/>
      <c r="AL307" s="490"/>
      <c r="AM307" s="490"/>
      <c r="AN307" s="490"/>
    </row>
    <row r="308" spans="1:46" s="2" customFormat="1">
      <c r="A308" s="571"/>
      <c r="B308" s="558"/>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row>
    <row r="309" spans="1:46" s="2" customFormat="1">
      <c r="A309" s="559"/>
      <c r="C309" s="528"/>
      <c r="D309" s="528"/>
      <c r="E309" s="528"/>
      <c r="F309" s="528"/>
      <c r="G309" s="528"/>
      <c r="H309" s="528"/>
      <c r="I309" s="528"/>
      <c r="J309" s="528"/>
      <c r="K309" s="528"/>
      <c r="L309" s="528"/>
      <c r="M309" s="528"/>
      <c r="N309" s="528"/>
      <c r="O309" s="528"/>
      <c r="P309" s="528"/>
      <c r="Q309" s="528"/>
      <c r="R309" s="528"/>
      <c r="S309" s="528"/>
      <c r="T309" s="528"/>
      <c r="U309" s="528"/>
      <c r="V309" s="528"/>
      <c r="W309" s="528"/>
      <c r="X309" s="528"/>
      <c r="Y309" s="528"/>
      <c r="Z309" s="528"/>
      <c r="AA309" s="528"/>
      <c r="AB309" s="528"/>
      <c r="AC309" s="528"/>
      <c r="AD309" s="525"/>
      <c r="AE309" s="525"/>
      <c r="AF309" s="525"/>
      <c r="AG309" s="525"/>
      <c r="AH309" s="525"/>
      <c r="AI309" s="525"/>
      <c r="AJ309" s="526"/>
      <c r="AK309" s="572"/>
      <c r="AL309" s="572"/>
      <c r="AM309" s="572"/>
      <c r="AN309" s="572"/>
    </row>
    <row r="310" spans="1:46" s="2" customFormat="1">
      <c r="A310" s="563"/>
      <c r="C310" s="528"/>
      <c r="D310" s="528"/>
      <c r="E310" s="528"/>
      <c r="F310" s="528"/>
      <c r="G310" s="528"/>
      <c r="H310" s="528"/>
      <c r="I310" s="528"/>
      <c r="J310" s="528"/>
      <c r="K310" s="528"/>
      <c r="L310" s="528"/>
      <c r="M310" s="528"/>
      <c r="N310" s="528"/>
      <c r="O310" s="528"/>
      <c r="P310" s="528"/>
      <c r="Q310" s="528"/>
      <c r="R310" s="528"/>
      <c r="S310" s="528"/>
      <c r="T310" s="528"/>
      <c r="U310" s="528"/>
      <c r="V310" s="528"/>
      <c r="W310" s="528"/>
      <c r="X310" s="528"/>
      <c r="Y310" s="528"/>
      <c r="Z310" s="528"/>
      <c r="AA310" s="528"/>
      <c r="AB310" s="528"/>
      <c r="AC310" s="528"/>
      <c r="AD310" s="525"/>
      <c r="AE310" s="525"/>
      <c r="AF310" s="525"/>
      <c r="AG310" s="525"/>
      <c r="AH310" s="525"/>
      <c r="AI310" s="525"/>
      <c r="AJ310" s="526"/>
      <c r="AK310" s="572"/>
      <c r="AL310" s="572"/>
      <c r="AM310" s="572"/>
      <c r="AN310" s="572"/>
    </row>
    <row r="311" spans="1:46" s="2" customFormat="1">
      <c r="A311" s="563"/>
      <c r="C311" s="528"/>
      <c r="D311" s="528"/>
      <c r="E311" s="528"/>
      <c r="F311" s="528"/>
      <c r="G311" s="528"/>
      <c r="H311" s="528"/>
      <c r="I311" s="528"/>
      <c r="J311" s="528"/>
      <c r="K311" s="528"/>
      <c r="L311" s="528"/>
      <c r="M311" s="528"/>
      <c r="N311" s="528"/>
      <c r="O311" s="528"/>
      <c r="P311" s="528"/>
      <c r="Q311" s="528"/>
      <c r="R311" s="528"/>
      <c r="S311" s="528"/>
      <c r="T311" s="528"/>
      <c r="U311" s="528"/>
      <c r="V311" s="528"/>
      <c r="W311" s="528"/>
      <c r="X311" s="528"/>
      <c r="Y311" s="528"/>
      <c r="Z311" s="528"/>
      <c r="AA311" s="528"/>
      <c r="AB311" s="528"/>
      <c r="AC311" s="528"/>
      <c r="AD311" s="525"/>
      <c r="AE311" s="525"/>
      <c r="AF311" s="525"/>
      <c r="AG311" s="525"/>
      <c r="AH311" s="525"/>
      <c r="AI311" s="525"/>
      <c r="AJ311" s="526"/>
      <c r="AK311" s="572"/>
      <c r="AL311" s="572"/>
      <c r="AM311" s="572"/>
      <c r="AN311" s="572"/>
    </row>
    <row r="312" spans="1:46" s="2" customFormat="1">
      <c r="A312" s="563"/>
      <c r="C312" s="528"/>
      <c r="D312" s="528"/>
      <c r="E312" s="528"/>
      <c r="F312" s="528"/>
      <c r="G312" s="528"/>
      <c r="H312" s="528"/>
      <c r="I312" s="528"/>
      <c r="J312" s="528"/>
      <c r="K312" s="528"/>
      <c r="L312" s="528"/>
      <c r="M312" s="528"/>
      <c r="N312" s="528"/>
      <c r="O312" s="528"/>
      <c r="P312" s="528"/>
      <c r="Q312" s="528"/>
      <c r="R312" s="528"/>
      <c r="S312" s="528"/>
      <c r="T312" s="528"/>
      <c r="U312" s="528"/>
      <c r="V312" s="528"/>
      <c r="W312" s="528"/>
      <c r="X312" s="528"/>
      <c r="Y312" s="528"/>
      <c r="Z312" s="528"/>
      <c r="AA312" s="528"/>
      <c r="AB312" s="528"/>
      <c r="AC312" s="528"/>
      <c r="AD312" s="525"/>
      <c r="AE312" s="525"/>
      <c r="AF312" s="525"/>
      <c r="AG312" s="525"/>
      <c r="AH312" s="525"/>
      <c r="AI312" s="525"/>
      <c r="AJ312" s="526"/>
      <c r="AK312" s="572"/>
      <c r="AL312" s="572"/>
      <c r="AM312" s="572"/>
      <c r="AN312" s="572"/>
    </row>
    <row r="313" spans="1:46" s="2" customFormat="1">
      <c r="A313" s="563"/>
      <c r="C313" s="528"/>
      <c r="D313" s="528"/>
      <c r="E313" s="528"/>
      <c r="F313" s="528"/>
      <c r="G313" s="528"/>
      <c r="H313" s="528"/>
      <c r="I313" s="528"/>
      <c r="J313" s="528"/>
      <c r="K313" s="528"/>
      <c r="L313" s="528"/>
      <c r="M313" s="528"/>
      <c r="N313" s="528"/>
      <c r="O313" s="528"/>
      <c r="P313" s="528"/>
      <c r="Q313" s="528"/>
      <c r="R313" s="528"/>
      <c r="S313" s="528"/>
      <c r="T313" s="528"/>
      <c r="U313" s="528"/>
      <c r="V313" s="528"/>
      <c r="W313" s="528"/>
      <c r="X313" s="528"/>
      <c r="Y313" s="528"/>
      <c r="Z313" s="528"/>
      <c r="AA313" s="528"/>
      <c r="AB313" s="528"/>
      <c r="AC313" s="528"/>
      <c r="AD313" s="525"/>
      <c r="AE313" s="525"/>
      <c r="AF313" s="525"/>
      <c r="AG313" s="525"/>
      <c r="AH313" s="525"/>
      <c r="AI313" s="525"/>
      <c r="AJ313" s="526"/>
      <c r="AK313" s="572"/>
      <c r="AL313" s="572"/>
      <c r="AM313" s="572"/>
      <c r="AN313" s="572"/>
    </row>
    <row r="314" spans="1:46" s="2" customFormat="1">
      <c r="A314" s="565"/>
      <c r="C314" s="528"/>
      <c r="D314" s="528"/>
      <c r="E314" s="528"/>
      <c r="F314" s="528"/>
      <c r="G314" s="528"/>
      <c r="H314" s="528"/>
      <c r="I314" s="528"/>
      <c r="J314" s="528"/>
      <c r="K314" s="528"/>
      <c r="L314" s="528"/>
      <c r="M314" s="528"/>
      <c r="N314" s="528"/>
      <c r="O314" s="528"/>
      <c r="P314" s="528"/>
      <c r="Q314" s="528"/>
      <c r="R314" s="528"/>
      <c r="S314" s="528"/>
      <c r="T314" s="528"/>
      <c r="U314" s="528"/>
      <c r="V314" s="528"/>
      <c r="W314" s="528"/>
      <c r="X314" s="528"/>
      <c r="Y314" s="528"/>
      <c r="Z314" s="528"/>
      <c r="AA314" s="528"/>
      <c r="AB314" s="528"/>
      <c r="AC314" s="528"/>
      <c r="AD314" s="525"/>
      <c r="AE314" s="525"/>
      <c r="AF314" s="525"/>
      <c r="AG314" s="525"/>
      <c r="AH314" s="525"/>
      <c r="AI314" s="525"/>
      <c r="AJ314" s="526"/>
      <c r="AK314" s="572"/>
      <c r="AL314" s="572"/>
      <c r="AM314" s="572"/>
      <c r="AN314" s="572"/>
    </row>
    <row r="315" spans="1:46" s="2" customFormat="1">
      <c r="A315" s="563"/>
      <c r="C315" s="528"/>
      <c r="D315" s="528"/>
      <c r="E315" s="528"/>
      <c r="F315" s="528"/>
      <c r="G315" s="528"/>
      <c r="H315" s="528"/>
      <c r="I315" s="528"/>
      <c r="J315" s="528"/>
      <c r="K315" s="528"/>
      <c r="L315" s="528"/>
      <c r="M315" s="528"/>
      <c r="N315" s="528"/>
      <c r="O315" s="528"/>
      <c r="P315" s="528"/>
      <c r="Q315" s="528"/>
      <c r="R315" s="528"/>
      <c r="S315" s="528"/>
      <c r="T315" s="528"/>
      <c r="U315" s="528"/>
      <c r="V315" s="528"/>
      <c r="W315" s="528"/>
      <c r="X315" s="528"/>
      <c r="Y315" s="528"/>
      <c r="Z315" s="528"/>
      <c r="AA315" s="528"/>
      <c r="AB315" s="528"/>
      <c r="AC315" s="528"/>
      <c r="AD315" s="525"/>
      <c r="AE315" s="525"/>
      <c r="AF315" s="525"/>
      <c r="AG315" s="525"/>
      <c r="AH315" s="525"/>
      <c r="AI315" s="525"/>
      <c r="AJ315" s="526"/>
      <c r="AK315" s="572"/>
      <c r="AL315" s="572"/>
      <c r="AM315" s="572"/>
      <c r="AN315" s="572"/>
    </row>
    <row r="316" spans="1:46" s="2" customFormat="1">
      <c r="A316" s="563"/>
      <c r="C316" s="528"/>
      <c r="D316" s="528"/>
      <c r="E316" s="528"/>
      <c r="F316" s="528"/>
      <c r="G316" s="528"/>
      <c r="H316" s="528"/>
      <c r="I316" s="528"/>
      <c r="J316" s="528"/>
      <c r="K316" s="528"/>
      <c r="L316" s="528"/>
      <c r="M316" s="528"/>
      <c r="N316" s="528"/>
      <c r="O316" s="528"/>
      <c r="P316" s="528"/>
      <c r="Q316" s="528"/>
      <c r="R316" s="528"/>
      <c r="S316" s="528"/>
      <c r="T316" s="528"/>
      <c r="U316" s="528"/>
      <c r="V316" s="528"/>
      <c r="W316" s="528"/>
      <c r="X316" s="528"/>
      <c r="Y316" s="528"/>
      <c r="Z316" s="528"/>
      <c r="AA316" s="528"/>
      <c r="AB316" s="528"/>
      <c r="AC316" s="528"/>
      <c r="AD316" s="525"/>
      <c r="AE316" s="525"/>
      <c r="AF316" s="525"/>
      <c r="AG316" s="525"/>
      <c r="AH316" s="525"/>
      <c r="AI316" s="525"/>
      <c r="AJ316" s="526"/>
      <c r="AK316" s="572"/>
      <c r="AL316" s="572"/>
      <c r="AM316" s="572"/>
      <c r="AN316" s="572"/>
    </row>
    <row r="317" spans="1:46" s="2" customFormat="1">
      <c r="A317" s="563"/>
      <c r="C317" s="528"/>
      <c r="D317" s="528"/>
      <c r="E317" s="528"/>
      <c r="F317" s="528"/>
      <c r="G317" s="528"/>
      <c r="H317" s="528"/>
      <c r="I317" s="528"/>
      <c r="J317" s="528"/>
      <c r="K317" s="528"/>
      <c r="L317" s="528"/>
      <c r="M317" s="528"/>
      <c r="N317" s="528"/>
      <c r="O317" s="528"/>
      <c r="P317" s="528"/>
      <c r="Q317" s="528"/>
      <c r="R317" s="528"/>
      <c r="S317" s="528"/>
      <c r="T317" s="528"/>
      <c r="U317" s="528"/>
      <c r="V317" s="528"/>
      <c r="W317" s="528"/>
      <c r="X317" s="528"/>
      <c r="Y317" s="528"/>
      <c r="Z317" s="528"/>
      <c r="AA317" s="528"/>
      <c r="AB317" s="528"/>
      <c r="AC317" s="528"/>
      <c r="AD317" s="525"/>
      <c r="AE317" s="525"/>
      <c r="AF317" s="525"/>
      <c r="AG317" s="525"/>
      <c r="AH317" s="525"/>
      <c r="AI317" s="525"/>
      <c r="AJ317" s="526"/>
      <c r="AK317" s="572"/>
      <c r="AL317" s="572"/>
      <c r="AM317" s="572"/>
      <c r="AN317" s="572"/>
    </row>
    <row r="318" spans="1:46" s="2" customFormat="1">
      <c r="A318" s="559"/>
      <c r="B318" s="515"/>
      <c r="C318" s="528"/>
      <c r="D318" s="528"/>
      <c r="E318" s="528"/>
      <c r="F318" s="528"/>
      <c r="G318" s="528"/>
      <c r="H318" s="528"/>
      <c r="I318" s="528"/>
      <c r="J318" s="528"/>
      <c r="K318" s="528"/>
      <c r="L318" s="528"/>
      <c r="M318" s="528"/>
      <c r="N318" s="528"/>
      <c r="O318" s="528"/>
      <c r="P318" s="528"/>
      <c r="Q318" s="528"/>
      <c r="R318" s="528"/>
      <c r="S318" s="528"/>
      <c r="T318" s="528"/>
      <c r="U318" s="528"/>
      <c r="V318" s="528"/>
      <c r="W318" s="528"/>
      <c r="X318" s="528"/>
      <c r="Y318" s="528"/>
      <c r="Z318" s="528"/>
      <c r="AA318" s="528"/>
      <c r="AB318" s="528"/>
      <c r="AC318" s="528"/>
      <c r="AD318" s="498"/>
      <c r="AE318" s="498"/>
      <c r="AF318" s="498"/>
      <c r="AG318" s="498"/>
      <c r="AH318" s="498"/>
      <c r="AI318" s="498"/>
      <c r="AK318" s="509"/>
      <c r="AL318" s="509"/>
      <c r="AM318" s="509"/>
      <c r="AN318" s="509"/>
    </row>
    <row r="319" spans="1:46" s="2" customFormat="1">
      <c r="A319" s="571"/>
      <c r="B319" s="515"/>
      <c r="C319" s="232"/>
      <c r="D319" s="232"/>
      <c r="E319" s="232"/>
      <c r="F319" s="232"/>
      <c r="G319" s="232"/>
      <c r="H319" s="232"/>
      <c r="I319" s="232"/>
      <c r="J319" s="232"/>
      <c r="K319" s="232"/>
      <c r="L319" s="232"/>
      <c r="M319" s="232"/>
      <c r="N319" s="232"/>
      <c r="O319" s="232"/>
      <c r="P319" s="232"/>
      <c r="Q319" s="232"/>
      <c r="R319" s="232"/>
      <c r="S319" s="232"/>
      <c r="T319" s="232"/>
      <c r="U319" s="232"/>
      <c r="V319" s="232"/>
      <c r="W319" s="232"/>
      <c r="X319" s="232"/>
      <c r="Y319" s="232"/>
      <c r="Z319" s="232"/>
      <c r="AA319" s="232"/>
      <c r="AB319" s="232"/>
      <c r="AC319" s="232"/>
    </row>
    <row r="320" spans="1:46" s="2" customFormat="1">
      <c r="A320" s="559"/>
      <c r="C320" s="232"/>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c r="AA320" s="232"/>
      <c r="AB320" s="232"/>
      <c r="AC320" s="232"/>
      <c r="AD320" s="498"/>
      <c r="AE320" s="498"/>
      <c r="AF320" s="498"/>
      <c r="AG320" s="498"/>
      <c r="AH320" s="498"/>
      <c r="AI320" s="498"/>
      <c r="AJ320" s="507"/>
      <c r="AK320" s="509"/>
      <c r="AL320" s="573"/>
      <c r="AM320" s="509"/>
      <c r="AN320" s="509"/>
    </row>
    <row r="321" spans="1:40" s="2" customFormat="1">
      <c r="A321" s="563"/>
      <c r="C321" s="232"/>
      <c r="D321" s="232"/>
      <c r="E321" s="232"/>
      <c r="F321" s="232"/>
      <c r="G321" s="232"/>
      <c r="H321" s="232"/>
      <c r="I321" s="232"/>
      <c r="J321" s="232"/>
      <c r="K321" s="232"/>
      <c r="L321" s="232"/>
      <c r="M321" s="232"/>
      <c r="N321" s="232"/>
      <c r="O321" s="232"/>
      <c r="P321" s="232"/>
      <c r="Q321" s="232"/>
      <c r="R321" s="232"/>
      <c r="S321" s="232"/>
      <c r="T321" s="232"/>
      <c r="U321" s="232"/>
      <c r="V321" s="232"/>
      <c r="W321" s="232"/>
      <c r="X321" s="232"/>
      <c r="Y321" s="232"/>
      <c r="Z321" s="232"/>
      <c r="AA321" s="232"/>
      <c r="AB321" s="232"/>
      <c r="AC321" s="232"/>
      <c r="AD321" s="498"/>
      <c r="AE321" s="498"/>
      <c r="AF321" s="498"/>
      <c r="AG321" s="498"/>
      <c r="AH321" s="498"/>
      <c r="AI321" s="498"/>
      <c r="AJ321" s="507"/>
      <c r="AK321" s="509"/>
      <c r="AL321" s="573"/>
      <c r="AM321" s="509"/>
      <c r="AN321" s="509"/>
    </row>
    <row r="322" spans="1:40" s="2" customFormat="1">
      <c r="A322" s="563"/>
      <c r="C322" s="232"/>
      <c r="D322" s="232"/>
      <c r="E322" s="232"/>
      <c r="F322" s="232"/>
      <c r="G322" s="232"/>
      <c r="H322" s="232"/>
      <c r="I322" s="232"/>
      <c r="J322" s="232"/>
      <c r="K322" s="232"/>
      <c r="L322" s="232"/>
      <c r="M322" s="232"/>
      <c r="N322" s="232"/>
      <c r="O322" s="232"/>
      <c r="P322" s="232"/>
      <c r="Q322" s="232"/>
      <c r="R322" s="232"/>
      <c r="S322" s="232"/>
      <c r="T322" s="232"/>
      <c r="U322" s="232"/>
      <c r="V322" s="232"/>
      <c r="W322" s="232"/>
      <c r="X322" s="232"/>
      <c r="Y322" s="232"/>
      <c r="Z322" s="232"/>
      <c r="AA322" s="232"/>
      <c r="AB322" s="232"/>
      <c r="AC322" s="232"/>
      <c r="AD322" s="498"/>
      <c r="AE322" s="498"/>
      <c r="AF322" s="498"/>
      <c r="AG322" s="498"/>
      <c r="AH322" s="498"/>
      <c r="AI322" s="498"/>
      <c r="AJ322" s="507"/>
      <c r="AK322" s="509"/>
      <c r="AL322" s="573"/>
      <c r="AM322" s="509"/>
      <c r="AN322" s="509"/>
    </row>
    <row r="323" spans="1:40" s="2" customFormat="1">
      <c r="A323" s="563"/>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c r="AA323" s="232"/>
      <c r="AB323" s="232"/>
      <c r="AC323" s="232"/>
      <c r="AD323" s="498"/>
      <c r="AE323" s="498"/>
      <c r="AF323" s="498"/>
      <c r="AG323" s="498"/>
      <c r="AH323" s="498"/>
      <c r="AI323" s="498"/>
      <c r="AJ323" s="507"/>
      <c r="AK323" s="509"/>
      <c r="AL323" s="573"/>
      <c r="AM323" s="509"/>
      <c r="AN323" s="509"/>
    </row>
    <row r="324" spans="1:40" s="2" customFormat="1">
      <c r="A324" s="563"/>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498"/>
      <c r="AE324" s="498"/>
      <c r="AF324" s="498"/>
      <c r="AG324" s="498"/>
      <c r="AH324" s="498"/>
      <c r="AI324" s="498"/>
      <c r="AJ324" s="507"/>
      <c r="AK324" s="509"/>
      <c r="AL324" s="573"/>
      <c r="AM324" s="509"/>
      <c r="AN324" s="509"/>
    </row>
    <row r="325" spans="1:40" s="2" customFormat="1">
      <c r="A325" s="565"/>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498"/>
      <c r="AE325" s="498"/>
      <c r="AF325" s="498"/>
      <c r="AG325" s="498"/>
      <c r="AH325" s="498"/>
      <c r="AI325" s="498"/>
      <c r="AJ325" s="507"/>
      <c r="AK325" s="509"/>
      <c r="AL325" s="573"/>
      <c r="AM325" s="509"/>
      <c r="AN325" s="509"/>
    </row>
    <row r="326" spans="1:40" s="2" customFormat="1">
      <c r="A326" s="563"/>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498"/>
      <c r="AE326" s="498"/>
      <c r="AF326" s="498"/>
      <c r="AG326" s="498"/>
      <c r="AH326" s="498"/>
      <c r="AI326" s="498"/>
      <c r="AJ326" s="507"/>
      <c r="AK326" s="509"/>
      <c r="AL326" s="573"/>
      <c r="AM326" s="509"/>
      <c r="AN326" s="509"/>
    </row>
    <row r="327" spans="1:40" s="2" customFormat="1">
      <c r="A327" s="563"/>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498"/>
      <c r="AE327" s="498"/>
      <c r="AF327" s="498"/>
      <c r="AG327" s="498"/>
      <c r="AH327" s="498"/>
      <c r="AI327" s="498"/>
      <c r="AJ327" s="507"/>
      <c r="AK327" s="509"/>
      <c r="AL327" s="573"/>
      <c r="AM327" s="509"/>
      <c r="AN327" s="509"/>
    </row>
    <row r="328" spans="1:40" s="2" customFormat="1">
      <c r="A328" s="563"/>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498"/>
      <c r="AE328" s="498"/>
      <c r="AF328" s="498"/>
      <c r="AG328" s="498"/>
      <c r="AH328" s="498"/>
      <c r="AI328" s="498"/>
      <c r="AJ328" s="507"/>
      <c r="AK328" s="509"/>
      <c r="AL328" s="573"/>
      <c r="AM328" s="509"/>
      <c r="AN328" s="509"/>
    </row>
    <row r="329" spans="1:40" s="2" customFormat="1">
      <c r="A329" s="571"/>
      <c r="B329" s="515"/>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574"/>
      <c r="AE329" s="498"/>
      <c r="AF329" s="498"/>
      <c r="AG329" s="574"/>
      <c r="AH329" s="498"/>
      <c r="AI329" s="498"/>
    </row>
    <row r="330" spans="1:40" s="2" customFormat="1">
      <c r="A330" s="559"/>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498"/>
      <c r="AE330" s="498"/>
      <c r="AF330" s="498"/>
      <c r="AG330" s="498"/>
      <c r="AH330" s="498"/>
      <c r="AI330" s="498"/>
      <c r="AJ330" s="573"/>
      <c r="AK330" s="509"/>
      <c r="AL330" s="573"/>
      <c r="AM330" s="509"/>
      <c r="AN330" s="509"/>
    </row>
    <row r="331" spans="1:40" s="2" customFormat="1">
      <c r="A331" s="563"/>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498"/>
      <c r="AE331" s="498"/>
      <c r="AF331" s="498"/>
      <c r="AG331" s="498"/>
      <c r="AH331" s="498"/>
      <c r="AI331" s="498"/>
      <c r="AJ331" s="573"/>
      <c r="AK331" s="509"/>
      <c r="AL331" s="573"/>
      <c r="AM331" s="509"/>
      <c r="AN331" s="509"/>
    </row>
    <row r="332" spans="1:40" s="2" customFormat="1">
      <c r="A332" s="563"/>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498"/>
      <c r="AE332" s="498"/>
      <c r="AF332" s="498"/>
      <c r="AG332" s="498"/>
      <c r="AH332" s="498"/>
      <c r="AI332" s="498"/>
      <c r="AJ332" s="573"/>
      <c r="AK332" s="509"/>
      <c r="AL332" s="573"/>
      <c r="AM332" s="509"/>
      <c r="AN332" s="509"/>
    </row>
    <row r="333" spans="1:40" s="2" customFormat="1">
      <c r="A333" s="563"/>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498"/>
      <c r="AE333" s="498"/>
      <c r="AF333" s="498"/>
      <c r="AG333" s="498"/>
      <c r="AH333" s="498"/>
      <c r="AI333" s="498"/>
      <c r="AJ333" s="573"/>
      <c r="AK333" s="509"/>
      <c r="AL333" s="573"/>
      <c r="AM333" s="509"/>
      <c r="AN333" s="509"/>
    </row>
    <row r="334" spans="1:40" s="2" customFormat="1">
      <c r="A334" s="563"/>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498"/>
      <c r="AE334" s="498"/>
      <c r="AF334" s="498"/>
      <c r="AG334" s="498"/>
      <c r="AH334" s="498"/>
      <c r="AI334" s="498"/>
      <c r="AJ334" s="573"/>
      <c r="AK334" s="509"/>
      <c r="AL334" s="573"/>
      <c r="AM334" s="509"/>
      <c r="AN334" s="509"/>
    </row>
    <row r="335" spans="1:40" s="2" customFormat="1">
      <c r="A335" s="565"/>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498"/>
      <c r="AE335" s="498"/>
      <c r="AF335" s="498"/>
      <c r="AG335" s="498"/>
      <c r="AH335" s="498"/>
      <c r="AI335" s="498"/>
      <c r="AJ335" s="573"/>
      <c r="AK335" s="509"/>
      <c r="AL335" s="573"/>
      <c r="AM335" s="509"/>
      <c r="AN335" s="509"/>
    </row>
    <row r="336" spans="1:40" s="2" customFormat="1">
      <c r="A336" s="563"/>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498"/>
      <c r="AE336" s="498"/>
      <c r="AF336" s="498"/>
      <c r="AG336" s="498"/>
      <c r="AH336" s="498"/>
      <c r="AI336" s="498"/>
      <c r="AJ336" s="573"/>
      <c r="AK336" s="509"/>
      <c r="AL336" s="573"/>
      <c r="AM336" s="509"/>
      <c r="AN336" s="509"/>
    </row>
    <row r="337" spans="1:40" s="2" customFormat="1">
      <c r="A337" s="563"/>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498"/>
      <c r="AE337" s="498"/>
      <c r="AF337" s="498"/>
      <c r="AG337" s="498"/>
      <c r="AH337" s="498"/>
      <c r="AI337" s="498"/>
      <c r="AJ337" s="573"/>
      <c r="AK337" s="509"/>
      <c r="AL337" s="573"/>
      <c r="AM337" s="509"/>
      <c r="AN337" s="509"/>
    </row>
    <row r="338" spans="1:40" s="2" customFormat="1">
      <c r="A338" s="563"/>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498"/>
      <c r="AE338" s="498"/>
      <c r="AF338" s="498"/>
      <c r="AG338" s="498"/>
      <c r="AH338" s="498"/>
      <c r="AI338" s="498"/>
      <c r="AJ338" s="573"/>
      <c r="AK338" s="509"/>
      <c r="AL338" s="573"/>
      <c r="AM338" s="509"/>
      <c r="AN338" s="509"/>
    </row>
    <row r="339" spans="1:40" s="2" customFormat="1" ht="24" customHeight="1">
      <c r="A339" s="494"/>
      <c r="B339" s="490"/>
      <c r="C339" s="232"/>
      <c r="D339" s="232"/>
      <c r="E339" s="528"/>
      <c r="F339" s="528"/>
      <c r="G339" s="528"/>
      <c r="H339" s="528"/>
      <c r="I339" s="528"/>
      <c r="J339" s="528"/>
      <c r="K339" s="528"/>
      <c r="L339" s="528"/>
      <c r="M339" s="528"/>
      <c r="N339" s="528"/>
      <c r="O339" s="528"/>
      <c r="P339" s="528"/>
      <c r="Q339" s="528"/>
      <c r="R339" s="528"/>
      <c r="S339" s="528"/>
      <c r="T339" s="528"/>
      <c r="U339" s="528"/>
      <c r="V339" s="575"/>
      <c r="W339" s="528"/>
      <c r="X339" s="528"/>
      <c r="Y339" s="528"/>
      <c r="Z339" s="232"/>
      <c r="AA339" s="232"/>
      <c r="AB339" s="232"/>
      <c r="AC339" s="232"/>
      <c r="AD339" s="232"/>
      <c r="AE339" s="576"/>
      <c r="AF339" s="576"/>
      <c r="AG339" s="576"/>
      <c r="AH339" s="576"/>
      <c r="AI339" s="576"/>
      <c r="AK339" s="526"/>
      <c r="AL339" s="526"/>
      <c r="AM339" s="526"/>
      <c r="AN339" s="526"/>
    </row>
    <row r="340" spans="1:40" s="2" customFormat="1" ht="47.25" customHeight="1">
      <c r="A340" s="577"/>
      <c r="B340" s="578"/>
      <c r="C340" s="578"/>
      <c r="D340" s="578"/>
      <c r="E340" s="578"/>
      <c r="F340" s="578"/>
      <c r="G340" s="578"/>
      <c r="H340" s="578"/>
      <c r="I340" s="578"/>
      <c r="J340" s="578"/>
      <c r="K340" s="578"/>
      <c r="L340" s="578"/>
      <c r="M340" s="578"/>
      <c r="N340" s="578"/>
      <c r="O340" s="578"/>
      <c r="P340" s="578"/>
      <c r="Q340" s="578"/>
      <c r="R340" s="578"/>
      <c r="S340" s="578"/>
      <c r="T340" s="578"/>
      <c r="U340" s="578"/>
      <c r="V340" s="578"/>
      <c r="W340" s="578"/>
      <c r="X340" s="578"/>
      <c r="Y340" s="578"/>
      <c r="Z340" s="578"/>
      <c r="AA340" s="578"/>
      <c r="AB340" s="579"/>
      <c r="AC340" s="579"/>
      <c r="AD340" s="579"/>
      <c r="AE340" s="578"/>
      <c r="AF340" s="578"/>
      <c r="AG340" s="578"/>
      <c r="AH340" s="578"/>
      <c r="AI340" s="580"/>
      <c r="AJ340" s="580"/>
      <c r="AK340" s="580"/>
      <c r="AL340" s="578"/>
    </row>
    <row r="341" spans="1:40" s="2" customFormat="1" ht="14.25" customHeight="1">
      <c r="A341" s="571"/>
      <c r="B341" s="497"/>
      <c r="C341" s="498"/>
      <c r="D341" s="498"/>
      <c r="E341" s="498"/>
      <c r="F341" s="498"/>
      <c r="G341" s="498"/>
      <c r="H341" s="498"/>
      <c r="I341" s="498"/>
      <c r="J341" s="498"/>
      <c r="K341" s="498"/>
      <c r="L341" s="498"/>
      <c r="M341" s="498"/>
      <c r="N341" s="498"/>
      <c r="O341" s="498"/>
      <c r="P341" s="498"/>
      <c r="Q341" s="498"/>
      <c r="R341" s="498"/>
      <c r="S341" s="498"/>
      <c r="T341" s="498"/>
      <c r="U341" s="498"/>
      <c r="V341" s="498"/>
      <c r="W341" s="232"/>
      <c r="X341" s="232"/>
      <c r="Y341" s="232"/>
      <c r="Z341" s="232"/>
      <c r="AA341" s="232"/>
      <c r="AB341" s="581"/>
      <c r="AC341" s="581"/>
      <c r="AD341" s="582"/>
      <c r="AE341" s="581"/>
      <c r="AF341" s="521"/>
      <c r="AG341" s="233"/>
      <c r="AH341" s="233"/>
      <c r="AI341" s="233"/>
      <c r="AJ341" s="233"/>
      <c r="AK341" s="233"/>
      <c r="AL341" s="233"/>
    </row>
    <row r="342" spans="1:40" s="2" customFormat="1">
      <c r="A342" s="556"/>
      <c r="B342" s="497"/>
      <c r="C342" s="498"/>
      <c r="D342" s="498"/>
      <c r="E342" s="498"/>
      <c r="F342" s="498"/>
      <c r="G342" s="498"/>
      <c r="H342" s="498"/>
      <c r="I342" s="498"/>
      <c r="J342" s="498"/>
      <c r="K342" s="498"/>
      <c r="L342" s="498"/>
      <c r="M342" s="498"/>
      <c r="N342" s="498"/>
      <c r="O342" s="498"/>
      <c r="P342" s="498"/>
      <c r="Q342" s="498"/>
      <c r="R342" s="498"/>
      <c r="S342" s="498"/>
      <c r="T342" s="498"/>
      <c r="U342" s="498"/>
      <c r="V342" s="498"/>
      <c r="W342" s="232"/>
      <c r="X342" s="232"/>
      <c r="Y342" s="232"/>
      <c r="Z342" s="232"/>
      <c r="AA342" s="232"/>
      <c r="AC342" s="521"/>
      <c r="AD342" s="507"/>
      <c r="AG342" s="507"/>
      <c r="AH342" s="507"/>
      <c r="AI342" s="507"/>
      <c r="AJ342" s="233"/>
      <c r="AL342" s="233"/>
    </row>
    <row r="343" spans="1:40" s="2" customFormat="1">
      <c r="A343" s="556"/>
      <c r="B343" s="497"/>
      <c r="C343" s="498"/>
      <c r="D343" s="498"/>
      <c r="E343" s="498"/>
      <c r="F343" s="498"/>
      <c r="G343" s="498"/>
      <c r="H343" s="498"/>
      <c r="I343" s="498"/>
      <c r="J343" s="498"/>
      <c r="K343" s="498"/>
      <c r="L343" s="498"/>
      <c r="M343" s="498"/>
      <c r="N343" s="498"/>
      <c r="O343" s="498"/>
      <c r="P343" s="498"/>
      <c r="Q343" s="498"/>
      <c r="R343" s="498"/>
      <c r="S343" s="498"/>
      <c r="T343" s="498"/>
      <c r="U343" s="498"/>
      <c r="V343" s="498"/>
      <c r="W343" s="232"/>
      <c r="X343" s="232"/>
      <c r="Y343" s="232"/>
      <c r="Z343" s="232"/>
      <c r="AA343" s="232"/>
      <c r="AE343" s="507"/>
      <c r="AF343" s="507"/>
      <c r="AG343" s="507"/>
      <c r="AH343" s="507"/>
      <c r="AI343" s="507"/>
      <c r="AJ343" s="233"/>
      <c r="AK343" s="507"/>
      <c r="AL343" s="233"/>
    </row>
    <row r="344" spans="1:40" s="2" customFormat="1">
      <c r="A344" s="559"/>
      <c r="B344" s="497"/>
      <c r="C344" s="498"/>
      <c r="D344" s="498"/>
      <c r="E344" s="498"/>
      <c r="F344" s="498"/>
      <c r="G344" s="498"/>
      <c r="H344" s="498"/>
      <c r="I344" s="498"/>
      <c r="J344" s="498"/>
      <c r="K344" s="498"/>
      <c r="L344" s="498"/>
      <c r="M344" s="498"/>
      <c r="N344" s="498"/>
      <c r="O344" s="498"/>
      <c r="P344" s="498"/>
      <c r="Q344" s="498"/>
      <c r="R344" s="498"/>
      <c r="S344" s="498"/>
      <c r="T344" s="498"/>
      <c r="U344" s="498"/>
      <c r="V344" s="498"/>
      <c r="W344" s="232"/>
      <c r="X344" s="232"/>
      <c r="Y344" s="232"/>
      <c r="Z344" s="232"/>
      <c r="AA344" s="232"/>
      <c r="AB344" s="233"/>
      <c r="AC344" s="233"/>
      <c r="AD344" s="233"/>
      <c r="AE344" s="233"/>
      <c r="AF344" s="233"/>
      <c r="AG344" s="233"/>
      <c r="AH344" s="233"/>
      <c r="AI344" s="233"/>
      <c r="AJ344" s="233"/>
      <c r="AK344" s="233"/>
      <c r="AL344" s="233"/>
    </row>
    <row r="345" spans="1:40" s="2" customFormat="1">
      <c r="A345" s="571"/>
      <c r="B345" s="497"/>
      <c r="C345" s="498"/>
      <c r="D345" s="498"/>
      <c r="E345" s="498"/>
      <c r="F345" s="498"/>
      <c r="G345" s="498"/>
      <c r="H345" s="498"/>
      <c r="I345" s="498"/>
      <c r="J345" s="498"/>
      <c r="K345" s="498"/>
      <c r="L345" s="498"/>
      <c r="M345" s="498"/>
      <c r="N345" s="498"/>
      <c r="O345" s="498"/>
      <c r="P345" s="498"/>
      <c r="Q345" s="498"/>
      <c r="R345" s="498"/>
      <c r="S345" s="498"/>
      <c r="T345" s="498"/>
      <c r="U345" s="498"/>
      <c r="V345" s="498"/>
      <c r="W345" s="232"/>
      <c r="X345" s="232"/>
      <c r="Y345" s="232"/>
      <c r="Z345" s="232"/>
      <c r="AA345" s="232"/>
      <c r="AC345" s="233"/>
      <c r="AD345" s="498"/>
      <c r="AE345" s="498"/>
      <c r="AG345" s="507"/>
      <c r="AH345" s="507"/>
      <c r="AI345" s="507"/>
      <c r="AJ345" s="233"/>
      <c r="AL345" s="233"/>
    </row>
    <row r="346" spans="1:40" s="2" customFormat="1">
      <c r="A346" s="571"/>
      <c r="B346" s="497"/>
      <c r="C346" s="578"/>
      <c r="D346" s="578"/>
      <c r="E346" s="578"/>
      <c r="F346" s="578"/>
      <c r="G346" s="578"/>
      <c r="H346" s="578"/>
      <c r="I346" s="578"/>
      <c r="J346" s="578"/>
      <c r="K346" s="578"/>
      <c r="L346" s="578"/>
      <c r="M346" s="578"/>
      <c r="N346" s="578"/>
      <c r="O346" s="578"/>
      <c r="P346" s="578"/>
      <c r="Q346" s="578"/>
      <c r="R346" s="578"/>
      <c r="S346" s="578"/>
      <c r="T346" s="578"/>
      <c r="U346" s="578"/>
      <c r="V346" s="578"/>
      <c r="W346" s="578"/>
      <c r="X346" s="578"/>
      <c r="Y346" s="578"/>
      <c r="Z346" s="578"/>
      <c r="AA346" s="578"/>
      <c r="AB346" s="579"/>
      <c r="AC346" s="579"/>
      <c r="AD346" s="579"/>
      <c r="AE346" s="578"/>
      <c r="AF346" s="578"/>
      <c r="AG346" s="578"/>
      <c r="AH346" s="578"/>
      <c r="AI346" s="578"/>
      <c r="AJ346" s="144"/>
    </row>
    <row r="347" spans="1:40" s="2" customFormat="1">
      <c r="A347" s="571"/>
      <c r="C347" s="498"/>
      <c r="D347" s="498"/>
      <c r="E347" s="498"/>
      <c r="F347" s="498"/>
      <c r="G347" s="498"/>
      <c r="H347" s="498"/>
      <c r="I347" s="498"/>
      <c r="J347" s="498"/>
      <c r="K347" s="498"/>
      <c r="L347" s="498"/>
      <c r="M347" s="498"/>
      <c r="N347" s="498"/>
      <c r="O347" s="498"/>
      <c r="P347" s="498"/>
      <c r="Q347" s="498"/>
      <c r="R347" s="498"/>
      <c r="S347" s="498"/>
      <c r="T347" s="498"/>
      <c r="U347" s="498"/>
      <c r="V347" s="498"/>
      <c r="W347" s="498"/>
      <c r="X347" s="498"/>
      <c r="Y347" s="498"/>
      <c r="Z347" s="498"/>
      <c r="AA347" s="498"/>
      <c r="AC347" s="144"/>
      <c r="AD347" s="144"/>
      <c r="AE347" s="144"/>
      <c r="AF347" s="144"/>
      <c r="AG347" s="144"/>
      <c r="AH347" s="144"/>
      <c r="AI347" s="144"/>
    </row>
    <row r="348" spans="1:40" s="2" customFormat="1" ht="12.75" customHeight="1">
      <c r="A348" s="571"/>
      <c r="C348" s="498"/>
      <c r="D348" s="498"/>
      <c r="E348" s="498"/>
      <c r="F348" s="498"/>
      <c r="G348" s="498"/>
      <c r="H348" s="498"/>
      <c r="I348" s="498"/>
      <c r="J348" s="498"/>
      <c r="K348" s="498"/>
      <c r="L348" s="498"/>
      <c r="M348" s="525"/>
      <c r="N348" s="525"/>
      <c r="O348" s="525"/>
      <c r="P348" s="525"/>
      <c r="Q348" s="525"/>
      <c r="R348" s="525"/>
      <c r="S348" s="525"/>
      <c r="T348" s="525"/>
      <c r="U348" s="525"/>
      <c r="V348" s="525"/>
      <c r="W348" s="525"/>
      <c r="X348" s="525"/>
      <c r="Y348" s="525"/>
      <c r="Z348" s="525"/>
      <c r="AA348" s="525"/>
      <c r="AB348" s="525"/>
      <c r="AC348" s="526"/>
      <c r="AD348" s="526"/>
      <c r="AE348" s="526"/>
      <c r="AF348" s="526"/>
      <c r="AG348" s="526"/>
      <c r="AH348" s="526"/>
      <c r="AI348" s="526"/>
    </row>
    <row r="349" spans="1:40" s="2" customFormat="1" ht="12.75" customHeight="1">
      <c r="A349" s="563"/>
      <c r="C349" s="498"/>
      <c r="D349" s="498"/>
      <c r="E349" s="498"/>
      <c r="F349" s="498"/>
      <c r="G349" s="498"/>
      <c r="H349" s="498"/>
      <c r="I349" s="498"/>
      <c r="J349" s="498"/>
      <c r="K349" s="498"/>
      <c r="L349" s="498"/>
      <c r="M349" s="525"/>
      <c r="N349" s="525"/>
      <c r="O349" s="525"/>
      <c r="P349" s="525"/>
      <c r="Q349" s="525"/>
      <c r="R349" s="525"/>
      <c r="S349" s="525"/>
      <c r="T349" s="525"/>
      <c r="U349" s="525"/>
      <c r="V349" s="525"/>
      <c r="W349" s="525"/>
      <c r="X349" s="525"/>
      <c r="Y349" s="525"/>
      <c r="Z349" s="525"/>
      <c r="AA349" s="525"/>
      <c r="AB349" s="525"/>
      <c r="AC349" s="526"/>
      <c r="AD349" s="526"/>
      <c r="AE349" s="526"/>
      <c r="AF349" s="526"/>
      <c r="AG349" s="526"/>
      <c r="AH349" s="526"/>
      <c r="AI349" s="526"/>
    </row>
    <row r="350" spans="1:40" s="2" customFormat="1">
      <c r="A350" s="563"/>
      <c r="C350" s="498"/>
      <c r="D350" s="498"/>
      <c r="E350" s="498"/>
      <c r="F350" s="498"/>
      <c r="G350" s="498"/>
      <c r="H350" s="498"/>
      <c r="I350" s="498"/>
      <c r="J350" s="498"/>
      <c r="K350" s="498"/>
      <c r="L350" s="498"/>
      <c r="M350" s="525"/>
      <c r="N350" s="525"/>
      <c r="O350" s="525"/>
      <c r="P350" s="525"/>
      <c r="Q350" s="525"/>
      <c r="R350" s="525"/>
      <c r="S350" s="525"/>
      <c r="T350" s="525"/>
      <c r="U350" s="525"/>
      <c r="V350" s="525"/>
      <c r="W350" s="525"/>
      <c r="X350" s="525"/>
      <c r="Y350" s="525"/>
      <c r="Z350" s="525"/>
      <c r="AA350" s="525"/>
      <c r="AB350" s="525"/>
      <c r="AC350" s="526"/>
      <c r="AD350" s="526"/>
      <c r="AE350" s="526"/>
      <c r="AF350" s="526"/>
      <c r="AG350" s="526"/>
      <c r="AH350" s="526"/>
      <c r="AI350" s="526"/>
    </row>
    <row r="351" spans="1:40" s="2" customFormat="1">
      <c r="A351" s="563"/>
      <c r="C351" s="498"/>
      <c r="D351" s="498"/>
      <c r="E351" s="498"/>
      <c r="F351" s="498"/>
      <c r="G351" s="498"/>
      <c r="H351" s="498"/>
      <c r="I351" s="498"/>
      <c r="J351" s="498"/>
      <c r="K351" s="498"/>
      <c r="L351" s="498"/>
      <c r="M351" s="525"/>
      <c r="N351" s="525"/>
      <c r="O351" s="525"/>
      <c r="P351" s="525"/>
      <c r="Q351" s="525"/>
      <c r="R351" s="525"/>
      <c r="S351" s="525"/>
      <c r="T351" s="525"/>
      <c r="U351" s="525"/>
      <c r="V351" s="525"/>
      <c r="W351" s="525"/>
      <c r="X351" s="525"/>
      <c r="Y351" s="525"/>
      <c r="Z351" s="525"/>
      <c r="AA351" s="525"/>
      <c r="AB351" s="525"/>
      <c r="AC351" s="526"/>
      <c r="AD351" s="526"/>
      <c r="AE351" s="526"/>
      <c r="AF351" s="526"/>
      <c r="AG351" s="526"/>
      <c r="AH351" s="526"/>
      <c r="AI351" s="526"/>
    </row>
    <row r="352" spans="1:40" s="2" customFormat="1">
      <c r="A352" s="563"/>
      <c r="C352" s="498"/>
      <c r="D352" s="498"/>
      <c r="E352" s="498"/>
      <c r="F352" s="498"/>
      <c r="G352" s="498"/>
      <c r="H352" s="498"/>
      <c r="I352" s="498"/>
      <c r="J352" s="498"/>
      <c r="K352" s="498"/>
      <c r="L352" s="498"/>
      <c r="M352" s="525"/>
      <c r="N352" s="525"/>
      <c r="O352" s="525"/>
      <c r="P352" s="525"/>
      <c r="Q352" s="525"/>
      <c r="R352" s="525"/>
      <c r="S352" s="525"/>
      <c r="T352" s="525"/>
      <c r="U352" s="525"/>
      <c r="V352" s="525"/>
      <c r="W352" s="525"/>
      <c r="X352" s="525"/>
      <c r="Y352" s="525"/>
      <c r="Z352" s="525"/>
      <c r="AA352" s="525"/>
      <c r="AB352" s="525"/>
      <c r="AC352" s="526"/>
      <c r="AD352" s="526"/>
      <c r="AE352" s="526"/>
      <c r="AF352" s="526"/>
      <c r="AG352" s="526"/>
      <c r="AH352" s="526"/>
      <c r="AI352" s="526"/>
    </row>
    <row r="353" spans="1:165" s="2" customFormat="1">
      <c r="A353" s="565"/>
      <c r="C353" s="498"/>
      <c r="D353" s="498"/>
      <c r="E353" s="498"/>
      <c r="F353" s="498"/>
      <c r="G353" s="498"/>
      <c r="H353" s="498"/>
      <c r="I353" s="498"/>
      <c r="J353" s="498"/>
      <c r="K353" s="498"/>
      <c r="L353" s="498"/>
      <c r="M353" s="525"/>
      <c r="N353" s="525"/>
      <c r="O353" s="525"/>
      <c r="P353" s="525"/>
      <c r="Q353" s="525"/>
      <c r="R353" s="525"/>
      <c r="S353" s="525"/>
      <c r="T353" s="525"/>
      <c r="U353" s="525"/>
      <c r="V353" s="525"/>
      <c r="W353" s="525"/>
      <c r="X353" s="525"/>
      <c r="Y353" s="525"/>
      <c r="Z353" s="525"/>
      <c r="AA353" s="525"/>
      <c r="AB353" s="525"/>
      <c r="AC353" s="526"/>
      <c r="AD353" s="526"/>
      <c r="AE353" s="526"/>
      <c r="AF353" s="526"/>
      <c r="AG353" s="526"/>
      <c r="AH353" s="526"/>
      <c r="AI353" s="526"/>
    </row>
    <row r="354" spans="1:165" s="2" customFormat="1" ht="14.25" customHeight="1">
      <c r="A354" s="563"/>
      <c r="C354" s="498"/>
      <c r="D354" s="498"/>
      <c r="E354" s="498"/>
      <c r="F354" s="498"/>
      <c r="G354" s="498"/>
      <c r="H354" s="498"/>
      <c r="I354" s="498"/>
      <c r="J354" s="498"/>
      <c r="K354" s="498"/>
      <c r="L354" s="498"/>
      <c r="M354" s="525"/>
      <c r="N354" s="525"/>
      <c r="O354" s="525"/>
      <c r="P354" s="525"/>
      <c r="Q354" s="525"/>
      <c r="R354" s="525"/>
      <c r="S354" s="525"/>
      <c r="T354" s="525"/>
      <c r="U354" s="525"/>
      <c r="V354" s="525"/>
      <c r="W354" s="525"/>
      <c r="X354" s="525"/>
      <c r="Y354" s="525"/>
      <c r="Z354" s="525"/>
      <c r="AA354" s="525"/>
      <c r="AB354" s="525"/>
      <c r="AC354" s="526"/>
      <c r="AD354" s="526"/>
      <c r="AE354" s="526"/>
      <c r="AF354" s="526"/>
      <c r="AG354" s="526"/>
      <c r="AH354" s="526"/>
      <c r="AI354" s="526"/>
    </row>
    <row r="355" spans="1:165" s="2" customFormat="1">
      <c r="A355" s="563"/>
      <c r="C355" s="498"/>
      <c r="D355" s="498"/>
      <c r="E355" s="498"/>
      <c r="F355" s="498"/>
      <c r="G355" s="498"/>
      <c r="H355" s="498"/>
      <c r="I355" s="498"/>
      <c r="J355" s="498"/>
      <c r="K355" s="498"/>
      <c r="L355" s="498"/>
      <c r="M355" s="525"/>
      <c r="N355" s="525"/>
      <c r="O355" s="525"/>
      <c r="P355" s="525"/>
      <c r="Q355" s="525"/>
      <c r="R355" s="525"/>
      <c r="S355" s="525"/>
      <c r="T355" s="525"/>
      <c r="U355" s="525"/>
      <c r="V355" s="525"/>
      <c r="W355" s="525"/>
      <c r="X355" s="525"/>
      <c r="Y355" s="525"/>
      <c r="Z355" s="525"/>
      <c r="AA355" s="525"/>
      <c r="AB355" s="525"/>
      <c r="AC355" s="526"/>
      <c r="AD355" s="526"/>
      <c r="AE355" s="526"/>
      <c r="AF355" s="526"/>
      <c r="AG355" s="526"/>
      <c r="AH355" s="526"/>
      <c r="AI355" s="526"/>
    </row>
    <row r="356" spans="1:165" s="2" customFormat="1">
      <c r="A356" s="563"/>
      <c r="C356" s="498"/>
      <c r="D356" s="498"/>
      <c r="E356" s="498"/>
      <c r="F356" s="498"/>
      <c r="G356" s="498"/>
      <c r="H356" s="498"/>
      <c r="I356" s="498"/>
      <c r="J356" s="498"/>
      <c r="K356" s="498"/>
      <c r="L356" s="498"/>
      <c r="M356" s="525"/>
      <c r="N356" s="525"/>
      <c r="O356" s="525"/>
      <c r="P356" s="525"/>
      <c r="Q356" s="525"/>
      <c r="R356" s="525"/>
      <c r="S356" s="525"/>
      <c r="T356" s="525"/>
      <c r="U356" s="525"/>
      <c r="V356" s="525"/>
      <c r="W356" s="525"/>
      <c r="X356" s="525"/>
      <c r="Y356" s="525"/>
      <c r="Z356" s="525"/>
      <c r="AA356" s="525"/>
      <c r="AB356" s="525"/>
      <c r="AC356" s="526"/>
      <c r="AD356" s="526"/>
      <c r="AE356" s="526"/>
      <c r="AF356" s="526"/>
      <c r="AG356" s="526"/>
      <c r="AH356" s="526"/>
      <c r="AI356" s="526"/>
    </row>
    <row r="357" spans="1:165" s="2" customFormat="1">
      <c r="A357" s="571"/>
      <c r="B357" s="497"/>
      <c r="C357" s="498"/>
      <c r="D357" s="498"/>
      <c r="E357" s="498"/>
      <c r="F357" s="498"/>
      <c r="G357" s="498"/>
      <c r="H357" s="498"/>
      <c r="I357" s="498"/>
      <c r="J357" s="498"/>
      <c r="K357" s="498"/>
      <c r="L357" s="498"/>
      <c r="M357" s="525"/>
      <c r="N357" s="525"/>
      <c r="O357" s="525"/>
      <c r="P357" s="525"/>
      <c r="Q357" s="525"/>
      <c r="R357" s="525"/>
      <c r="S357" s="525"/>
      <c r="T357" s="525"/>
      <c r="U357" s="525"/>
      <c r="V357" s="525"/>
      <c r="W357" s="525"/>
      <c r="X357" s="525"/>
      <c r="Y357" s="525"/>
      <c r="Z357" s="525"/>
      <c r="AA357" s="525"/>
      <c r="AB357" s="144"/>
      <c r="AD357" s="144"/>
      <c r="AE357" s="144"/>
      <c r="AF357" s="144"/>
      <c r="AG357" s="144"/>
      <c r="AH357" s="583"/>
      <c r="AI357" s="526"/>
    </row>
    <row r="358" spans="1:165" s="2" customFormat="1" ht="12.75" customHeight="1">
      <c r="A358" s="571"/>
      <c r="C358" s="498"/>
      <c r="D358" s="498"/>
      <c r="E358" s="498"/>
      <c r="F358" s="498"/>
      <c r="G358" s="498"/>
      <c r="H358" s="498"/>
      <c r="I358" s="498"/>
      <c r="J358" s="498"/>
      <c r="K358" s="498"/>
      <c r="L358" s="498"/>
      <c r="M358" s="525"/>
      <c r="N358" s="525"/>
      <c r="O358" s="525"/>
      <c r="P358" s="525"/>
      <c r="Q358" s="525"/>
      <c r="R358" s="525"/>
      <c r="S358" s="525"/>
      <c r="T358" s="525"/>
      <c r="U358" s="525"/>
      <c r="V358" s="525"/>
      <c r="W358" s="525"/>
      <c r="X358" s="525"/>
      <c r="Y358" s="525"/>
      <c r="Z358" s="525"/>
      <c r="AA358" s="525"/>
      <c r="AB358" s="525"/>
      <c r="AC358" s="526"/>
      <c r="AD358" s="525"/>
      <c r="AE358" s="525"/>
      <c r="AF358" s="525"/>
      <c r="AG358" s="526"/>
      <c r="AH358" s="526"/>
      <c r="AI358" s="526"/>
    </row>
    <row r="359" spans="1:165" s="2" customFormat="1" ht="12.75" customHeight="1">
      <c r="A359" s="563"/>
      <c r="C359" s="498"/>
      <c r="D359" s="498"/>
      <c r="E359" s="498"/>
      <c r="F359" s="498"/>
      <c r="G359" s="498"/>
      <c r="H359" s="498"/>
      <c r="I359" s="498"/>
      <c r="J359" s="498"/>
      <c r="K359" s="498"/>
      <c r="L359" s="498"/>
      <c r="M359" s="525"/>
      <c r="N359" s="525"/>
      <c r="O359" s="525"/>
      <c r="P359" s="525"/>
      <c r="Q359" s="525"/>
      <c r="R359" s="525"/>
      <c r="S359" s="525"/>
      <c r="T359" s="525"/>
      <c r="U359" s="525"/>
      <c r="V359" s="525"/>
      <c r="W359" s="525"/>
      <c r="X359" s="525"/>
      <c r="Y359" s="525"/>
      <c r="Z359" s="525"/>
      <c r="AA359" s="525"/>
      <c r="AB359" s="525"/>
      <c r="AC359" s="526"/>
      <c r="AD359" s="525"/>
      <c r="AE359" s="525"/>
      <c r="AF359" s="525"/>
      <c r="AG359" s="526"/>
      <c r="AH359" s="526"/>
      <c r="AI359" s="526"/>
    </row>
    <row r="360" spans="1:165" s="2" customFormat="1">
      <c r="A360" s="563"/>
      <c r="C360" s="498"/>
      <c r="D360" s="498"/>
      <c r="E360" s="498"/>
      <c r="F360" s="498"/>
      <c r="G360" s="498"/>
      <c r="H360" s="498"/>
      <c r="I360" s="498"/>
      <c r="J360" s="498"/>
      <c r="K360" s="498"/>
      <c r="L360" s="498"/>
      <c r="M360" s="525"/>
      <c r="N360" s="525"/>
      <c r="O360" s="525"/>
      <c r="P360" s="525"/>
      <c r="Q360" s="525"/>
      <c r="R360" s="525"/>
      <c r="S360" s="525"/>
      <c r="T360" s="525"/>
      <c r="U360" s="525"/>
      <c r="V360" s="525"/>
      <c r="W360" s="525"/>
      <c r="X360" s="525"/>
      <c r="Y360" s="525"/>
      <c r="Z360" s="525"/>
      <c r="AA360" s="525"/>
      <c r="AB360" s="525"/>
      <c r="AC360" s="526"/>
      <c r="AD360" s="525"/>
      <c r="AE360" s="525"/>
      <c r="AF360" s="525"/>
      <c r="AG360" s="526"/>
      <c r="AH360" s="526"/>
      <c r="AI360" s="526"/>
    </row>
    <row r="361" spans="1:165" s="2" customFormat="1">
      <c r="A361" s="563"/>
      <c r="C361" s="498"/>
      <c r="D361" s="498"/>
      <c r="E361" s="498"/>
      <c r="F361" s="498"/>
      <c r="G361" s="498"/>
      <c r="H361" s="498"/>
      <c r="I361" s="498"/>
      <c r="J361" s="498"/>
      <c r="K361" s="498"/>
      <c r="L361" s="498"/>
      <c r="M361" s="525"/>
      <c r="N361" s="525"/>
      <c r="O361" s="525"/>
      <c r="P361" s="525"/>
      <c r="Q361" s="525"/>
      <c r="R361" s="525"/>
      <c r="S361" s="525"/>
      <c r="T361" s="525"/>
      <c r="U361" s="525"/>
      <c r="V361" s="525"/>
      <c r="W361" s="525"/>
      <c r="X361" s="525"/>
      <c r="Y361" s="525"/>
      <c r="Z361" s="525"/>
      <c r="AA361" s="525"/>
      <c r="AB361" s="525"/>
      <c r="AC361" s="526"/>
      <c r="AD361" s="525"/>
      <c r="AE361" s="525"/>
      <c r="AF361" s="525"/>
      <c r="AG361" s="526"/>
      <c r="AH361" s="526"/>
      <c r="AI361" s="526"/>
    </row>
    <row r="362" spans="1:165" s="2" customFormat="1">
      <c r="A362" s="563"/>
      <c r="C362" s="498"/>
      <c r="D362" s="498"/>
      <c r="E362" s="498"/>
      <c r="F362" s="498"/>
      <c r="G362" s="498"/>
      <c r="H362" s="498"/>
      <c r="I362" s="498"/>
      <c r="J362" s="498"/>
      <c r="K362" s="498"/>
      <c r="L362" s="498"/>
      <c r="M362" s="525"/>
      <c r="N362" s="525"/>
      <c r="O362" s="525"/>
      <c r="P362" s="525"/>
      <c r="Q362" s="525"/>
      <c r="R362" s="525"/>
      <c r="S362" s="525"/>
      <c r="T362" s="525"/>
      <c r="U362" s="525"/>
      <c r="V362" s="525"/>
      <c r="W362" s="525"/>
      <c r="X362" s="525"/>
      <c r="Y362" s="525"/>
      <c r="Z362" s="525"/>
      <c r="AA362" s="525"/>
      <c r="AB362" s="525"/>
      <c r="AC362" s="526"/>
      <c r="AD362" s="525"/>
      <c r="AE362" s="525"/>
      <c r="AF362" s="525"/>
      <c r="AG362" s="526"/>
      <c r="AH362" s="526"/>
      <c r="AI362" s="526"/>
    </row>
    <row r="363" spans="1:165" s="2" customFormat="1">
      <c r="A363" s="565"/>
      <c r="C363" s="498"/>
      <c r="D363" s="498"/>
      <c r="E363" s="498"/>
      <c r="F363" s="498"/>
      <c r="G363" s="498"/>
      <c r="H363" s="498"/>
      <c r="I363" s="498"/>
      <c r="J363" s="498"/>
      <c r="K363" s="498"/>
      <c r="L363" s="498"/>
      <c r="M363" s="525"/>
      <c r="N363" s="525"/>
      <c r="O363" s="525"/>
      <c r="P363" s="525"/>
      <c r="Q363" s="525"/>
      <c r="R363" s="525"/>
      <c r="S363" s="525"/>
      <c r="T363" s="525"/>
      <c r="U363" s="525"/>
      <c r="V363" s="525"/>
      <c r="W363" s="525"/>
      <c r="X363" s="525"/>
      <c r="Y363" s="525"/>
      <c r="Z363" s="525"/>
      <c r="AA363" s="525"/>
      <c r="AB363" s="525"/>
      <c r="AC363" s="526"/>
      <c r="AD363" s="525"/>
      <c r="AE363" s="525"/>
      <c r="AF363" s="525"/>
      <c r="AG363" s="526"/>
      <c r="AH363" s="526"/>
      <c r="AI363" s="526"/>
    </row>
    <row r="364" spans="1:165" s="2" customFormat="1" ht="14.25" customHeight="1">
      <c r="A364" s="563"/>
      <c r="C364" s="498"/>
      <c r="D364" s="498"/>
      <c r="E364" s="498"/>
      <c r="F364" s="498"/>
      <c r="G364" s="498"/>
      <c r="H364" s="498"/>
      <c r="I364" s="498"/>
      <c r="J364" s="498"/>
      <c r="K364" s="498"/>
      <c r="L364" s="498"/>
      <c r="M364" s="525"/>
      <c r="N364" s="525"/>
      <c r="O364" s="525"/>
      <c r="P364" s="525"/>
      <c r="Q364" s="525"/>
      <c r="R364" s="525"/>
      <c r="S364" s="525"/>
      <c r="T364" s="525"/>
      <c r="U364" s="525"/>
      <c r="V364" s="525"/>
      <c r="W364" s="525"/>
      <c r="X364" s="525"/>
      <c r="Y364" s="525"/>
      <c r="Z364" s="525"/>
      <c r="AA364" s="525"/>
      <c r="AB364" s="525"/>
      <c r="AC364" s="526"/>
      <c r="AD364" s="525"/>
      <c r="AE364" s="525"/>
      <c r="AF364" s="525"/>
      <c r="AG364" s="526"/>
      <c r="AH364" s="526"/>
      <c r="AI364" s="526"/>
    </row>
    <row r="365" spans="1:165" s="2" customFormat="1">
      <c r="A365" s="563"/>
      <c r="C365" s="498"/>
      <c r="D365" s="498"/>
      <c r="E365" s="498"/>
      <c r="F365" s="498"/>
      <c r="G365" s="498"/>
      <c r="H365" s="498"/>
      <c r="I365" s="498"/>
      <c r="J365" s="498"/>
      <c r="K365" s="498"/>
      <c r="L365" s="498"/>
      <c r="M365" s="525"/>
      <c r="N365" s="525"/>
      <c r="O365" s="525"/>
      <c r="P365" s="525"/>
      <c r="Q365" s="525"/>
      <c r="R365" s="525"/>
      <c r="S365" s="525"/>
      <c r="T365" s="525"/>
      <c r="U365" s="525"/>
      <c r="V365" s="525"/>
      <c r="W365" s="525"/>
      <c r="X365" s="525"/>
      <c r="Y365" s="525"/>
      <c r="Z365" s="525"/>
      <c r="AA365" s="525"/>
      <c r="AB365" s="525"/>
      <c r="AC365" s="526"/>
      <c r="AD365" s="525"/>
      <c r="AE365" s="525"/>
      <c r="AF365" s="525"/>
      <c r="AG365" s="526"/>
      <c r="AH365" s="526"/>
      <c r="AI365" s="526"/>
    </row>
    <row r="366" spans="1:165" s="2" customFormat="1">
      <c r="A366" s="563"/>
      <c r="C366" s="498"/>
      <c r="D366" s="498"/>
      <c r="E366" s="498"/>
      <c r="F366" s="498"/>
      <c r="G366" s="498"/>
      <c r="H366" s="498"/>
      <c r="I366" s="498"/>
      <c r="J366" s="498"/>
      <c r="K366" s="498"/>
      <c r="L366" s="498"/>
      <c r="M366" s="525"/>
      <c r="N366" s="525"/>
      <c r="O366" s="525"/>
      <c r="P366" s="525"/>
      <c r="Q366" s="525"/>
      <c r="R366" s="525"/>
      <c r="S366" s="525"/>
      <c r="T366" s="525"/>
      <c r="U366" s="525"/>
      <c r="V366" s="525"/>
      <c r="W366" s="525"/>
      <c r="X366" s="525"/>
      <c r="Y366" s="525"/>
      <c r="Z366" s="525"/>
      <c r="AA366" s="525"/>
      <c r="AB366" s="525"/>
      <c r="AC366" s="526"/>
      <c r="AD366" s="525"/>
      <c r="AE366" s="525"/>
      <c r="AF366" s="525"/>
      <c r="AG366" s="526"/>
      <c r="AH366" s="526"/>
      <c r="AI366" s="526"/>
    </row>
    <row r="367" spans="1:165" s="144" customFormat="1" ht="15">
      <c r="A367" s="553"/>
      <c r="B367" s="584"/>
      <c r="C367" s="584"/>
      <c r="D367" s="584"/>
      <c r="E367" s="584"/>
      <c r="F367" s="584"/>
      <c r="G367" s="584"/>
      <c r="H367" s="584"/>
      <c r="I367" s="584"/>
      <c r="J367" s="584"/>
      <c r="K367" s="584"/>
      <c r="L367" s="584"/>
      <c r="M367" s="584"/>
      <c r="N367" s="584"/>
      <c r="O367" s="584"/>
      <c r="P367" s="584"/>
      <c r="Q367" s="584"/>
      <c r="R367" s="584"/>
      <c r="S367" s="584"/>
      <c r="T367" s="584"/>
      <c r="U367" s="584"/>
      <c r="V367" s="584"/>
      <c r="W367" s="584"/>
      <c r="X367" s="584"/>
      <c r="Y367" s="584"/>
      <c r="Z367" s="584"/>
      <c r="AA367" s="2"/>
      <c r="AE367" s="2"/>
      <c r="AF367" s="2"/>
      <c r="AG367" s="2"/>
      <c r="AH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row>
    <row r="368" spans="1:165" s="144" customFormat="1">
      <c r="A368" s="544"/>
      <c r="B368" s="584"/>
      <c r="C368" s="584"/>
      <c r="D368" s="584"/>
      <c r="E368" s="584"/>
      <c r="F368" s="584"/>
      <c r="G368" s="584"/>
      <c r="H368" s="584"/>
      <c r="I368" s="584"/>
      <c r="J368" s="584"/>
      <c r="K368" s="584"/>
      <c r="L368" s="584"/>
      <c r="M368" s="584"/>
      <c r="N368" s="584"/>
      <c r="O368" s="584"/>
      <c r="P368" s="584"/>
      <c r="Q368" s="584"/>
      <c r="R368" s="584"/>
      <c r="S368" s="584"/>
      <c r="T368" s="584"/>
      <c r="U368" s="584"/>
      <c r="V368" s="584"/>
      <c r="W368" s="584"/>
      <c r="X368" s="584"/>
      <c r="Y368" s="584"/>
      <c r="Z368" s="584"/>
      <c r="AA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row>
    <row r="369" spans="1:165" s="144" customFormat="1" ht="47.25" customHeight="1">
      <c r="A369" s="568"/>
      <c r="B369" s="568"/>
      <c r="C369" s="568"/>
      <c r="D369" s="568"/>
      <c r="E369" s="568"/>
      <c r="F369" s="568"/>
      <c r="G369" s="568"/>
      <c r="H369" s="568"/>
      <c r="I369" s="568"/>
      <c r="J369" s="568"/>
      <c r="K369" s="568"/>
      <c r="L369" s="568"/>
      <c r="M369" s="568"/>
      <c r="N369" s="568"/>
      <c r="O369" s="568"/>
      <c r="P369" s="568"/>
      <c r="Q369" s="568"/>
      <c r="R369" s="568"/>
      <c r="S369" s="568"/>
      <c r="T369" s="568"/>
      <c r="U369" s="568"/>
      <c r="V369" s="568"/>
      <c r="W369" s="568"/>
      <c r="X369" s="568"/>
      <c r="Y369" s="568"/>
      <c r="Z369" s="568"/>
      <c r="AA369" s="568"/>
      <c r="AB369" s="568"/>
      <c r="AC369" s="568"/>
      <c r="AD369" s="568"/>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row>
    <row r="370" spans="1:165" s="2" customFormat="1" ht="16.5" customHeight="1">
      <c r="A370" s="1109"/>
      <c r="B370" s="1109"/>
      <c r="C370" s="1109"/>
      <c r="D370" s="1109"/>
      <c r="E370" s="1109"/>
      <c r="F370" s="1109"/>
      <c r="G370" s="1109"/>
      <c r="H370" s="1109"/>
      <c r="I370" s="1109"/>
      <c r="J370" s="1109"/>
      <c r="K370" s="1109"/>
      <c r="L370" s="1109"/>
      <c r="M370" s="1109"/>
      <c r="N370" s="1109"/>
      <c r="O370" s="1109"/>
      <c r="P370" s="1109"/>
      <c r="Q370" s="1109"/>
      <c r="R370" s="1109"/>
      <c r="S370" s="1109"/>
      <c r="T370" s="1109"/>
      <c r="U370" s="1109"/>
      <c r="V370" s="1109"/>
      <c r="W370" s="1109"/>
      <c r="X370" s="1109"/>
      <c r="Y370" s="1109"/>
      <c r="Z370" s="1109"/>
      <c r="AA370" s="1109"/>
      <c r="AB370" s="1109"/>
      <c r="AC370" s="1109"/>
      <c r="AD370" s="1109"/>
    </row>
    <row r="371" spans="1:165" s="2" customFormat="1" ht="42.75" customHeight="1">
      <c r="A371" s="577"/>
      <c r="B371" s="578"/>
      <c r="C371" s="578"/>
      <c r="D371" s="578"/>
      <c r="E371" s="578"/>
      <c r="F371" s="578"/>
      <c r="G371" s="578"/>
      <c r="H371" s="578"/>
      <c r="I371" s="578"/>
      <c r="J371" s="578"/>
      <c r="K371" s="578"/>
      <c r="L371" s="578"/>
      <c r="M371" s="578"/>
      <c r="N371" s="578"/>
      <c r="O371" s="578"/>
      <c r="P371" s="578"/>
      <c r="Q371" s="578"/>
      <c r="R371" s="578"/>
      <c r="S371" s="578"/>
      <c r="T371" s="578"/>
      <c r="U371" s="578"/>
      <c r="V371" s="578"/>
      <c r="W371" s="578"/>
      <c r="X371" s="578"/>
      <c r="Y371" s="578"/>
      <c r="Z371" s="578"/>
      <c r="AA371" s="578"/>
      <c r="AB371" s="578"/>
      <c r="AC371" s="578"/>
      <c r="AD371" s="578"/>
      <c r="AE371" s="578"/>
      <c r="AF371" s="578"/>
      <c r="AG371" s="578"/>
      <c r="AH371" s="578"/>
      <c r="AI371" s="578"/>
      <c r="AJ371" s="578"/>
      <c r="AK371" s="578"/>
      <c r="AL371" s="578"/>
      <c r="AM371" s="578"/>
      <c r="AN371" s="578"/>
      <c r="AO371" s="578"/>
      <c r="AP371" s="578"/>
      <c r="AQ371" s="578"/>
      <c r="AR371" s="578"/>
      <c r="AS371" s="578"/>
      <c r="AT371" s="578"/>
      <c r="AU371" s="578"/>
      <c r="AV371" s="578"/>
    </row>
    <row r="372" spans="1:165" s="2" customFormat="1">
      <c r="A372" s="585"/>
      <c r="B372" s="586"/>
      <c r="C372" s="498"/>
      <c r="D372" s="498"/>
      <c r="E372" s="498"/>
      <c r="F372" s="498"/>
      <c r="G372" s="498"/>
      <c r="H372" s="498"/>
      <c r="I372" s="498"/>
      <c r="J372" s="498"/>
      <c r="K372" s="498"/>
      <c r="L372" s="498"/>
      <c r="M372" s="498"/>
      <c r="N372" s="498"/>
      <c r="O372" s="498"/>
      <c r="P372" s="498"/>
      <c r="Q372" s="498"/>
      <c r="R372" s="498"/>
      <c r="S372" s="498"/>
      <c r="T372" s="498"/>
      <c r="U372" s="498"/>
      <c r="V372" s="498"/>
      <c r="W372" s="498"/>
      <c r="X372" s="498"/>
      <c r="Y372" s="498"/>
      <c r="Z372" s="498"/>
      <c r="AA372" s="498"/>
      <c r="AD372" s="587"/>
      <c r="AE372" s="587"/>
      <c r="AF372" s="587"/>
      <c r="AG372" s="587"/>
      <c r="AL372" s="587"/>
      <c r="AN372" s="587"/>
      <c r="AO372" s="587"/>
      <c r="AP372" s="587"/>
      <c r="AQ372" s="587"/>
      <c r="AR372" s="587"/>
      <c r="AS372" s="587"/>
      <c r="AT372" s="587"/>
      <c r="AV372" s="572"/>
    </row>
    <row r="373" spans="1:165" s="2" customFormat="1">
      <c r="A373" s="571"/>
      <c r="C373" s="525"/>
      <c r="D373" s="525"/>
      <c r="E373" s="525"/>
      <c r="F373" s="525"/>
      <c r="G373" s="525"/>
      <c r="H373" s="525"/>
      <c r="I373" s="525"/>
      <c r="J373" s="525"/>
      <c r="K373" s="525"/>
      <c r="L373" s="525"/>
      <c r="M373" s="525"/>
      <c r="N373" s="525"/>
      <c r="O373" s="525"/>
      <c r="P373" s="525"/>
      <c r="Q373" s="525"/>
      <c r="R373" s="525"/>
      <c r="S373" s="525"/>
      <c r="T373" s="525"/>
      <c r="U373" s="525"/>
      <c r="V373" s="525"/>
      <c r="W373" s="528"/>
      <c r="X373" s="528"/>
      <c r="Y373" s="528"/>
      <c r="Z373" s="528"/>
      <c r="AA373" s="528"/>
      <c r="AB373" s="528"/>
      <c r="AC373" s="528"/>
      <c r="AD373" s="528"/>
      <c r="AE373" s="528"/>
      <c r="AF373" s="528"/>
      <c r="AG373" s="572"/>
      <c r="AH373" s="588"/>
      <c r="AI373" s="572"/>
      <c r="AJ373" s="572"/>
      <c r="AK373" s="572"/>
      <c r="AL373" s="572"/>
      <c r="AM373" s="572"/>
      <c r="AN373" s="572"/>
      <c r="AO373" s="572"/>
      <c r="AP373" s="572"/>
      <c r="AQ373" s="572"/>
      <c r="AR373" s="572"/>
      <c r="AS373" s="572"/>
      <c r="AT373" s="572"/>
      <c r="AU373" s="572"/>
      <c r="AV373" s="572"/>
    </row>
    <row r="374" spans="1:165" s="2" customFormat="1">
      <c r="A374" s="589"/>
      <c r="C374" s="498"/>
      <c r="D374" s="498"/>
      <c r="E374" s="498"/>
      <c r="F374" s="498"/>
      <c r="G374" s="498"/>
      <c r="H374" s="498"/>
      <c r="I374" s="498"/>
      <c r="J374" s="498"/>
      <c r="K374" s="498"/>
      <c r="L374" s="498"/>
      <c r="M374" s="498"/>
      <c r="N374" s="498"/>
      <c r="O374" s="498"/>
      <c r="P374" s="498"/>
      <c r="Q374" s="498"/>
      <c r="R374" s="498"/>
      <c r="S374" s="498"/>
      <c r="T374" s="498"/>
      <c r="U374" s="498"/>
      <c r="V374" s="498"/>
      <c r="W374" s="590"/>
      <c r="X374" s="590"/>
      <c r="Y374" s="590"/>
      <c r="Z374" s="590"/>
      <c r="AA374" s="590"/>
      <c r="AB374" s="528"/>
      <c r="AC374" s="528"/>
      <c r="AD374" s="528"/>
      <c r="AE374" s="528"/>
      <c r="AF374" s="526"/>
      <c r="AG374" s="572"/>
      <c r="AH374" s="588"/>
      <c r="AI374" s="572"/>
      <c r="AJ374" s="572"/>
      <c r="AK374" s="572"/>
      <c r="AL374" s="572"/>
      <c r="AM374" s="572"/>
      <c r="AN374" s="572"/>
      <c r="AO374" s="572"/>
      <c r="AP374" s="572"/>
      <c r="AQ374" s="572"/>
      <c r="AR374" s="572"/>
      <c r="AS374" s="572"/>
      <c r="AT374" s="572"/>
      <c r="AU374" s="572"/>
      <c r="AV374" s="572"/>
    </row>
    <row r="375" spans="1:165" s="2" customFormat="1">
      <c r="A375" s="589"/>
      <c r="C375" s="498"/>
      <c r="D375" s="498"/>
      <c r="E375" s="498"/>
      <c r="F375" s="498"/>
      <c r="G375" s="498"/>
      <c r="H375" s="498"/>
      <c r="I375" s="498"/>
      <c r="J375" s="498"/>
      <c r="K375" s="498"/>
      <c r="L375" s="498"/>
      <c r="M375" s="498"/>
      <c r="N375" s="498"/>
      <c r="O375" s="498"/>
      <c r="P375" s="498"/>
      <c r="Q375" s="498"/>
      <c r="R375" s="498"/>
      <c r="S375" s="498"/>
      <c r="T375" s="498"/>
      <c r="U375" s="498"/>
      <c r="V375" s="498"/>
      <c r="W375" s="590"/>
      <c r="X375" s="590"/>
      <c r="Y375" s="590"/>
      <c r="Z375" s="590"/>
      <c r="AA375" s="590"/>
      <c r="AB375" s="528"/>
      <c r="AC375" s="528"/>
      <c r="AD375" s="528"/>
      <c r="AE375" s="526"/>
      <c r="AF375" s="526"/>
      <c r="AG375" s="572"/>
      <c r="AH375" s="588"/>
      <c r="AI375" s="572"/>
      <c r="AJ375" s="572"/>
      <c r="AK375" s="572"/>
      <c r="AL375" s="572"/>
      <c r="AM375" s="572"/>
      <c r="AN375" s="572"/>
      <c r="AO375" s="572"/>
      <c r="AP375" s="572"/>
      <c r="AQ375" s="572"/>
      <c r="AR375" s="572"/>
      <c r="AS375" s="572"/>
      <c r="AT375" s="572"/>
      <c r="AU375" s="572"/>
      <c r="AV375" s="572"/>
    </row>
    <row r="376" spans="1:165" s="2" customFormat="1">
      <c r="A376" s="589"/>
      <c r="C376" s="498"/>
      <c r="D376" s="498"/>
      <c r="E376" s="498"/>
      <c r="F376" s="498"/>
      <c r="G376" s="498"/>
      <c r="H376" s="498"/>
      <c r="I376" s="498"/>
      <c r="J376" s="498"/>
      <c r="K376" s="498"/>
      <c r="L376" s="498"/>
      <c r="M376" s="498"/>
      <c r="N376" s="498"/>
      <c r="O376" s="498"/>
      <c r="P376" s="498"/>
      <c r="Q376" s="498"/>
      <c r="R376" s="498"/>
      <c r="S376" s="498"/>
      <c r="T376" s="498"/>
      <c r="U376" s="498"/>
      <c r="V376" s="498"/>
      <c r="W376" s="590"/>
      <c r="X376" s="590"/>
      <c r="Y376" s="590"/>
      <c r="Z376" s="590"/>
      <c r="AA376" s="590"/>
      <c r="AB376" s="528"/>
      <c r="AC376" s="528"/>
      <c r="AD376" s="528"/>
      <c r="AE376" s="528"/>
      <c r="AF376" s="528"/>
      <c r="AG376" s="572"/>
      <c r="AH376" s="588"/>
      <c r="AI376" s="572"/>
      <c r="AJ376" s="572"/>
      <c r="AK376" s="572"/>
      <c r="AL376" s="572"/>
      <c r="AM376" s="572"/>
      <c r="AN376" s="572"/>
      <c r="AO376" s="572"/>
      <c r="AP376" s="572"/>
      <c r="AQ376" s="572"/>
      <c r="AR376" s="572"/>
      <c r="AS376" s="572"/>
      <c r="AT376" s="572"/>
      <c r="AU376" s="572"/>
      <c r="AV376" s="572"/>
    </row>
    <row r="377" spans="1:165" s="2" customFormat="1">
      <c r="A377" s="589"/>
      <c r="C377" s="498"/>
      <c r="D377" s="498"/>
      <c r="E377" s="498"/>
      <c r="F377" s="498"/>
      <c r="G377" s="498"/>
      <c r="H377" s="498"/>
      <c r="I377" s="498"/>
      <c r="J377" s="498"/>
      <c r="K377" s="498"/>
      <c r="L377" s="498"/>
      <c r="M377" s="498"/>
      <c r="N377" s="498"/>
      <c r="O377" s="498"/>
      <c r="P377" s="498"/>
      <c r="Q377" s="498"/>
      <c r="R377" s="498"/>
      <c r="S377" s="498"/>
      <c r="T377" s="498"/>
      <c r="U377" s="498"/>
      <c r="V377" s="498"/>
      <c r="W377" s="590"/>
      <c r="X377" s="590"/>
      <c r="Y377" s="590"/>
      <c r="Z377" s="590"/>
      <c r="AA377" s="590"/>
      <c r="AB377" s="528"/>
      <c r="AC377" s="528"/>
      <c r="AD377" s="528"/>
      <c r="AE377" s="528"/>
      <c r="AF377" s="528"/>
      <c r="AG377" s="572"/>
      <c r="AH377" s="588"/>
      <c r="AI377" s="572"/>
      <c r="AJ377" s="572"/>
      <c r="AK377" s="572"/>
      <c r="AL377" s="572"/>
      <c r="AM377" s="572"/>
      <c r="AN377" s="572"/>
      <c r="AO377" s="572"/>
      <c r="AP377" s="572"/>
      <c r="AQ377" s="572"/>
      <c r="AR377" s="572"/>
      <c r="AS377" s="572"/>
      <c r="AT377" s="572"/>
      <c r="AU377" s="572"/>
      <c r="AV377" s="572"/>
    </row>
    <row r="378" spans="1:165" s="2" customFormat="1">
      <c r="A378" s="589"/>
      <c r="C378" s="498"/>
      <c r="D378" s="498"/>
      <c r="E378" s="498"/>
      <c r="F378" s="498"/>
      <c r="G378" s="498"/>
      <c r="H378" s="498"/>
      <c r="I378" s="498"/>
      <c r="J378" s="498"/>
      <c r="K378" s="498"/>
      <c r="L378" s="498"/>
      <c r="M378" s="498"/>
      <c r="N378" s="498"/>
      <c r="O378" s="498"/>
      <c r="P378" s="498"/>
      <c r="Q378" s="498"/>
      <c r="R378" s="498"/>
      <c r="S378" s="498"/>
      <c r="T378" s="498"/>
      <c r="U378" s="498"/>
      <c r="V378" s="498"/>
      <c r="W378" s="590"/>
      <c r="X378" s="590"/>
      <c r="Y378" s="590"/>
      <c r="Z378" s="590"/>
      <c r="AA378" s="590"/>
      <c r="AB378" s="528"/>
      <c r="AC378" s="528"/>
      <c r="AD378" s="528"/>
      <c r="AE378" s="528"/>
      <c r="AF378" s="528"/>
      <c r="AG378" s="572"/>
      <c r="AH378" s="588"/>
      <c r="AI378" s="572"/>
      <c r="AJ378" s="572"/>
      <c r="AK378" s="572"/>
      <c r="AL378" s="572"/>
      <c r="AM378" s="572"/>
      <c r="AN378" s="572"/>
      <c r="AO378" s="572"/>
      <c r="AP378" s="572"/>
      <c r="AQ378" s="572"/>
      <c r="AR378" s="572"/>
      <c r="AS378" s="572"/>
      <c r="AT378" s="572"/>
      <c r="AU378" s="572"/>
      <c r="AV378" s="572"/>
    </row>
    <row r="379" spans="1:165" s="2" customFormat="1">
      <c r="A379" s="589"/>
      <c r="C379" s="498"/>
      <c r="D379" s="498"/>
      <c r="E379" s="498"/>
      <c r="F379" s="498"/>
      <c r="G379" s="498"/>
      <c r="H379" s="498"/>
      <c r="I379" s="498"/>
      <c r="J379" s="498"/>
      <c r="K379" s="498"/>
      <c r="L379" s="498"/>
      <c r="M379" s="498"/>
      <c r="N379" s="498"/>
      <c r="O379" s="498"/>
      <c r="P379" s="498"/>
      <c r="Q379" s="498"/>
      <c r="R379" s="498"/>
      <c r="S379" s="498"/>
      <c r="T379" s="498"/>
      <c r="U379" s="498"/>
      <c r="V379" s="498"/>
      <c r="W379" s="590"/>
      <c r="X379" s="590"/>
      <c r="Y379" s="590"/>
      <c r="Z379" s="590"/>
      <c r="AA379" s="590"/>
      <c r="AB379" s="528"/>
      <c r="AC379" s="528"/>
      <c r="AD379" s="528"/>
      <c r="AE379" s="528"/>
      <c r="AF379" s="528"/>
      <c r="AG379" s="572"/>
      <c r="AH379" s="588"/>
      <c r="AI379" s="572"/>
      <c r="AJ379" s="572"/>
      <c r="AK379" s="572"/>
      <c r="AL379" s="572"/>
      <c r="AM379" s="572"/>
      <c r="AN379" s="572"/>
      <c r="AO379" s="572"/>
      <c r="AP379" s="572"/>
      <c r="AQ379" s="572"/>
      <c r="AR379" s="572"/>
      <c r="AS379" s="572"/>
      <c r="AT379" s="572"/>
      <c r="AU379" s="572"/>
      <c r="AV379" s="572"/>
    </row>
    <row r="380" spans="1:165" s="2" customFormat="1">
      <c r="A380" s="589"/>
      <c r="C380" s="498"/>
      <c r="D380" s="498"/>
      <c r="E380" s="498"/>
      <c r="F380" s="498"/>
      <c r="G380" s="498"/>
      <c r="H380" s="498"/>
      <c r="I380" s="498"/>
      <c r="J380" s="498"/>
      <c r="K380" s="498"/>
      <c r="L380" s="498"/>
      <c r="M380" s="498"/>
      <c r="N380" s="498"/>
      <c r="O380" s="498"/>
      <c r="P380" s="498"/>
      <c r="Q380" s="498"/>
      <c r="R380" s="498"/>
      <c r="S380" s="498"/>
      <c r="T380" s="498"/>
      <c r="U380" s="498"/>
      <c r="V380" s="498"/>
      <c r="W380" s="590"/>
      <c r="X380" s="590"/>
      <c r="Y380" s="590"/>
      <c r="Z380" s="590"/>
      <c r="AA380" s="590"/>
      <c r="AB380" s="528"/>
      <c r="AC380" s="528"/>
      <c r="AD380" s="528"/>
      <c r="AE380" s="528"/>
      <c r="AF380" s="528"/>
      <c r="AG380" s="572"/>
      <c r="AH380" s="588"/>
      <c r="AI380" s="572"/>
      <c r="AJ380" s="572"/>
      <c r="AK380" s="572"/>
      <c r="AL380" s="572"/>
      <c r="AM380" s="572"/>
      <c r="AN380" s="572"/>
      <c r="AO380" s="572"/>
      <c r="AP380" s="572"/>
      <c r="AQ380" s="572"/>
      <c r="AR380" s="572"/>
      <c r="AS380" s="572"/>
      <c r="AT380" s="572"/>
      <c r="AU380" s="572"/>
      <c r="AV380" s="572"/>
    </row>
    <row r="381" spans="1:165" s="2" customFormat="1">
      <c r="A381" s="589"/>
      <c r="C381" s="498"/>
      <c r="D381" s="498"/>
      <c r="E381" s="498"/>
      <c r="F381" s="498"/>
      <c r="G381" s="498"/>
      <c r="H381" s="498"/>
      <c r="I381" s="498"/>
      <c r="J381" s="498"/>
      <c r="K381" s="498"/>
      <c r="L381" s="498"/>
      <c r="M381" s="498"/>
      <c r="N381" s="498"/>
      <c r="O381" s="498"/>
      <c r="P381" s="498"/>
      <c r="Q381" s="498"/>
      <c r="R381" s="498"/>
      <c r="S381" s="498"/>
      <c r="T381" s="498"/>
      <c r="U381" s="498"/>
      <c r="V381" s="498"/>
      <c r="W381" s="590"/>
      <c r="X381" s="590"/>
      <c r="Y381" s="590"/>
      <c r="Z381" s="590"/>
      <c r="AA381" s="590"/>
      <c r="AB381" s="528"/>
      <c r="AC381" s="528"/>
      <c r="AD381" s="528"/>
      <c r="AE381" s="528"/>
      <c r="AF381" s="528"/>
      <c r="AG381" s="572"/>
      <c r="AH381" s="588"/>
      <c r="AI381" s="572"/>
      <c r="AJ381" s="572"/>
      <c r="AK381" s="572"/>
      <c r="AL381" s="572"/>
      <c r="AM381" s="572"/>
      <c r="AN381" s="572"/>
      <c r="AO381" s="572"/>
      <c r="AP381" s="572"/>
      <c r="AQ381" s="572"/>
      <c r="AR381" s="572"/>
      <c r="AS381" s="572"/>
      <c r="AT381" s="528"/>
      <c r="AU381" s="528"/>
      <c r="AV381" s="528"/>
    </row>
    <row r="382" spans="1:165" s="2" customFormat="1">
      <c r="A382" s="556"/>
      <c r="B382" s="490"/>
      <c r="C382" s="498"/>
      <c r="D382" s="498"/>
      <c r="E382" s="498"/>
      <c r="F382" s="498"/>
      <c r="G382" s="498"/>
      <c r="H382" s="498"/>
      <c r="I382" s="498"/>
      <c r="J382" s="498"/>
      <c r="K382" s="498"/>
      <c r="L382" s="498"/>
      <c r="M382" s="498"/>
      <c r="N382" s="498"/>
      <c r="O382" s="498"/>
      <c r="P382" s="498"/>
      <c r="Q382" s="498"/>
      <c r="R382" s="498"/>
      <c r="S382" s="498"/>
      <c r="T382" s="498"/>
      <c r="U382" s="498"/>
      <c r="V382" s="498"/>
      <c r="W382" s="498"/>
      <c r="X382" s="498"/>
      <c r="Y382" s="498"/>
      <c r="Z382" s="498"/>
      <c r="AA382" s="498"/>
      <c r="AB382" s="528"/>
      <c r="AC382" s="528"/>
      <c r="AD382" s="551"/>
      <c r="AE382" s="528"/>
      <c r="AF382" s="528"/>
      <c r="AG382" s="528"/>
      <c r="AH382" s="588"/>
      <c r="AI382" s="528"/>
      <c r="AJ382" s="528"/>
      <c r="AK382" s="528"/>
      <c r="AL382" s="572"/>
      <c r="AM382" s="528"/>
      <c r="AN382" s="528"/>
      <c r="AO382" s="528"/>
      <c r="AP382" s="528"/>
      <c r="AQ382" s="528"/>
      <c r="AR382" s="528"/>
      <c r="AS382" s="528"/>
      <c r="AT382" s="308"/>
      <c r="AU382" s="308"/>
      <c r="AV382" s="308"/>
    </row>
    <row r="383" spans="1:165" s="2" customFormat="1">
      <c r="A383" s="571"/>
      <c r="C383" s="498"/>
      <c r="D383" s="498"/>
      <c r="E383" s="498"/>
      <c r="F383" s="498"/>
      <c r="G383" s="498"/>
      <c r="H383" s="498"/>
      <c r="I383" s="498"/>
      <c r="J383" s="498"/>
      <c r="K383" s="498"/>
      <c r="L383" s="498"/>
      <c r="M383" s="498"/>
      <c r="N383" s="498"/>
      <c r="O383" s="498"/>
      <c r="P383" s="498"/>
      <c r="Q383" s="498"/>
      <c r="R383" s="498"/>
      <c r="S383" s="498"/>
      <c r="T383" s="498"/>
      <c r="U383" s="498"/>
      <c r="V383" s="498"/>
      <c r="W383" s="498"/>
      <c r="X383" s="498"/>
      <c r="Y383" s="498"/>
      <c r="Z383" s="498"/>
      <c r="AA383" s="498"/>
      <c r="AB383" s="232"/>
      <c r="AC383" s="232"/>
      <c r="AD383" s="573"/>
      <c r="AE383" s="232"/>
      <c r="AF383" s="232"/>
      <c r="AG383" s="514"/>
      <c r="AH383" s="588"/>
      <c r="AI383" s="308"/>
      <c r="AJ383" s="308"/>
      <c r="AK383" s="308"/>
      <c r="AL383" s="509"/>
      <c r="AM383" s="308"/>
      <c r="AN383" s="308"/>
      <c r="AO383" s="308"/>
      <c r="AP383" s="308"/>
      <c r="AQ383" s="308"/>
      <c r="AR383" s="308"/>
      <c r="AS383" s="308"/>
      <c r="AT383" s="308"/>
      <c r="AU383" s="308"/>
      <c r="AV383" s="308"/>
    </row>
    <row r="384" spans="1:165" s="2" customFormat="1">
      <c r="A384" s="589"/>
      <c r="C384" s="498"/>
      <c r="D384" s="498"/>
      <c r="E384" s="498"/>
      <c r="F384" s="498"/>
      <c r="G384" s="498"/>
      <c r="H384" s="498"/>
      <c r="I384" s="498"/>
      <c r="J384" s="498"/>
      <c r="K384" s="498"/>
      <c r="L384" s="498"/>
      <c r="M384" s="498"/>
      <c r="N384" s="498"/>
      <c r="O384" s="498"/>
      <c r="P384" s="498"/>
      <c r="Q384" s="498"/>
      <c r="R384" s="498"/>
      <c r="S384" s="498"/>
      <c r="T384" s="498"/>
      <c r="U384" s="498"/>
      <c r="V384" s="498"/>
      <c r="W384" s="523"/>
      <c r="X384" s="523"/>
      <c r="Y384" s="523"/>
      <c r="Z384" s="523"/>
      <c r="AA384" s="523"/>
      <c r="AB384" s="232"/>
      <c r="AC384" s="232"/>
      <c r="AD384" s="573"/>
      <c r="AE384" s="232"/>
      <c r="AF384" s="232"/>
      <c r="AG384" s="232"/>
      <c r="AH384" s="588"/>
      <c r="AI384" s="308"/>
      <c r="AJ384" s="308"/>
      <c r="AK384" s="308"/>
      <c r="AL384" s="509"/>
      <c r="AM384" s="308"/>
      <c r="AN384" s="308"/>
      <c r="AO384" s="308"/>
      <c r="AP384" s="308"/>
      <c r="AQ384" s="308"/>
      <c r="AR384" s="308"/>
      <c r="AS384" s="308"/>
      <c r="AT384" s="308"/>
      <c r="AU384" s="308"/>
      <c r="AV384" s="308"/>
    </row>
    <row r="385" spans="1:48" s="2" customFormat="1">
      <c r="A385" s="589"/>
      <c r="C385" s="498"/>
      <c r="D385" s="498"/>
      <c r="E385" s="498"/>
      <c r="F385" s="498"/>
      <c r="G385" s="498"/>
      <c r="H385" s="498"/>
      <c r="I385" s="498"/>
      <c r="J385" s="498"/>
      <c r="K385" s="498"/>
      <c r="L385" s="498"/>
      <c r="M385" s="498"/>
      <c r="N385" s="498"/>
      <c r="O385" s="498"/>
      <c r="P385" s="498"/>
      <c r="Q385" s="498"/>
      <c r="R385" s="498"/>
      <c r="S385" s="498"/>
      <c r="T385" s="498"/>
      <c r="U385" s="498"/>
      <c r="V385" s="498"/>
      <c r="W385" s="523"/>
      <c r="X385" s="523"/>
      <c r="Y385" s="523"/>
      <c r="Z385" s="523"/>
      <c r="AA385" s="523"/>
      <c r="AB385" s="232"/>
      <c r="AC385" s="232"/>
      <c r="AD385" s="573"/>
      <c r="AE385" s="232"/>
      <c r="AF385" s="232"/>
      <c r="AG385" s="232"/>
      <c r="AH385" s="588"/>
      <c r="AI385" s="308"/>
      <c r="AJ385" s="308"/>
      <c r="AK385" s="308"/>
      <c r="AL385" s="509"/>
      <c r="AM385" s="308"/>
      <c r="AN385" s="308"/>
      <c r="AO385" s="308"/>
      <c r="AP385" s="308"/>
      <c r="AQ385" s="308"/>
      <c r="AR385" s="308"/>
      <c r="AS385" s="308"/>
      <c r="AT385" s="308"/>
      <c r="AU385" s="308"/>
      <c r="AV385" s="308"/>
    </row>
    <row r="386" spans="1:48" s="2" customFormat="1">
      <c r="A386" s="589"/>
      <c r="C386" s="498"/>
      <c r="D386" s="498"/>
      <c r="E386" s="498"/>
      <c r="F386" s="498"/>
      <c r="G386" s="498"/>
      <c r="H386" s="498"/>
      <c r="I386" s="498"/>
      <c r="J386" s="498"/>
      <c r="K386" s="498"/>
      <c r="L386" s="498"/>
      <c r="M386" s="498"/>
      <c r="N386" s="498"/>
      <c r="O386" s="498"/>
      <c r="P386" s="498"/>
      <c r="Q386" s="498"/>
      <c r="R386" s="498"/>
      <c r="S386" s="498"/>
      <c r="T386" s="498"/>
      <c r="U386" s="498"/>
      <c r="V386" s="498"/>
      <c r="W386" s="523"/>
      <c r="X386" s="523"/>
      <c r="Y386" s="523"/>
      <c r="Z386" s="523"/>
      <c r="AA386" s="523"/>
      <c r="AB386" s="232"/>
      <c r="AC386" s="232"/>
      <c r="AD386" s="573"/>
      <c r="AE386" s="232"/>
      <c r="AF386" s="232"/>
      <c r="AG386" s="232"/>
      <c r="AH386" s="588"/>
      <c r="AI386" s="308"/>
      <c r="AJ386" s="308"/>
      <c r="AK386" s="308"/>
      <c r="AL386" s="509"/>
      <c r="AM386" s="308"/>
      <c r="AN386" s="308"/>
      <c r="AO386" s="308"/>
      <c r="AP386" s="308"/>
      <c r="AQ386" s="308"/>
      <c r="AR386" s="308"/>
      <c r="AS386" s="308"/>
      <c r="AT386" s="308"/>
      <c r="AU386" s="308"/>
      <c r="AV386" s="308"/>
    </row>
    <row r="387" spans="1:48" s="2" customFormat="1">
      <c r="A387" s="589"/>
      <c r="C387" s="498"/>
      <c r="D387" s="498"/>
      <c r="E387" s="498"/>
      <c r="F387" s="498"/>
      <c r="G387" s="498"/>
      <c r="H387" s="498"/>
      <c r="I387" s="498"/>
      <c r="J387" s="498"/>
      <c r="K387" s="498"/>
      <c r="L387" s="498"/>
      <c r="M387" s="498"/>
      <c r="N387" s="498"/>
      <c r="O387" s="498"/>
      <c r="P387" s="498"/>
      <c r="Q387" s="498"/>
      <c r="R387" s="498"/>
      <c r="S387" s="498"/>
      <c r="T387" s="498"/>
      <c r="U387" s="498"/>
      <c r="V387" s="498"/>
      <c r="W387" s="523"/>
      <c r="X387" s="523"/>
      <c r="Y387" s="523"/>
      <c r="Z387" s="523"/>
      <c r="AA387" s="523"/>
      <c r="AB387" s="232"/>
      <c r="AC387" s="232"/>
      <c r="AD387" s="573"/>
      <c r="AE387" s="232"/>
      <c r="AF387" s="232"/>
      <c r="AG387" s="514"/>
      <c r="AH387" s="588"/>
      <c r="AI387" s="308"/>
      <c r="AJ387" s="308"/>
      <c r="AK387" s="308"/>
      <c r="AL387" s="509"/>
      <c r="AM387" s="308"/>
      <c r="AN387" s="308"/>
      <c r="AO387" s="308"/>
      <c r="AP387" s="308"/>
      <c r="AQ387" s="308"/>
      <c r="AR387" s="308"/>
      <c r="AS387" s="308"/>
      <c r="AT387" s="308"/>
      <c r="AU387" s="308"/>
      <c r="AV387" s="308"/>
    </row>
    <row r="388" spans="1:48" s="2" customFormat="1">
      <c r="A388" s="589"/>
      <c r="C388" s="498"/>
      <c r="D388" s="498"/>
      <c r="E388" s="498"/>
      <c r="F388" s="498"/>
      <c r="G388" s="498"/>
      <c r="H388" s="498"/>
      <c r="I388" s="498"/>
      <c r="J388" s="498"/>
      <c r="K388" s="498"/>
      <c r="L388" s="498"/>
      <c r="M388" s="498"/>
      <c r="N388" s="498"/>
      <c r="O388" s="498"/>
      <c r="P388" s="498"/>
      <c r="Q388" s="498"/>
      <c r="R388" s="498"/>
      <c r="S388" s="498"/>
      <c r="T388" s="498"/>
      <c r="U388" s="498"/>
      <c r="V388" s="498"/>
      <c r="W388" s="523"/>
      <c r="X388" s="523"/>
      <c r="Y388" s="523"/>
      <c r="Z388" s="523"/>
      <c r="AA388" s="523"/>
      <c r="AB388" s="232"/>
      <c r="AC388" s="232"/>
      <c r="AD388" s="573"/>
      <c r="AE388" s="232"/>
      <c r="AF388" s="232"/>
      <c r="AG388" s="232"/>
      <c r="AH388" s="588"/>
      <c r="AI388" s="308"/>
      <c r="AJ388" s="308"/>
      <c r="AK388" s="308"/>
      <c r="AL388" s="509"/>
      <c r="AM388" s="308"/>
      <c r="AN388" s="308"/>
      <c r="AO388" s="308"/>
      <c r="AP388" s="308"/>
      <c r="AQ388" s="308"/>
      <c r="AR388" s="308"/>
      <c r="AS388" s="308"/>
      <c r="AT388" s="308"/>
      <c r="AU388" s="308"/>
      <c r="AV388" s="308"/>
    </row>
    <row r="389" spans="1:48" s="2" customFormat="1">
      <c r="A389" s="589"/>
      <c r="C389" s="498"/>
      <c r="D389" s="498"/>
      <c r="E389" s="498"/>
      <c r="F389" s="498"/>
      <c r="G389" s="498"/>
      <c r="H389" s="498"/>
      <c r="I389" s="498"/>
      <c r="J389" s="498"/>
      <c r="K389" s="498"/>
      <c r="L389" s="498"/>
      <c r="M389" s="498"/>
      <c r="N389" s="498"/>
      <c r="O389" s="498"/>
      <c r="P389" s="498"/>
      <c r="Q389" s="498"/>
      <c r="R389" s="498"/>
      <c r="S389" s="498"/>
      <c r="T389" s="498"/>
      <c r="U389" s="498"/>
      <c r="V389" s="498"/>
      <c r="W389" s="523"/>
      <c r="X389" s="523"/>
      <c r="Y389" s="523"/>
      <c r="Z389" s="523"/>
      <c r="AA389" s="523"/>
      <c r="AB389" s="232"/>
      <c r="AC389" s="232"/>
      <c r="AD389" s="573"/>
      <c r="AE389" s="232"/>
      <c r="AF389" s="232"/>
      <c r="AG389" s="232"/>
      <c r="AH389" s="588"/>
      <c r="AI389" s="308"/>
      <c r="AJ389" s="308"/>
      <c r="AK389" s="308"/>
      <c r="AL389" s="509"/>
      <c r="AM389" s="308"/>
      <c r="AN389" s="308"/>
      <c r="AO389" s="308"/>
      <c r="AP389" s="308"/>
      <c r="AQ389" s="308"/>
      <c r="AR389" s="308"/>
      <c r="AS389" s="308"/>
      <c r="AT389" s="308"/>
      <c r="AU389" s="308"/>
      <c r="AV389" s="308"/>
    </row>
    <row r="390" spans="1:48" s="2" customFormat="1">
      <c r="A390" s="589"/>
      <c r="C390" s="498"/>
      <c r="D390" s="498"/>
      <c r="E390" s="498"/>
      <c r="F390" s="498"/>
      <c r="G390" s="498"/>
      <c r="H390" s="498"/>
      <c r="I390" s="498"/>
      <c r="J390" s="498"/>
      <c r="K390" s="498"/>
      <c r="L390" s="498"/>
      <c r="M390" s="498"/>
      <c r="N390" s="498"/>
      <c r="O390" s="498"/>
      <c r="P390" s="498"/>
      <c r="Q390" s="498"/>
      <c r="R390" s="498"/>
      <c r="S390" s="498"/>
      <c r="T390" s="498"/>
      <c r="U390" s="498"/>
      <c r="V390" s="498"/>
      <c r="W390" s="523"/>
      <c r="X390" s="523"/>
      <c r="Y390" s="523"/>
      <c r="Z390" s="523"/>
      <c r="AA390" s="523"/>
      <c r="AB390" s="232"/>
      <c r="AC390" s="232"/>
      <c r="AD390" s="573"/>
      <c r="AE390" s="232"/>
      <c r="AF390" s="232"/>
      <c r="AG390" s="232"/>
      <c r="AH390" s="588"/>
      <c r="AI390" s="308"/>
      <c r="AJ390" s="308"/>
      <c r="AK390" s="308"/>
      <c r="AL390" s="509"/>
      <c r="AM390" s="308"/>
      <c r="AN390" s="308"/>
      <c r="AO390" s="308"/>
      <c r="AP390" s="308"/>
      <c r="AQ390" s="308"/>
      <c r="AR390" s="308"/>
      <c r="AS390" s="308"/>
      <c r="AT390" s="308"/>
      <c r="AU390" s="308"/>
      <c r="AV390" s="308"/>
    </row>
    <row r="391" spans="1:48" s="2" customFormat="1">
      <c r="A391" s="589"/>
      <c r="C391" s="498"/>
      <c r="D391" s="498"/>
      <c r="E391" s="498"/>
      <c r="F391" s="498"/>
      <c r="G391" s="498"/>
      <c r="H391" s="498"/>
      <c r="I391" s="498"/>
      <c r="J391" s="498"/>
      <c r="K391" s="498"/>
      <c r="L391" s="498"/>
      <c r="M391" s="498"/>
      <c r="N391" s="498"/>
      <c r="O391" s="498"/>
      <c r="P391" s="498"/>
      <c r="Q391" s="498"/>
      <c r="R391" s="498"/>
      <c r="S391" s="498"/>
      <c r="T391" s="498"/>
      <c r="U391" s="498"/>
      <c r="V391" s="498"/>
      <c r="W391" s="523"/>
      <c r="X391" s="523"/>
      <c r="Y391" s="523"/>
      <c r="Z391" s="523"/>
      <c r="AA391" s="523"/>
      <c r="AB391" s="232"/>
      <c r="AC391" s="232"/>
      <c r="AD391" s="573"/>
      <c r="AE391" s="232"/>
      <c r="AF391" s="232"/>
      <c r="AG391" s="232"/>
      <c r="AH391" s="588"/>
      <c r="AI391" s="308"/>
      <c r="AJ391" s="308"/>
      <c r="AK391" s="308"/>
      <c r="AL391" s="509"/>
      <c r="AM391" s="308"/>
      <c r="AN391" s="308"/>
      <c r="AO391" s="308"/>
      <c r="AP391" s="308"/>
      <c r="AQ391" s="308"/>
      <c r="AR391" s="308"/>
      <c r="AS391" s="308"/>
      <c r="AT391" s="591"/>
      <c r="AU391" s="591"/>
      <c r="AV391" s="591"/>
    </row>
    <row r="392" spans="1:48" s="2" customFormat="1">
      <c r="A392" s="556"/>
      <c r="B392" s="490"/>
      <c r="C392" s="498"/>
      <c r="D392" s="498"/>
      <c r="E392" s="498"/>
      <c r="F392" s="498"/>
      <c r="G392" s="498"/>
      <c r="H392" s="498"/>
      <c r="I392" s="498"/>
      <c r="J392" s="498"/>
      <c r="K392" s="498"/>
      <c r="L392" s="498"/>
      <c r="M392" s="498"/>
      <c r="N392" s="498"/>
      <c r="O392" s="498"/>
      <c r="P392" s="498"/>
      <c r="Q392" s="498"/>
      <c r="R392" s="498"/>
      <c r="S392" s="498"/>
      <c r="T392" s="498"/>
      <c r="U392" s="498"/>
      <c r="V392" s="498"/>
      <c r="W392" s="498"/>
      <c r="X392" s="498"/>
      <c r="Y392" s="498"/>
      <c r="Z392" s="498"/>
      <c r="AA392" s="498"/>
      <c r="AB392" s="232"/>
      <c r="AD392" s="591"/>
      <c r="AE392" s="591"/>
      <c r="AF392" s="591"/>
      <c r="AG392" s="591"/>
      <c r="AH392" s="591"/>
      <c r="AI392" s="591"/>
      <c r="AJ392" s="591"/>
      <c r="AK392" s="591"/>
      <c r="AL392" s="572"/>
      <c r="AM392" s="591"/>
      <c r="AN392" s="591"/>
      <c r="AO392" s="591"/>
      <c r="AP392" s="591"/>
      <c r="AQ392" s="591"/>
      <c r="AR392" s="591"/>
      <c r="AS392" s="591"/>
      <c r="AT392" s="591"/>
      <c r="AU392" s="591"/>
      <c r="AV392" s="591"/>
    </row>
    <row r="393" spans="1:48" s="2" customFormat="1">
      <c r="A393" s="559"/>
      <c r="C393" s="498"/>
      <c r="D393" s="498"/>
      <c r="E393" s="498"/>
      <c r="F393" s="498"/>
      <c r="G393" s="498"/>
      <c r="H393" s="498"/>
      <c r="I393" s="498"/>
      <c r="J393" s="498"/>
      <c r="K393" s="498"/>
      <c r="L393" s="498"/>
      <c r="M393" s="498"/>
      <c r="N393" s="498"/>
      <c r="O393" s="498"/>
      <c r="P393" s="498"/>
      <c r="Q393" s="498"/>
      <c r="R393" s="498"/>
      <c r="S393" s="498"/>
      <c r="T393" s="498"/>
      <c r="U393" s="498"/>
      <c r="V393" s="498"/>
      <c r="W393" s="498"/>
      <c r="X393" s="498"/>
      <c r="Y393" s="498"/>
      <c r="Z393" s="498"/>
      <c r="AA393" s="498"/>
      <c r="AB393" s="528"/>
      <c r="AD393" s="551"/>
      <c r="AE393" s="591"/>
      <c r="AF393" s="591"/>
      <c r="AG393" s="591"/>
      <c r="AH393" s="591"/>
      <c r="AI393" s="591"/>
      <c r="AJ393" s="591"/>
      <c r="AK393" s="591"/>
      <c r="AL393" s="572"/>
      <c r="AM393" s="591"/>
      <c r="AN393" s="591"/>
      <c r="AO393" s="591"/>
      <c r="AP393" s="591"/>
      <c r="AQ393" s="591"/>
      <c r="AR393" s="591"/>
      <c r="AS393" s="591"/>
      <c r="AT393" s="591"/>
      <c r="AU393" s="591"/>
      <c r="AV393" s="591"/>
    </row>
    <row r="394" spans="1:48" s="2" customFormat="1">
      <c r="A394" s="571"/>
      <c r="C394" s="498"/>
      <c r="D394" s="498"/>
      <c r="E394" s="498"/>
      <c r="F394" s="498"/>
      <c r="G394" s="498"/>
      <c r="H394" s="498"/>
      <c r="I394" s="498"/>
      <c r="J394" s="498"/>
      <c r="K394" s="498"/>
      <c r="L394" s="498"/>
      <c r="M394" s="498"/>
      <c r="N394" s="498"/>
      <c r="O394" s="498"/>
      <c r="P394" s="498"/>
      <c r="Q394" s="498"/>
      <c r="R394" s="498"/>
      <c r="S394" s="498"/>
      <c r="T394" s="498"/>
      <c r="U394" s="498"/>
      <c r="V394" s="498"/>
      <c r="W394" s="498"/>
      <c r="X394" s="498"/>
      <c r="Y394" s="498"/>
      <c r="Z394" s="498"/>
      <c r="AA394" s="528"/>
      <c r="AB394" s="528"/>
      <c r="AC394" s="521"/>
      <c r="AD394" s="591"/>
      <c r="AE394" s="591"/>
      <c r="AF394" s="591"/>
      <c r="AG394" s="591"/>
      <c r="AH394" s="591"/>
      <c r="AI394" s="591"/>
      <c r="AJ394" s="591"/>
      <c r="AK394" s="591"/>
      <c r="AL394" s="572"/>
      <c r="AM394" s="591"/>
      <c r="AN394" s="591"/>
      <c r="AO394" s="591"/>
      <c r="AP394" s="591"/>
      <c r="AQ394" s="591"/>
      <c r="AR394" s="591"/>
      <c r="AS394" s="591"/>
      <c r="AT394" s="591"/>
      <c r="AU394" s="591"/>
      <c r="AV394" s="591"/>
    </row>
    <row r="395" spans="1:48" s="2" customFormat="1">
      <c r="A395" s="589"/>
      <c r="C395" s="498"/>
      <c r="D395" s="498"/>
      <c r="E395" s="498"/>
      <c r="F395" s="498"/>
      <c r="G395" s="498"/>
      <c r="H395" s="498"/>
      <c r="I395" s="498"/>
      <c r="J395" s="498"/>
      <c r="K395" s="498"/>
      <c r="L395" s="498"/>
      <c r="M395" s="498"/>
      <c r="N395" s="498"/>
      <c r="O395" s="498"/>
      <c r="P395" s="498"/>
      <c r="Q395" s="498"/>
      <c r="R395" s="498"/>
      <c r="S395" s="498"/>
      <c r="T395" s="498"/>
      <c r="U395" s="498"/>
      <c r="V395" s="498"/>
      <c r="W395" s="523"/>
      <c r="X395" s="523"/>
      <c r="Y395" s="523"/>
      <c r="Z395" s="590"/>
      <c r="AA395" s="590"/>
      <c r="AB395" s="528"/>
      <c r="AC395" s="521"/>
      <c r="AD395" s="591"/>
      <c r="AE395" s="591"/>
      <c r="AF395" s="591"/>
      <c r="AG395" s="591"/>
      <c r="AH395" s="591"/>
      <c r="AI395" s="591"/>
      <c r="AJ395" s="591"/>
      <c r="AK395" s="591"/>
      <c r="AL395" s="572"/>
      <c r="AM395" s="591"/>
      <c r="AN395" s="591"/>
      <c r="AO395" s="591"/>
      <c r="AP395" s="591"/>
      <c r="AQ395" s="591"/>
      <c r="AR395" s="591"/>
      <c r="AS395" s="591"/>
      <c r="AT395" s="591"/>
      <c r="AU395" s="591"/>
      <c r="AV395" s="591"/>
    </row>
    <row r="396" spans="1:48" s="2" customFormat="1">
      <c r="A396" s="589"/>
      <c r="C396" s="498"/>
      <c r="D396" s="498"/>
      <c r="E396" s="498"/>
      <c r="F396" s="498"/>
      <c r="G396" s="498"/>
      <c r="H396" s="498"/>
      <c r="I396" s="498"/>
      <c r="J396" s="498"/>
      <c r="K396" s="498"/>
      <c r="L396" s="498"/>
      <c r="M396" s="498"/>
      <c r="N396" s="498"/>
      <c r="O396" s="498"/>
      <c r="P396" s="498"/>
      <c r="Q396" s="498"/>
      <c r="R396" s="498"/>
      <c r="S396" s="498"/>
      <c r="T396" s="498"/>
      <c r="U396" s="498"/>
      <c r="V396" s="498"/>
      <c r="W396" s="498"/>
      <c r="X396" s="498"/>
      <c r="Y396" s="498"/>
      <c r="Z396" s="498"/>
      <c r="AA396" s="498"/>
      <c r="AB396" s="498"/>
      <c r="AC396" s="498"/>
      <c r="AD396" s="498"/>
      <c r="AE396" s="591"/>
      <c r="AF396" s="591"/>
      <c r="AG396" s="591"/>
      <c r="AH396" s="591"/>
      <c r="AI396" s="591"/>
      <c r="AJ396" s="591"/>
      <c r="AK396" s="591"/>
      <c r="AL396" s="572"/>
      <c r="AM396" s="591"/>
      <c r="AN396" s="591"/>
      <c r="AO396" s="591"/>
      <c r="AP396" s="591"/>
      <c r="AQ396" s="591"/>
      <c r="AR396" s="591"/>
      <c r="AS396" s="591"/>
      <c r="AT396" s="591"/>
      <c r="AU396" s="591"/>
      <c r="AV396" s="591"/>
    </row>
    <row r="397" spans="1:48" s="2" customFormat="1">
      <c r="A397" s="559"/>
      <c r="B397" s="490"/>
      <c r="C397" s="498"/>
      <c r="D397" s="498"/>
      <c r="E397" s="498"/>
      <c r="F397" s="498"/>
      <c r="G397" s="498"/>
      <c r="H397" s="498"/>
      <c r="I397" s="498"/>
      <c r="J397" s="498"/>
      <c r="K397" s="498"/>
      <c r="L397" s="498"/>
      <c r="M397" s="498"/>
      <c r="N397" s="498"/>
      <c r="O397" s="498"/>
      <c r="P397" s="498"/>
      <c r="Q397" s="498"/>
      <c r="R397" s="498"/>
      <c r="S397" s="498"/>
      <c r="T397" s="498"/>
      <c r="U397" s="498"/>
      <c r="V397" s="498"/>
      <c r="W397" s="523"/>
      <c r="X397" s="523"/>
      <c r="Y397" s="523"/>
      <c r="Z397" s="523"/>
      <c r="AA397" s="523"/>
      <c r="AB397" s="528"/>
      <c r="AC397" s="521"/>
      <c r="AD397" s="591"/>
      <c r="AE397" s="591"/>
      <c r="AF397" s="591"/>
      <c r="AG397" s="591"/>
      <c r="AH397" s="591"/>
      <c r="AI397" s="591"/>
      <c r="AJ397" s="591"/>
      <c r="AK397" s="591"/>
      <c r="AL397" s="572"/>
      <c r="AM397" s="591"/>
      <c r="AN397" s="591"/>
      <c r="AO397" s="591"/>
      <c r="AP397" s="591"/>
      <c r="AQ397" s="591"/>
      <c r="AR397" s="591"/>
      <c r="AS397" s="591"/>
      <c r="AT397" s="591"/>
      <c r="AU397" s="591"/>
      <c r="AV397" s="591"/>
    </row>
    <row r="398" spans="1:48" s="2" customFormat="1">
      <c r="A398" s="571"/>
      <c r="C398" s="498"/>
      <c r="D398" s="498"/>
      <c r="E398" s="498"/>
      <c r="F398" s="498"/>
      <c r="G398" s="498"/>
      <c r="H398" s="498"/>
      <c r="I398" s="498"/>
      <c r="J398" s="498"/>
      <c r="K398" s="498"/>
      <c r="L398" s="498"/>
      <c r="M398" s="498"/>
      <c r="N398" s="498"/>
      <c r="O398" s="498"/>
      <c r="P398" s="498"/>
      <c r="Q398" s="498"/>
      <c r="R398" s="498"/>
      <c r="S398" s="498"/>
      <c r="T398" s="498"/>
      <c r="U398" s="498"/>
      <c r="V398" s="498"/>
      <c r="W398" s="498"/>
      <c r="X398" s="498"/>
      <c r="Y398" s="498"/>
      <c r="Z398" s="523"/>
      <c r="AA398" s="523"/>
      <c r="AB398" s="528"/>
      <c r="AC398" s="521"/>
      <c r="AD398" s="591"/>
      <c r="AE398" s="591"/>
      <c r="AF398" s="591"/>
      <c r="AG398" s="591"/>
      <c r="AH398" s="591"/>
      <c r="AI398" s="591"/>
      <c r="AJ398" s="591"/>
      <c r="AK398" s="591"/>
      <c r="AL398" s="572"/>
      <c r="AM398" s="591"/>
      <c r="AN398" s="591"/>
      <c r="AO398" s="591"/>
      <c r="AP398" s="591"/>
      <c r="AQ398" s="591"/>
      <c r="AR398" s="591"/>
      <c r="AS398" s="591"/>
      <c r="AT398" s="591"/>
      <c r="AU398" s="591"/>
      <c r="AV398" s="591"/>
    </row>
    <row r="399" spans="1:48" s="2" customFormat="1">
      <c r="A399" s="589"/>
      <c r="C399" s="498"/>
      <c r="D399" s="498"/>
      <c r="E399" s="498"/>
      <c r="F399" s="498"/>
      <c r="G399" s="498"/>
      <c r="H399" s="498"/>
      <c r="I399" s="498"/>
      <c r="J399" s="498"/>
      <c r="K399" s="498"/>
      <c r="L399" s="498"/>
      <c r="M399" s="498"/>
      <c r="N399" s="498"/>
      <c r="O399" s="498"/>
      <c r="P399" s="498"/>
      <c r="Q399" s="498"/>
      <c r="R399" s="498"/>
      <c r="S399" s="498"/>
      <c r="T399" s="498"/>
      <c r="U399" s="498"/>
      <c r="V399" s="498"/>
      <c r="W399" s="498"/>
      <c r="X399" s="498"/>
      <c r="Y399" s="498"/>
      <c r="Z399" s="523"/>
      <c r="AA399" s="523"/>
      <c r="AB399" s="528"/>
      <c r="AC399" s="521"/>
      <c r="AD399" s="591"/>
      <c r="AE399" s="591"/>
      <c r="AF399" s="591"/>
      <c r="AG399" s="591"/>
      <c r="AH399" s="591"/>
      <c r="AI399" s="591"/>
      <c r="AJ399" s="591"/>
      <c r="AK399" s="591"/>
      <c r="AL399" s="572"/>
      <c r="AM399" s="591"/>
      <c r="AN399" s="591"/>
      <c r="AO399" s="591"/>
      <c r="AP399" s="591"/>
      <c r="AQ399" s="591"/>
      <c r="AR399" s="591"/>
      <c r="AS399" s="591"/>
      <c r="AT399" s="591"/>
      <c r="AU399" s="591"/>
      <c r="AV399" s="591"/>
    </row>
    <row r="400" spans="1:48" s="2" customFormat="1">
      <c r="A400" s="589"/>
      <c r="C400" s="498"/>
      <c r="D400" s="498"/>
      <c r="E400" s="498"/>
      <c r="F400" s="498"/>
      <c r="G400" s="498"/>
      <c r="H400" s="498"/>
      <c r="I400" s="498"/>
      <c r="J400" s="498"/>
      <c r="K400" s="498"/>
      <c r="L400" s="498"/>
      <c r="M400" s="498"/>
      <c r="N400" s="498"/>
      <c r="O400" s="498"/>
      <c r="P400" s="498"/>
      <c r="Q400" s="498"/>
      <c r="R400" s="498"/>
      <c r="S400" s="498"/>
      <c r="T400" s="498"/>
      <c r="U400" s="498"/>
      <c r="V400" s="498"/>
      <c r="W400" s="498"/>
      <c r="X400" s="498"/>
      <c r="Y400" s="498"/>
      <c r="Z400" s="498"/>
      <c r="AA400" s="498"/>
      <c r="AB400" s="498"/>
      <c r="AC400" s="498"/>
      <c r="AD400" s="525"/>
      <c r="AE400" s="591"/>
      <c r="AF400" s="591"/>
      <c r="AG400" s="591"/>
      <c r="AH400" s="591"/>
      <c r="AI400" s="591"/>
      <c r="AJ400" s="591"/>
      <c r="AK400" s="591"/>
      <c r="AL400" s="572"/>
      <c r="AM400" s="591"/>
      <c r="AN400" s="591"/>
      <c r="AO400" s="591"/>
      <c r="AP400" s="591"/>
      <c r="AQ400" s="591"/>
      <c r="AR400" s="591"/>
      <c r="AS400" s="591"/>
      <c r="AT400" s="591"/>
      <c r="AU400" s="591"/>
      <c r="AV400" s="591"/>
    </row>
    <row r="401" spans="1:48" s="2" customFormat="1">
      <c r="A401" s="592"/>
      <c r="C401" s="498"/>
      <c r="D401" s="498"/>
      <c r="E401" s="498"/>
      <c r="F401" s="498"/>
      <c r="G401" s="498"/>
      <c r="H401" s="498"/>
      <c r="I401" s="498"/>
      <c r="J401" s="498"/>
      <c r="K401" s="498"/>
      <c r="L401" s="498"/>
      <c r="M401" s="498"/>
      <c r="N401" s="498"/>
      <c r="O401" s="498"/>
      <c r="P401" s="498"/>
      <c r="Q401" s="498"/>
      <c r="R401" s="498"/>
      <c r="S401" s="498"/>
      <c r="T401" s="498"/>
      <c r="U401" s="498"/>
      <c r="V401" s="498"/>
      <c r="W401" s="498"/>
      <c r="X401" s="498"/>
      <c r="Y401" s="498"/>
      <c r="Z401" s="498"/>
      <c r="AA401" s="498"/>
      <c r="AB401" s="528"/>
      <c r="AC401" s="521"/>
      <c r="AD401" s="525"/>
      <c r="AE401" s="591"/>
      <c r="AF401" s="591"/>
      <c r="AG401" s="591"/>
      <c r="AH401" s="591"/>
      <c r="AI401" s="591"/>
      <c r="AJ401" s="591"/>
      <c r="AK401" s="591"/>
      <c r="AL401" s="572"/>
      <c r="AM401" s="591"/>
      <c r="AN401" s="591"/>
      <c r="AO401" s="591"/>
      <c r="AP401" s="591"/>
      <c r="AQ401" s="591"/>
      <c r="AR401" s="591"/>
      <c r="AS401" s="591"/>
      <c r="AT401" s="591"/>
      <c r="AU401" s="591"/>
      <c r="AV401" s="591"/>
    </row>
    <row r="402" spans="1:48" s="2" customFormat="1">
      <c r="A402" s="559"/>
      <c r="B402" s="586"/>
      <c r="C402" s="498"/>
      <c r="D402" s="498"/>
      <c r="E402" s="498"/>
      <c r="F402" s="498"/>
      <c r="G402" s="498"/>
      <c r="H402" s="498"/>
      <c r="I402" s="498"/>
      <c r="J402" s="498"/>
      <c r="K402" s="498"/>
      <c r="L402" s="498"/>
      <c r="M402" s="498"/>
      <c r="N402" s="498"/>
      <c r="O402" s="498"/>
      <c r="P402" s="498"/>
      <c r="Q402" s="498"/>
      <c r="R402" s="498"/>
      <c r="S402" s="498"/>
      <c r="T402" s="498"/>
      <c r="U402" s="498"/>
      <c r="V402" s="498"/>
      <c r="W402" s="498"/>
      <c r="X402" s="498"/>
      <c r="Y402" s="498"/>
      <c r="Z402" s="498"/>
      <c r="AA402" s="498"/>
      <c r="AB402" s="528"/>
      <c r="AD402" s="551"/>
      <c r="AE402" s="528"/>
      <c r="AF402" s="528"/>
      <c r="AH402" s="588"/>
      <c r="AT402" s="572"/>
      <c r="AU402" s="572"/>
      <c r="AV402" s="572"/>
    </row>
    <row r="403" spans="1:48" s="2" customFormat="1">
      <c r="A403" s="571"/>
      <c r="C403" s="498"/>
      <c r="D403" s="498"/>
      <c r="E403" s="498"/>
      <c r="F403" s="498"/>
      <c r="G403" s="498"/>
      <c r="H403" s="498"/>
      <c r="I403" s="498"/>
      <c r="J403" s="498"/>
      <c r="K403" s="498"/>
      <c r="L403" s="498"/>
      <c r="M403" s="498"/>
      <c r="N403" s="498"/>
      <c r="O403" s="498"/>
      <c r="P403" s="498"/>
      <c r="Q403" s="498"/>
      <c r="R403" s="498"/>
      <c r="S403" s="498"/>
      <c r="T403" s="498"/>
      <c r="U403" s="498"/>
      <c r="V403" s="498"/>
      <c r="W403" s="498"/>
      <c r="X403" s="498"/>
      <c r="Y403" s="525"/>
      <c r="Z403" s="525"/>
      <c r="AA403" s="525"/>
      <c r="AB403" s="528"/>
      <c r="AC403" s="526"/>
      <c r="AD403" s="572"/>
      <c r="AE403" s="528"/>
      <c r="AF403" s="528"/>
      <c r="AG403" s="528"/>
      <c r="AH403" s="588"/>
      <c r="AI403" s="572"/>
      <c r="AJ403" s="572"/>
      <c r="AK403" s="572"/>
      <c r="AL403" s="572"/>
      <c r="AM403" s="572"/>
      <c r="AN403" s="572"/>
      <c r="AO403" s="572"/>
      <c r="AP403" s="572"/>
      <c r="AQ403" s="572"/>
      <c r="AR403" s="572"/>
      <c r="AS403" s="572"/>
      <c r="AT403" s="572"/>
      <c r="AU403" s="572"/>
      <c r="AV403" s="572"/>
    </row>
    <row r="404" spans="1:48" s="2" customFormat="1">
      <c r="A404" s="589"/>
      <c r="C404" s="498"/>
      <c r="D404" s="498"/>
      <c r="E404" s="498"/>
      <c r="F404" s="498"/>
      <c r="G404" s="498"/>
      <c r="H404" s="498"/>
      <c r="I404" s="498"/>
      <c r="J404" s="498"/>
      <c r="K404" s="498"/>
      <c r="L404" s="498"/>
      <c r="M404" s="498"/>
      <c r="N404" s="498"/>
      <c r="O404" s="498"/>
      <c r="P404" s="498"/>
      <c r="Q404" s="498"/>
      <c r="R404" s="498"/>
      <c r="S404" s="498"/>
      <c r="T404" s="498"/>
      <c r="U404" s="498"/>
      <c r="V404" s="498"/>
      <c r="W404" s="590"/>
      <c r="X404" s="590"/>
      <c r="Y404" s="590"/>
      <c r="Z404" s="590"/>
      <c r="AA404" s="590"/>
      <c r="AB404" s="526"/>
      <c r="AC404" s="526"/>
      <c r="AD404" s="572"/>
      <c r="AE404" s="528"/>
      <c r="AF404" s="526"/>
      <c r="AG404" s="526"/>
      <c r="AH404" s="588"/>
      <c r="AI404" s="572"/>
      <c r="AJ404" s="572"/>
      <c r="AK404" s="572"/>
      <c r="AL404" s="572"/>
      <c r="AM404" s="572"/>
      <c r="AN404" s="572"/>
      <c r="AO404" s="572"/>
      <c r="AP404" s="572"/>
      <c r="AQ404" s="572"/>
      <c r="AR404" s="572"/>
      <c r="AS404" s="572"/>
      <c r="AT404" s="572"/>
      <c r="AU404" s="572"/>
      <c r="AV404" s="572"/>
    </row>
    <row r="405" spans="1:48" s="2" customFormat="1">
      <c r="A405" s="589"/>
      <c r="C405" s="498"/>
      <c r="D405" s="498"/>
      <c r="E405" s="498"/>
      <c r="F405" s="498"/>
      <c r="G405" s="498"/>
      <c r="H405" s="498"/>
      <c r="I405" s="498"/>
      <c r="J405" s="498"/>
      <c r="K405" s="498"/>
      <c r="L405" s="498"/>
      <c r="M405" s="498"/>
      <c r="N405" s="498"/>
      <c r="O405" s="498"/>
      <c r="P405" s="498"/>
      <c r="Q405" s="498"/>
      <c r="R405" s="498"/>
      <c r="S405" s="498"/>
      <c r="T405" s="498"/>
      <c r="U405" s="498"/>
      <c r="V405" s="498"/>
      <c r="W405" s="590"/>
      <c r="X405" s="590"/>
      <c r="Y405" s="590"/>
      <c r="Z405" s="590"/>
      <c r="AA405" s="590"/>
      <c r="AB405" s="526"/>
      <c r="AC405" s="526"/>
      <c r="AD405" s="572"/>
      <c r="AE405" s="526"/>
      <c r="AF405" s="528"/>
      <c r="AG405" s="528"/>
      <c r="AH405" s="588"/>
      <c r="AI405" s="572"/>
      <c r="AJ405" s="572"/>
      <c r="AK405" s="572"/>
      <c r="AL405" s="572"/>
      <c r="AM405" s="572"/>
      <c r="AN405" s="572"/>
      <c r="AO405" s="572"/>
      <c r="AP405" s="572"/>
      <c r="AQ405" s="572"/>
      <c r="AR405" s="572"/>
      <c r="AS405" s="572"/>
      <c r="AT405" s="572"/>
      <c r="AU405" s="572"/>
      <c r="AV405" s="572"/>
    </row>
    <row r="406" spans="1:48" s="2" customFormat="1">
      <c r="A406" s="589"/>
      <c r="C406" s="498"/>
      <c r="D406" s="498"/>
      <c r="E406" s="498"/>
      <c r="F406" s="498"/>
      <c r="G406" s="498"/>
      <c r="H406" s="498"/>
      <c r="I406" s="498"/>
      <c r="J406" s="498"/>
      <c r="K406" s="498"/>
      <c r="L406" s="498"/>
      <c r="M406" s="498"/>
      <c r="N406" s="498"/>
      <c r="O406" s="498"/>
      <c r="P406" s="498"/>
      <c r="Q406" s="498"/>
      <c r="R406" s="498"/>
      <c r="S406" s="498"/>
      <c r="T406" s="498"/>
      <c r="U406" s="498"/>
      <c r="V406" s="498"/>
      <c r="W406" s="590"/>
      <c r="X406" s="590"/>
      <c r="Y406" s="590"/>
      <c r="Z406" s="590"/>
      <c r="AA406" s="590"/>
      <c r="AB406" s="526"/>
      <c r="AC406" s="526"/>
      <c r="AD406" s="572"/>
      <c r="AE406" s="528"/>
      <c r="AF406" s="528"/>
      <c r="AG406" s="528"/>
      <c r="AH406" s="588"/>
      <c r="AI406" s="572"/>
      <c r="AJ406" s="572"/>
      <c r="AK406" s="572"/>
      <c r="AL406" s="572"/>
      <c r="AM406" s="572"/>
      <c r="AN406" s="572"/>
      <c r="AO406" s="572"/>
      <c r="AP406" s="572"/>
      <c r="AQ406" s="572"/>
      <c r="AR406" s="572"/>
      <c r="AS406" s="572"/>
      <c r="AT406" s="572"/>
      <c r="AU406" s="572"/>
      <c r="AV406" s="572"/>
    </row>
    <row r="407" spans="1:48" s="2" customFormat="1">
      <c r="A407" s="589"/>
      <c r="C407" s="498"/>
      <c r="D407" s="498"/>
      <c r="E407" s="498"/>
      <c r="F407" s="498"/>
      <c r="G407" s="498"/>
      <c r="H407" s="498"/>
      <c r="I407" s="498"/>
      <c r="J407" s="498"/>
      <c r="K407" s="498"/>
      <c r="L407" s="498"/>
      <c r="M407" s="498"/>
      <c r="N407" s="498"/>
      <c r="O407" s="498"/>
      <c r="P407" s="498"/>
      <c r="Q407" s="498"/>
      <c r="R407" s="498"/>
      <c r="S407" s="498"/>
      <c r="T407" s="498"/>
      <c r="U407" s="498"/>
      <c r="V407" s="498"/>
      <c r="W407" s="590"/>
      <c r="X407" s="590"/>
      <c r="Y407" s="590"/>
      <c r="Z407" s="590"/>
      <c r="AA407" s="590"/>
      <c r="AB407" s="526"/>
      <c r="AC407" s="526"/>
      <c r="AD407" s="572"/>
      <c r="AE407" s="528"/>
      <c r="AF407" s="528"/>
      <c r="AG407" s="528"/>
      <c r="AH407" s="588"/>
      <c r="AI407" s="572"/>
      <c r="AJ407" s="572"/>
      <c r="AK407" s="572"/>
      <c r="AL407" s="572"/>
      <c r="AM407" s="572"/>
      <c r="AN407" s="572"/>
      <c r="AO407" s="572"/>
      <c r="AP407" s="572"/>
      <c r="AQ407" s="572"/>
      <c r="AR407" s="572"/>
      <c r="AS407" s="572"/>
      <c r="AT407" s="572"/>
      <c r="AU407" s="572"/>
      <c r="AV407" s="572"/>
    </row>
    <row r="408" spans="1:48" s="2" customFormat="1">
      <c r="A408" s="589"/>
      <c r="C408" s="498"/>
      <c r="D408" s="498"/>
      <c r="E408" s="498"/>
      <c r="F408" s="498"/>
      <c r="G408" s="498"/>
      <c r="H408" s="498"/>
      <c r="I408" s="498"/>
      <c r="J408" s="498"/>
      <c r="K408" s="498"/>
      <c r="L408" s="498"/>
      <c r="M408" s="498"/>
      <c r="N408" s="498"/>
      <c r="O408" s="498"/>
      <c r="P408" s="498"/>
      <c r="Q408" s="498"/>
      <c r="R408" s="498"/>
      <c r="S408" s="498"/>
      <c r="T408" s="498"/>
      <c r="U408" s="498"/>
      <c r="V408" s="498"/>
      <c r="W408" s="590"/>
      <c r="X408" s="590"/>
      <c r="Y408" s="590"/>
      <c r="Z408" s="590"/>
      <c r="AA408" s="590"/>
      <c r="AB408" s="526"/>
      <c r="AC408" s="526"/>
      <c r="AD408" s="572"/>
      <c r="AE408" s="528"/>
      <c r="AF408" s="528"/>
      <c r="AG408" s="528"/>
      <c r="AH408" s="588"/>
      <c r="AI408" s="572"/>
      <c r="AJ408" s="572"/>
      <c r="AK408" s="572"/>
      <c r="AL408" s="572"/>
      <c r="AM408" s="572"/>
      <c r="AN408" s="572"/>
      <c r="AO408" s="572"/>
      <c r="AP408" s="572"/>
      <c r="AQ408" s="572"/>
      <c r="AR408" s="572"/>
      <c r="AS408" s="572"/>
      <c r="AT408" s="572"/>
      <c r="AU408" s="572"/>
      <c r="AV408" s="572"/>
    </row>
    <row r="409" spans="1:48" s="2" customFormat="1">
      <c r="A409" s="589"/>
      <c r="C409" s="498"/>
      <c r="D409" s="498"/>
      <c r="E409" s="498"/>
      <c r="F409" s="498"/>
      <c r="G409" s="498"/>
      <c r="H409" s="498"/>
      <c r="I409" s="498"/>
      <c r="J409" s="498"/>
      <c r="K409" s="498"/>
      <c r="L409" s="498"/>
      <c r="M409" s="498"/>
      <c r="N409" s="498"/>
      <c r="O409" s="498"/>
      <c r="P409" s="498"/>
      <c r="Q409" s="498"/>
      <c r="R409" s="498"/>
      <c r="S409" s="498"/>
      <c r="T409" s="498"/>
      <c r="U409" s="498"/>
      <c r="V409" s="498"/>
      <c r="W409" s="590"/>
      <c r="X409" s="590"/>
      <c r="Y409" s="590"/>
      <c r="Z409" s="590"/>
      <c r="AA409" s="590"/>
      <c r="AB409" s="526"/>
      <c r="AC409" s="526"/>
      <c r="AD409" s="572"/>
      <c r="AE409" s="528"/>
      <c r="AF409" s="528"/>
      <c r="AG409" s="528"/>
      <c r="AH409" s="588"/>
      <c r="AI409" s="572"/>
      <c r="AJ409" s="572"/>
      <c r="AK409" s="572"/>
      <c r="AL409" s="572"/>
      <c r="AM409" s="572"/>
      <c r="AN409" s="572"/>
      <c r="AO409" s="572"/>
      <c r="AP409" s="572"/>
      <c r="AQ409" s="572"/>
      <c r="AR409" s="572"/>
      <c r="AS409" s="572"/>
      <c r="AT409" s="572"/>
      <c r="AU409" s="572"/>
      <c r="AV409" s="572"/>
    </row>
    <row r="410" spans="1:48" s="2" customFormat="1">
      <c r="A410" s="589"/>
      <c r="C410" s="498"/>
      <c r="D410" s="498"/>
      <c r="E410" s="498"/>
      <c r="F410" s="498"/>
      <c r="G410" s="498"/>
      <c r="H410" s="498"/>
      <c r="I410" s="498"/>
      <c r="J410" s="498"/>
      <c r="K410" s="498"/>
      <c r="L410" s="498"/>
      <c r="M410" s="498"/>
      <c r="N410" s="498"/>
      <c r="O410" s="498"/>
      <c r="P410" s="498"/>
      <c r="Q410" s="498"/>
      <c r="R410" s="498"/>
      <c r="S410" s="498"/>
      <c r="T410" s="498"/>
      <c r="U410" s="498"/>
      <c r="V410" s="498"/>
      <c r="W410" s="590"/>
      <c r="X410" s="590"/>
      <c r="Y410" s="590"/>
      <c r="Z410" s="590"/>
      <c r="AA410" s="590"/>
      <c r="AB410" s="526"/>
      <c r="AC410" s="526"/>
      <c r="AD410" s="572"/>
      <c r="AE410" s="528"/>
      <c r="AF410" s="528"/>
      <c r="AG410" s="528"/>
      <c r="AH410" s="588"/>
      <c r="AI410" s="572"/>
      <c r="AJ410" s="572"/>
      <c r="AK410" s="572"/>
      <c r="AL410" s="572"/>
      <c r="AM410" s="572"/>
      <c r="AN410" s="572"/>
      <c r="AO410" s="572"/>
      <c r="AP410" s="572"/>
      <c r="AQ410" s="572"/>
      <c r="AR410" s="572"/>
      <c r="AS410" s="572"/>
      <c r="AT410" s="572"/>
      <c r="AU410" s="572"/>
      <c r="AV410" s="572"/>
    </row>
    <row r="411" spans="1:48" s="2" customFormat="1">
      <c r="A411" s="589"/>
      <c r="C411" s="498"/>
      <c r="D411" s="498"/>
      <c r="E411" s="498"/>
      <c r="F411" s="498"/>
      <c r="G411" s="498"/>
      <c r="H411" s="498"/>
      <c r="I411" s="498"/>
      <c r="J411" s="498"/>
      <c r="K411" s="498"/>
      <c r="L411" s="498"/>
      <c r="M411" s="498"/>
      <c r="N411" s="498"/>
      <c r="O411" s="498"/>
      <c r="P411" s="498"/>
      <c r="Q411" s="498"/>
      <c r="R411" s="498"/>
      <c r="S411" s="498"/>
      <c r="T411" s="498"/>
      <c r="U411" s="498"/>
      <c r="V411" s="498"/>
      <c r="W411" s="590"/>
      <c r="X411" s="590"/>
      <c r="Y411" s="590"/>
      <c r="Z411" s="590"/>
      <c r="AA411" s="590"/>
      <c r="AB411" s="526"/>
      <c r="AC411" s="526"/>
      <c r="AD411" s="572"/>
      <c r="AE411" s="528"/>
      <c r="AF411" s="528"/>
      <c r="AG411" s="528"/>
      <c r="AH411" s="588"/>
      <c r="AI411" s="572"/>
      <c r="AJ411" s="572"/>
      <c r="AK411" s="572"/>
      <c r="AL411" s="572"/>
      <c r="AM411" s="572"/>
      <c r="AN411" s="572"/>
      <c r="AO411" s="572"/>
      <c r="AP411" s="572"/>
      <c r="AQ411" s="572"/>
      <c r="AR411" s="572"/>
      <c r="AS411" s="572"/>
      <c r="AT411" s="528"/>
      <c r="AU411" s="528"/>
      <c r="AV411" s="528"/>
    </row>
    <row r="412" spans="1:48" s="2" customFormat="1">
      <c r="A412" s="556"/>
      <c r="B412" s="490"/>
      <c r="AA412" s="498"/>
      <c r="AB412" s="528"/>
      <c r="AD412" s="551"/>
      <c r="AE412" s="528"/>
      <c r="AF412" s="528"/>
      <c r="AG412" s="528"/>
      <c r="AH412" s="588"/>
      <c r="AI412" s="528"/>
      <c r="AJ412" s="528"/>
      <c r="AK412" s="528"/>
      <c r="AL412" s="572"/>
      <c r="AM412" s="528"/>
      <c r="AN412" s="528"/>
      <c r="AO412" s="528"/>
      <c r="AP412" s="528"/>
      <c r="AQ412" s="528"/>
      <c r="AR412" s="528"/>
      <c r="AS412" s="528"/>
      <c r="AT412" s="308"/>
      <c r="AU412" s="308"/>
      <c r="AV412" s="308"/>
    </row>
    <row r="413" spans="1:48" s="2" customFormat="1">
      <c r="A413" s="571"/>
      <c r="C413" s="498"/>
      <c r="D413" s="498"/>
      <c r="E413" s="498"/>
      <c r="F413" s="498"/>
      <c r="G413" s="498"/>
      <c r="H413" s="498"/>
      <c r="I413" s="498"/>
      <c r="J413" s="498"/>
      <c r="K413" s="498"/>
      <c r="L413" s="498"/>
      <c r="M413" s="498"/>
      <c r="N413" s="498"/>
      <c r="O413" s="498"/>
      <c r="P413" s="498"/>
      <c r="Q413" s="498"/>
      <c r="R413" s="498"/>
      <c r="S413" s="498"/>
      <c r="T413" s="498"/>
      <c r="U413" s="498"/>
      <c r="V413" s="498"/>
      <c r="W413" s="498"/>
      <c r="X413" s="498"/>
      <c r="Y413" s="498"/>
      <c r="Z413" s="498"/>
      <c r="AA413" s="498"/>
      <c r="AB413" s="232"/>
      <c r="AD413" s="573"/>
      <c r="AE413" s="232"/>
      <c r="AF413" s="232"/>
      <c r="AG413" s="524"/>
      <c r="AH413" s="588"/>
      <c r="AI413" s="308"/>
      <c r="AJ413" s="308"/>
      <c r="AK413" s="308"/>
      <c r="AL413" s="509"/>
      <c r="AM413" s="308"/>
      <c r="AN413" s="308"/>
      <c r="AO413" s="308"/>
      <c r="AP413" s="308"/>
      <c r="AQ413" s="308"/>
      <c r="AR413" s="308"/>
      <c r="AS413" s="308"/>
      <c r="AT413" s="308"/>
      <c r="AU413" s="308"/>
      <c r="AV413" s="308"/>
    </row>
    <row r="414" spans="1:48" s="2" customFormat="1">
      <c r="A414" s="589"/>
      <c r="C414" s="498"/>
      <c r="D414" s="498"/>
      <c r="E414" s="498"/>
      <c r="F414" s="498"/>
      <c r="G414" s="498"/>
      <c r="H414" s="498"/>
      <c r="I414" s="498"/>
      <c r="J414" s="498"/>
      <c r="K414" s="498"/>
      <c r="L414" s="498"/>
      <c r="M414" s="498"/>
      <c r="N414" s="498"/>
      <c r="O414" s="498"/>
      <c r="P414" s="498"/>
      <c r="Q414" s="498"/>
      <c r="R414" s="498"/>
      <c r="S414" s="498"/>
      <c r="T414" s="498"/>
      <c r="U414" s="498"/>
      <c r="V414" s="498"/>
      <c r="W414" s="523"/>
      <c r="X414" s="523"/>
      <c r="Y414" s="523"/>
      <c r="Z414" s="523"/>
      <c r="AA414" s="523"/>
      <c r="AB414" s="507"/>
      <c r="AD414" s="573"/>
      <c r="AE414" s="232"/>
      <c r="AF414" s="232"/>
      <c r="AG414" s="232"/>
      <c r="AH414" s="588"/>
      <c r="AI414" s="308"/>
      <c r="AJ414" s="308"/>
      <c r="AK414" s="308"/>
      <c r="AL414" s="509"/>
      <c r="AM414" s="308"/>
      <c r="AN414" s="308"/>
      <c r="AO414" s="308"/>
      <c r="AP414" s="308"/>
      <c r="AQ414" s="308"/>
      <c r="AR414" s="308"/>
      <c r="AS414" s="308"/>
      <c r="AT414" s="308"/>
      <c r="AU414" s="308"/>
      <c r="AV414" s="308"/>
    </row>
    <row r="415" spans="1:48" s="2" customFormat="1">
      <c r="A415" s="589"/>
      <c r="C415" s="498"/>
      <c r="D415" s="498"/>
      <c r="E415" s="498"/>
      <c r="F415" s="498"/>
      <c r="G415" s="498"/>
      <c r="H415" s="498"/>
      <c r="I415" s="498"/>
      <c r="J415" s="498"/>
      <c r="K415" s="498"/>
      <c r="L415" s="498"/>
      <c r="M415" s="498"/>
      <c r="N415" s="498"/>
      <c r="O415" s="498"/>
      <c r="P415" s="498"/>
      <c r="Q415" s="498"/>
      <c r="R415" s="498"/>
      <c r="S415" s="498"/>
      <c r="T415" s="498"/>
      <c r="U415" s="498"/>
      <c r="V415" s="498"/>
      <c r="W415" s="523"/>
      <c r="X415" s="523"/>
      <c r="Y415" s="523"/>
      <c r="Z415" s="523"/>
      <c r="AA415" s="523"/>
      <c r="AD415" s="573"/>
      <c r="AE415" s="232"/>
      <c r="AF415" s="232"/>
      <c r="AG415" s="232"/>
      <c r="AH415" s="588"/>
      <c r="AI415" s="308"/>
      <c r="AJ415" s="308"/>
      <c r="AK415" s="308"/>
      <c r="AL415" s="509"/>
      <c r="AM415" s="308"/>
      <c r="AN415" s="308"/>
      <c r="AO415" s="308"/>
      <c r="AP415" s="308"/>
      <c r="AQ415" s="308"/>
      <c r="AR415" s="308"/>
      <c r="AS415" s="308"/>
      <c r="AT415" s="308"/>
      <c r="AU415" s="308"/>
      <c r="AV415" s="308"/>
    </row>
    <row r="416" spans="1:48" s="2" customFormat="1">
      <c r="A416" s="589"/>
      <c r="C416" s="498"/>
      <c r="D416" s="498"/>
      <c r="E416" s="498"/>
      <c r="F416" s="498"/>
      <c r="G416" s="498"/>
      <c r="H416" s="498"/>
      <c r="I416" s="498"/>
      <c r="J416" s="498"/>
      <c r="K416" s="498"/>
      <c r="L416" s="498"/>
      <c r="M416" s="498"/>
      <c r="N416" s="498"/>
      <c r="O416" s="498"/>
      <c r="P416" s="498"/>
      <c r="Q416" s="498"/>
      <c r="R416" s="498"/>
      <c r="S416" s="498"/>
      <c r="T416" s="498"/>
      <c r="U416" s="498"/>
      <c r="V416" s="498"/>
      <c r="W416" s="523"/>
      <c r="X416" s="523"/>
      <c r="Y416" s="523"/>
      <c r="Z416" s="523"/>
      <c r="AA416" s="523"/>
      <c r="AD416" s="573"/>
      <c r="AE416" s="232"/>
      <c r="AF416" s="232"/>
      <c r="AG416" s="232"/>
      <c r="AH416" s="588"/>
      <c r="AI416" s="308"/>
      <c r="AJ416" s="308"/>
      <c r="AK416" s="308"/>
      <c r="AL416" s="509"/>
      <c r="AM416" s="308"/>
      <c r="AN416" s="308"/>
      <c r="AO416" s="308"/>
      <c r="AP416" s="308"/>
      <c r="AQ416" s="308"/>
      <c r="AR416" s="308"/>
      <c r="AS416" s="308"/>
      <c r="AT416" s="308"/>
      <c r="AU416" s="308"/>
      <c r="AV416" s="308"/>
    </row>
    <row r="417" spans="1:48" s="2" customFormat="1">
      <c r="A417" s="589"/>
      <c r="C417" s="498"/>
      <c r="D417" s="498"/>
      <c r="E417" s="498"/>
      <c r="F417" s="498"/>
      <c r="G417" s="498"/>
      <c r="H417" s="498"/>
      <c r="I417" s="498"/>
      <c r="J417" s="498"/>
      <c r="K417" s="498"/>
      <c r="L417" s="498"/>
      <c r="M417" s="498"/>
      <c r="N417" s="498"/>
      <c r="O417" s="498"/>
      <c r="P417" s="498"/>
      <c r="Q417" s="498"/>
      <c r="R417" s="498"/>
      <c r="S417" s="498"/>
      <c r="T417" s="498"/>
      <c r="U417" s="498"/>
      <c r="V417" s="498"/>
      <c r="W417" s="523"/>
      <c r="X417" s="523"/>
      <c r="Y417" s="523"/>
      <c r="Z417" s="523"/>
      <c r="AA417" s="523"/>
      <c r="AD417" s="573"/>
      <c r="AE417" s="232"/>
      <c r="AF417" s="232"/>
      <c r="AG417" s="232"/>
      <c r="AH417" s="588"/>
      <c r="AI417" s="308"/>
      <c r="AJ417" s="308"/>
      <c r="AK417" s="308"/>
      <c r="AL417" s="509"/>
      <c r="AM417" s="308"/>
      <c r="AN417" s="308"/>
      <c r="AO417" s="308"/>
      <c r="AP417" s="308"/>
      <c r="AQ417" s="308"/>
      <c r="AR417" s="308"/>
      <c r="AS417" s="308"/>
      <c r="AT417" s="308"/>
      <c r="AU417" s="308"/>
      <c r="AV417" s="308"/>
    </row>
    <row r="418" spans="1:48" s="2" customFormat="1">
      <c r="A418" s="589"/>
      <c r="C418" s="498"/>
      <c r="D418" s="498"/>
      <c r="E418" s="498"/>
      <c r="F418" s="498"/>
      <c r="G418" s="498"/>
      <c r="H418" s="498"/>
      <c r="I418" s="498"/>
      <c r="J418" s="498"/>
      <c r="K418" s="498"/>
      <c r="L418" s="498"/>
      <c r="M418" s="498"/>
      <c r="N418" s="498"/>
      <c r="O418" s="498"/>
      <c r="P418" s="498"/>
      <c r="Q418" s="498"/>
      <c r="R418" s="498"/>
      <c r="S418" s="498"/>
      <c r="T418" s="498"/>
      <c r="U418" s="498"/>
      <c r="V418" s="498"/>
      <c r="W418" s="523"/>
      <c r="X418" s="523"/>
      <c r="Y418" s="523"/>
      <c r="Z418" s="523"/>
      <c r="AA418" s="523"/>
      <c r="AD418" s="573"/>
      <c r="AE418" s="232"/>
      <c r="AF418" s="232"/>
      <c r="AG418" s="232"/>
      <c r="AH418" s="588"/>
      <c r="AI418" s="308"/>
      <c r="AJ418" s="308"/>
      <c r="AK418" s="308"/>
      <c r="AL418" s="509"/>
      <c r="AM418" s="308"/>
      <c r="AN418" s="308"/>
      <c r="AO418" s="308"/>
      <c r="AP418" s="308"/>
      <c r="AQ418" s="308"/>
      <c r="AR418" s="308"/>
      <c r="AS418" s="308"/>
      <c r="AT418" s="308"/>
      <c r="AU418" s="308"/>
      <c r="AV418" s="308"/>
    </row>
    <row r="419" spans="1:48" s="2" customFormat="1">
      <c r="A419" s="589"/>
      <c r="C419" s="498"/>
      <c r="D419" s="498"/>
      <c r="E419" s="498"/>
      <c r="F419" s="498"/>
      <c r="G419" s="498"/>
      <c r="H419" s="498"/>
      <c r="I419" s="498"/>
      <c r="J419" s="498"/>
      <c r="K419" s="498"/>
      <c r="L419" s="498"/>
      <c r="M419" s="498"/>
      <c r="N419" s="498"/>
      <c r="O419" s="498"/>
      <c r="P419" s="498"/>
      <c r="Q419" s="498"/>
      <c r="R419" s="498"/>
      <c r="S419" s="498"/>
      <c r="T419" s="498"/>
      <c r="U419" s="498"/>
      <c r="V419" s="498"/>
      <c r="W419" s="523"/>
      <c r="X419" s="523"/>
      <c r="Y419" s="523"/>
      <c r="Z419" s="523"/>
      <c r="AA419" s="523"/>
      <c r="AC419" s="507"/>
      <c r="AD419" s="573"/>
      <c r="AE419" s="232"/>
      <c r="AF419" s="232"/>
      <c r="AG419" s="232"/>
      <c r="AH419" s="588"/>
      <c r="AI419" s="308"/>
      <c r="AJ419" s="308"/>
      <c r="AK419" s="308"/>
      <c r="AL419" s="509"/>
      <c r="AM419" s="308"/>
      <c r="AN419" s="308"/>
      <c r="AO419" s="308"/>
      <c r="AP419" s="308"/>
      <c r="AQ419" s="308"/>
      <c r="AR419" s="308"/>
      <c r="AS419" s="308"/>
      <c r="AT419" s="308"/>
      <c r="AU419" s="308"/>
      <c r="AV419" s="308"/>
    </row>
    <row r="420" spans="1:48" s="2" customFormat="1">
      <c r="A420" s="589"/>
      <c r="C420" s="498"/>
      <c r="D420" s="498"/>
      <c r="E420" s="498"/>
      <c r="F420" s="498"/>
      <c r="G420" s="498"/>
      <c r="H420" s="498"/>
      <c r="I420" s="498"/>
      <c r="J420" s="498"/>
      <c r="K420" s="498"/>
      <c r="L420" s="498"/>
      <c r="M420" s="498"/>
      <c r="N420" s="498"/>
      <c r="O420" s="498"/>
      <c r="P420" s="498"/>
      <c r="Q420" s="498"/>
      <c r="R420" s="498"/>
      <c r="S420" s="498"/>
      <c r="T420" s="498"/>
      <c r="U420" s="498"/>
      <c r="V420" s="498"/>
      <c r="W420" s="523"/>
      <c r="X420" s="523"/>
      <c r="Y420" s="523"/>
      <c r="Z420" s="523"/>
      <c r="AA420" s="523"/>
      <c r="AD420" s="573"/>
      <c r="AE420" s="232"/>
      <c r="AF420" s="232"/>
      <c r="AG420" s="232"/>
      <c r="AH420" s="588"/>
      <c r="AI420" s="308"/>
      <c r="AJ420" s="308"/>
      <c r="AK420" s="308"/>
      <c r="AL420" s="509"/>
      <c r="AM420" s="308"/>
      <c r="AN420" s="308"/>
      <c r="AO420" s="308"/>
      <c r="AP420" s="308"/>
      <c r="AQ420" s="308"/>
      <c r="AR420" s="308"/>
      <c r="AS420" s="308"/>
      <c r="AT420" s="308"/>
      <c r="AU420" s="308"/>
    </row>
    <row r="421" spans="1:48" s="2" customFormat="1">
      <c r="A421" s="589"/>
      <c r="C421" s="498"/>
      <c r="D421" s="498"/>
      <c r="E421" s="498"/>
      <c r="F421" s="498"/>
      <c r="G421" s="498"/>
      <c r="H421" s="498"/>
      <c r="I421" s="498"/>
      <c r="J421" s="498"/>
      <c r="K421" s="498"/>
      <c r="L421" s="498"/>
      <c r="M421" s="498"/>
      <c r="N421" s="498"/>
      <c r="O421" s="498"/>
      <c r="P421" s="498"/>
      <c r="Q421" s="498"/>
      <c r="R421" s="498"/>
      <c r="S421" s="498"/>
      <c r="T421" s="498"/>
      <c r="U421" s="498"/>
      <c r="V421" s="498"/>
      <c r="W421" s="523"/>
      <c r="X421" s="523"/>
      <c r="Y421" s="523"/>
      <c r="Z421" s="523"/>
      <c r="AA421" s="523"/>
      <c r="AC421" s="507"/>
      <c r="AD421" s="573"/>
      <c r="AE421" s="232"/>
      <c r="AF421" s="232"/>
      <c r="AG421" s="232"/>
      <c r="AH421" s="588"/>
      <c r="AI421" s="308"/>
      <c r="AJ421" s="308"/>
      <c r="AK421" s="308"/>
      <c r="AL421" s="509"/>
      <c r="AM421" s="308"/>
      <c r="AN421" s="308"/>
      <c r="AO421" s="308"/>
      <c r="AP421" s="308"/>
      <c r="AQ421" s="308"/>
      <c r="AR421" s="308"/>
      <c r="AS421" s="308"/>
      <c r="AV421" s="232"/>
    </row>
    <row r="422" spans="1:48" s="2" customFormat="1">
      <c r="A422" s="592"/>
      <c r="B422" s="490"/>
      <c r="C422" s="498"/>
      <c r="D422" s="498"/>
      <c r="E422" s="498"/>
      <c r="F422" s="498"/>
      <c r="G422" s="498"/>
      <c r="H422" s="498"/>
      <c r="I422" s="498"/>
      <c r="J422" s="498"/>
      <c r="K422" s="498"/>
      <c r="L422" s="498"/>
      <c r="M422" s="498"/>
      <c r="N422" s="498"/>
      <c r="O422" s="498"/>
      <c r="P422" s="498"/>
      <c r="Q422" s="498"/>
      <c r="R422" s="498"/>
      <c r="S422" s="498"/>
      <c r="T422" s="498"/>
      <c r="U422" s="498"/>
      <c r="V422" s="498"/>
      <c r="W422" s="498"/>
      <c r="X422" s="498"/>
      <c r="Y422" s="498"/>
      <c r="Z422" s="498"/>
      <c r="AA422" s="498"/>
      <c r="AB422" s="232"/>
      <c r="AD422" s="525"/>
      <c r="AE422" s="525"/>
      <c r="AF422" s="525"/>
      <c r="AG422" s="525"/>
      <c r="AH422" s="588"/>
      <c r="AI422" s="525"/>
      <c r="AL422" s="572"/>
      <c r="AT422" s="528"/>
      <c r="AU422" s="528"/>
    </row>
    <row r="423" spans="1:48" s="2" customFormat="1">
      <c r="A423" s="593"/>
      <c r="B423" s="586"/>
      <c r="C423" s="498"/>
      <c r="D423" s="498"/>
      <c r="E423" s="498"/>
      <c r="F423" s="498"/>
      <c r="G423" s="498"/>
      <c r="H423" s="498"/>
      <c r="I423" s="498"/>
      <c r="J423" s="498"/>
      <c r="K423" s="498"/>
      <c r="L423" s="498"/>
      <c r="M423" s="498"/>
      <c r="N423" s="498"/>
      <c r="O423" s="498"/>
      <c r="P423" s="498"/>
      <c r="Q423" s="498"/>
      <c r="R423" s="498"/>
      <c r="S423" s="498"/>
      <c r="T423" s="498"/>
      <c r="U423" s="498"/>
      <c r="V423" s="498"/>
      <c r="W423" s="498"/>
      <c r="X423" s="498"/>
      <c r="Y423" s="498"/>
      <c r="Z423" s="498"/>
      <c r="AA423" s="498"/>
      <c r="AB423" s="528"/>
      <c r="AC423" s="526"/>
      <c r="AD423" s="572"/>
      <c r="AE423" s="528"/>
      <c r="AF423" s="528"/>
      <c r="AG423" s="528"/>
      <c r="AH423" s="594"/>
      <c r="AI423" s="528"/>
      <c r="AJ423" s="528"/>
      <c r="AK423" s="528"/>
      <c r="AL423" s="572"/>
      <c r="AM423" s="528"/>
      <c r="AN423" s="528"/>
      <c r="AO423" s="528"/>
      <c r="AP423" s="528"/>
      <c r="AQ423" s="528"/>
      <c r="AR423" s="528"/>
      <c r="AS423" s="528"/>
      <c r="AT423" s="528"/>
      <c r="AU423" s="528"/>
      <c r="AV423" s="528"/>
    </row>
    <row r="424" spans="1:48" s="2" customFormat="1">
      <c r="A424" s="595"/>
      <c r="B424" s="586"/>
      <c r="C424" s="498"/>
      <c r="D424" s="498"/>
      <c r="E424" s="498"/>
      <c r="F424" s="498"/>
      <c r="G424" s="498"/>
      <c r="H424" s="498"/>
      <c r="I424" s="498"/>
      <c r="J424" s="498"/>
      <c r="K424" s="498"/>
      <c r="L424" s="498"/>
      <c r="M424" s="498"/>
      <c r="N424" s="498"/>
      <c r="O424" s="498"/>
      <c r="P424" s="498"/>
      <c r="Q424" s="498"/>
      <c r="R424" s="498"/>
      <c r="S424" s="498"/>
      <c r="T424" s="498"/>
      <c r="U424" s="498"/>
      <c r="V424" s="498"/>
      <c r="W424" s="498"/>
      <c r="X424" s="498"/>
      <c r="Y424" s="498"/>
      <c r="Z424" s="498"/>
      <c r="AA424" s="498"/>
      <c r="AB424" s="528"/>
      <c r="AC424" s="526"/>
      <c r="AD424" s="572"/>
      <c r="AE424" s="528"/>
      <c r="AF424" s="528"/>
      <c r="AG424" s="528"/>
      <c r="AH424" s="524"/>
      <c r="AI424" s="528"/>
      <c r="AJ424" s="528"/>
      <c r="AK424" s="528"/>
      <c r="AL424" s="572"/>
      <c r="AM424" s="528"/>
      <c r="AN424" s="528"/>
      <c r="AO424" s="528"/>
      <c r="AP424" s="528"/>
      <c r="AQ424" s="528"/>
      <c r="AR424" s="528"/>
      <c r="AS424" s="528"/>
      <c r="AT424" s="528"/>
      <c r="AU424" s="528"/>
      <c r="AV424" s="528"/>
    </row>
    <row r="425" spans="1:48" s="2" customFormat="1">
      <c r="A425" s="593"/>
      <c r="B425" s="586"/>
      <c r="C425" s="498"/>
      <c r="D425" s="498"/>
      <c r="E425" s="498"/>
      <c r="F425" s="498"/>
      <c r="G425" s="498"/>
      <c r="H425" s="498"/>
      <c r="I425" s="498"/>
      <c r="J425" s="498"/>
      <c r="K425" s="498"/>
      <c r="L425" s="498"/>
      <c r="M425" s="498"/>
      <c r="N425" s="498"/>
      <c r="O425" s="498"/>
      <c r="P425" s="498"/>
      <c r="Q425" s="498"/>
      <c r="R425" s="498"/>
      <c r="S425" s="498"/>
      <c r="T425" s="498"/>
      <c r="U425" s="498"/>
      <c r="V425" s="498"/>
      <c r="W425" s="498"/>
      <c r="X425" s="498"/>
      <c r="Y425" s="498"/>
      <c r="Z425" s="498"/>
      <c r="AA425" s="498"/>
      <c r="AB425" s="498"/>
      <c r="AC425" s="488"/>
      <c r="AD425" s="488"/>
      <c r="AE425" s="528"/>
      <c r="AF425" s="528"/>
      <c r="AG425" s="591"/>
      <c r="AH425" s="594"/>
      <c r="AI425" s="528"/>
      <c r="AJ425" s="528"/>
      <c r="AK425" s="528"/>
      <c r="AL425" s="572"/>
      <c r="AM425" s="528"/>
      <c r="AN425" s="528"/>
      <c r="AO425" s="528"/>
      <c r="AP425" s="528"/>
      <c r="AQ425" s="528"/>
      <c r="AR425" s="528"/>
      <c r="AS425" s="528"/>
      <c r="AT425" s="528"/>
      <c r="AU425" s="528"/>
      <c r="AV425" s="528"/>
    </row>
    <row r="426" spans="1:48" s="2" customFormat="1">
      <c r="A426" s="595"/>
      <c r="B426" s="586"/>
      <c r="C426" s="498"/>
      <c r="D426" s="498"/>
      <c r="E426" s="498"/>
      <c r="F426" s="498"/>
      <c r="G426" s="498"/>
      <c r="H426" s="498"/>
      <c r="I426" s="498"/>
      <c r="J426" s="498"/>
      <c r="K426" s="498"/>
      <c r="L426" s="498"/>
      <c r="M426" s="498"/>
      <c r="N426" s="498"/>
      <c r="O426" s="498"/>
      <c r="P426" s="498"/>
      <c r="Q426" s="498"/>
      <c r="R426" s="498"/>
      <c r="S426" s="498"/>
      <c r="T426" s="498"/>
      <c r="U426" s="498"/>
      <c r="V426" s="498"/>
      <c r="W426" s="498"/>
      <c r="X426" s="498"/>
      <c r="Y426" s="498"/>
      <c r="Z426" s="498"/>
      <c r="AA426" s="498"/>
      <c r="AB426" s="528"/>
      <c r="AC426" s="526"/>
      <c r="AD426" s="572"/>
      <c r="AE426" s="528"/>
      <c r="AF426" s="528"/>
      <c r="AG426" s="528"/>
      <c r="AH426" s="524"/>
      <c r="AI426" s="528"/>
      <c r="AJ426" s="528"/>
      <c r="AK426" s="528"/>
      <c r="AL426" s="572"/>
      <c r="AM426" s="528"/>
      <c r="AN426" s="528"/>
      <c r="AO426" s="528"/>
      <c r="AP426" s="528"/>
      <c r="AQ426" s="528"/>
      <c r="AR426" s="528"/>
      <c r="AS426" s="528"/>
      <c r="AT426" s="528"/>
      <c r="AU426" s="528"/>
      <c r="AV426" s="528"/>
    </row>
    <row r="427" spans="1:48" s="2" customFormat="1">
      <c r="A427" s="596"/>
      <c r="B427" s="586"/>
      <c r="C427" s="498"/>
      <c r="D427" s="498"/>
      <c r="E427" s="498"/>
      <c r="F427" s="498"/>
      <c r="G427" s="498"/>
      <c r="H427" s="498"/>
      <c r="I427" s="498"/>
      <c r="J427" s="498"/>
      <c r="K427" s="498"/>
      <c r="L427" s="498"/>
      <c r="M427" s="498"/>
      <c r="N427" s="498"/>
      <c r="O427" s="498"/>
      <c r="P427" s="498"/>
      <c r="Q427" s="498"/>
      <c r="R427" s="498"/>
      <c r="S427" s="498"/>
      <c r="T427" s="498"/>
      <c r="U427" s="498"/>
      <c r="V427" s="498"/>
      <c r="W427" s="498"/>
      <c r="X427" s="498"/>
      <c r="Y427" s="498"/>
      <c r="Z427" s="498"/>
      <c r="AA427" s="498"/>
      <c r="AB427" s="528"/>
      <c r="AC427" s="526"/>
      <c r="AD427" s="526"/>
      <c r="AE427" s="528"/>
      <c r="AF427" s="528"/>
      <c r="AG427" s="528"/>
      <c r="AH427" s="528"/>
      <c r="AI427" s="528"/>
      <c r="AJ427" s="528"/>
      <c r="AK427" s="528"/>
      <c r="AL427" s="572"/>
      <c r="AM427" s="528"/>
      <c r="AN427" s="528"/>
      <c r="AO427" s="528"/>
      <c r="AP427" s="528"/>
      <c r="AQ427" s="528"/>
      <c r="AR427" s="528"/>
      <c r="AS427" s="528"/>
      <c r="AT427" s="528"/>
      <c r="AU427" s="528"/>
      <c r="AV427" s="528"/>
    </row>
    <row r="428" spans="1:48" s="2" customFormat="1">
      <c r="A428" s="596"/>
      <c r="B428" s="586"/>
      <c r="C428" s="498"/>
      <c r="D428" s="498"/>
      <c r="E428" s="498"/>
      <c r="F428" s="498"/>
      <c r="G428" s="498"/>
      <c r="H428" s="498"/>
      <c r="I428" s="498"/>
      <c r="J428" s="498"/>
      <c r="K428" s="498"/>
      <c r="L428" s="498"/>
      <c r="M428" s="498"/>
      <c r="N428" s="498"/>
      <c r="O428" s="498"/>
      <c r="P428" s="498"/>
      <c r="Q428" s="498"/>
      <c r="R428" s="498"/>
      <c r="S428" s="498"/>
      <c r="T428" s="498"/>
      <c r="U428" s="498"/>
      <c r="V428" s="498"/>
      <c r="W428" s="498"/>
      <c r="X428" s="498"/>
      <c r="Y428" s="498"/>
      <c r="Z428" s="498"/>
      <c r="AA428" s="498"/>
      <c r="AB428" s="528"/>
      <c r="AC428" s="526"/>
      <c r="AD428" s="572"/>
      <c r="AE428" s="528"/>
      <c r="AF428" s="528"/>
      <c r="AG428" s="528"/>
      <c r="AH428" s="588"/>
      <c r="AI428" s="528"/>
      <c r="AJ428" s="528"/>
      <c r="AK428" s="528"/>
      <c r="AL428" s="572"/>
      <c r="AM428" s="528"/>
      <c r="AN428" s="528"/>
      <c r="AO428" s="528"/>
      <c r="AP428" s="528"/>
      <c r="AQ428" s="528"/>
      <c r="AR428" s="528"/>
      <c r="AS428" s="528"/>
      <c r="AT428" s="528"/>
      <c r="AU428" s="528"/>
      <c r="AV428" s="528"/>
    </row>
    <row r="429" spans="1:48" s="2" customFormat="1">
      <c r="A429" s="596"/>
      <c r="B429" s="586"/>
      <c r="C429" s="498"/>
      <c r="D429" s="498"/>
      <c r="E429" s="498"/>
      <c r="F429" s="498"/>
      <c r="G429" s="498"/>
      <c r="H429" s="498"/>
      <c r="I429" s="498"/>
      <c r="J429" s="498"/>
      <c r="K429" s="498"/>
      <c r="L429" s="498"/>
      <c r="M429" s="498"/>
      <c r="N429" s="498"/>
      <c r="O429" s="498"/>
      <c r="P429" s="498"/>
      <c r="Q429" s="498"/>
      <c r="R429" s="498"/>
      <c r="S429" s="498"/>
      <c r="T429" s="498"/>
      <c r="U429" s="498"/>
      <c r="V429" s="498"/>
      <c r="W429" s="498"/>
      <c r="X429" s="498"/>
      <c r="Y429" s="498"/>
      <c r="Z429" s="498"/>
      <c r="AA429" s="498"/>
      <c r="AB429" s="528"/>
      <c r="AC429" s="526"/>
      <c r="AD429" s="572"/>
      <c r="AE429" s="528"/>
      <c r="AF429" s="528"/>
      <c r="AG429" s="528"/>
      <c r="AH429" s="588"/>
      <c r="AI429" s="528"/>
      <c r="AJ429" s="528"/>
      <c r="AK429" s="528"/>
      <c r="AL429" s="572"/>
      <c r="AM429" s="528"/>
      <c r="AN429" s="528"/>
      <c r="AO429" s="528"/>
      <c r="AP429" s="528"/>
      <c r="AQ429" s="528"/>
      <c r="AR429" s="528"/>
      <c r="AS429" s="528"/>
      <c r="AT429" s="528"/>
      <c r="AU429" s="528"/>
      <c r="AV429" s="528"/>
    </row>
    <row r="430" spans="1:48" s="2" customFormat="1">
      <c r="A430" s="596"/>
      <c r="B430" s="586"/>
      <c r="C430" s="498"/>
      <c r="D430" s="498"/>
      <c r="E430" s="498"/>
      <c r="F430" s="498"/>
      <c r="G430" s="498"/>
      <c r="H430" s="498"/>
      <c r="I430" s="498"/>
      <c r="J430" s="498"/>
      <c r="K430" s="498"/>
      <c r="L430" s="498"/>
      <c r="M430" s="498"/>
      <c r="N430" s="498"/>
      <c r="O430" s="498"/>
      <c r="P430" s="498"/>
      <c r="Q430" s="498"/>
      <c r="R430" s="498"/>
      <c r="S430" s="498"/>
      <c r="T430" s="498"/>
      <c r="U430" s="498"/>
      <c r="V430" s="498"/>
      <c r="W430" s="498"/>
      <c r="X430" s="498"/>
      <c r="Y430" s="498"/>
      <c r="Z430" s="498"/>
      <c r="AA430" s="498"/>
      <c r="AB430" s="528"/>
      <c r="AC430" s="526"/>
      <c r="AD430" s="488"/>
      <c r="AE430" s="528"/>
      <c r="AF430" s="528"/>
      <c r="AG430" s="528"/>
      <c r="AH430" s="588"/>
      <c r="AI430" s="528"/>
      <c r="AJ430" s="528"/>
      <c r="AK430" s="528"/>
      <c r="AL430" s="572"/>
      <c r="AM430" s="528"/>
      <c r="AN430" s="528"/>
      <c r="AO430" s="528"/>
      <c r="AP430" s="528"/>
      <c r="AQ430" s="528"/>
      <c r="AR430" s="528"/>
      <c r="AS430" s="528"/>
      <c r="AT430" s="528"/>
      <c r="AU430" s="528"/>
      <c r="AV430" s="528"/>
    </row>
    <row r="431" spans="1:48" s="2" customFormat="1" ht="15.75" customHeight="1">
      <c r="A431" s="596"/>
      <c r="B431" s="586"/>
      <c r="C431" s="498"/>
      <c r="D431" s="498"/>
      <c r="E431" s="498"/>
      <c r="F431" s="498"/>
      <c r="G431" s="498"/>
      <c r="H431" s="498"/>
      <c r="I431" s="498"/>
      <c r="J431" s="498"/>
      <c r="K431" s="498"/>
      <c r="L431" s="498"/>
      <c r="M431" s="498"/>
      <c r="N431" s="498"/>
      <c r="O431" s="498"/>
      <c r="P431" s="498"/>
      <c r="Q431" s="498"/>
      <c r="R431" s="498"/>
      <c r="S431" s="498"/>
      <c r="T431" s="498"/>
      <c r="U431" s="498"/>
      <c r="V431" s="498"/>
      <c r="W431" s="498"/>
      <c r="X431" s="498"/>
      <c r="Y431" s="498"/>
      <c r="Z431" s="498"/>
      <c r="AA431" s="498"/>
      <c r="AB431" s="528"/>
      <c r="AC431" s="526"/>
      <c r="AD431" s="572"/>
      <c r="AE431" s="528"/>
      <c r="AF431" s="528"/>
      <c r="AG431" s="572"/>
      <c r="AH431" s="588"/>
      <c r="AI431" s="528"/>
      <c r="AJ431" s="528"/>
      <c r="AK431" s="528"/>
      <c r="AL431" s="572"/>
      <c r="AM431" s="528"/>
      <c r="AN431" s="528"/>
      <c r="AO431" s="528"/>
      <c r="AP431" s="528"/>
      <c r="AQ431" s="528"/>
      <c r="AR431" s="528"/>
      <c r="AS431" s="528"/>
      <c r="AT431" s="528"/>
      <c r="AU431" s="528"/>
      <c r="AV431" s="528"/>
    </row>
    <row r="432" spans="1:48" s="2" customFormat="1" ht="27.75" customHeight="1">
      <c r="A432" s="596"/>
      <c r="B432" s="586"/>
      <c r="C432" s="498"/>
      <c r="D432" s="498"/>
      <c r="E432" s="498"/>
      <c r="F432" s="498"/>
      <c r="G432" s="498"/>
      <c r="H432" s="498"/>
      <c r="I432" s="498"/>
      <c r="J432" s="498"/>
      <c r="K432" s="498"/>
      <c r="L432" s="498"/>
      <c r="M432" s="498"/>
      <c r="N432" s="498"/>
      <c r="O432" s="498"/>
      <c r="P432" s="498"/>
      <c r="Q432" s="498"/>
      <c r="R432" s="498"/>
      <c r="S432" s="498"/>
      <c r="T432" s="498"/>
      <c r="U432" s="498"/>
      <c r="V432" s="498"/>
      <c r="W432" s="498"/>
      <c r="X432" s="498"/>
      <c r="Y432" s="498"/>
      <c r="Z432" s="498"/>
      <c r="AA432" s="498"/>
      <c r="AB432" s="528"/>
      <c r="AC432" s="526"/>
      <c r="AD432" s="572"/>
      <c r="AE432" s="528"/>
      <c r="AF432" s="528"/>
      <c r="AG432" s="528"/>
      <c r="AH432" s="588"/>
      <c r="AI432" s="528"/>
      <c r="AJ432" s="528"/>
      <c r="AK432" s="528"/>
      <c r="AL432" s="572"/>
      <c r="AM432" s="528"/>
      <c r="AN432" s="528"/>
      <c r="AO432" s="528"/>
      <c r="AP432" s="528"/>
      <c r="AQ432" s="528"/>
      <c r="AR432" s="528"/>
      <c r="AS432" s="528"/>
      <c r="AT432" s="528"/>
      <c r="AU432" s="528"/>
      <c r="AV432" s="528"/>
    </row>
    <row r="433" spans="1:48" s="2" customFormat="1">
      <c r="A433" s="596"/>
      <c r="B433" s="586"/>
      <c r="C433" s="498"/>
      <c r="D433" s="498"/>
      <c r="E433" s="498"/>
      <c r="F433" s="498"/>
      <c r="G433" s="498"/>
      <c r="H433" s="498"/>
      <c r="I433" s="498"/>
      <c r="J433" s="498"/>
      <c r="K433" s="498"/>
      <c r="L433" s="498"/>
      <c r="M433" s="498"/>
      <c r="N433" s="498"/>
      <c r="O433" s="498"/>
      <c r="P433" s="498"/>
      <c r="Q433" s="498"/>
      <c r="R433" s="498"/>
      <c r="S433" s="498"/>
      <c r="T433" s="498"/>
      <c r="U433" s="498"/>
      <c r="V433" s="498"/>
      <c r="W433" s="498"/>
      <c r="X433" s="498"/>
      <c r="Y433" s="498"/>
      <c r="Z433" s="498"/>
      <c r="AA433" s="498"/>
      <c r="AB433" s="528"/>
      <c r="AC433" s="526"/>
      <c r="AD433" s="572"/>
      <c r="AE433" s="528"/>
      <c r="AF433" s="528"/>
      <c r="AG433" s="528"/>
      <c r="AH433" s="588"/>
      <c r="AI433" s="528"/>
      <c r="AJ433" s="528"/>
      <c r="AK433" s="528"/>
      <c r="AL433" s="572"/>
      <c r="AM433" s="528"/>
      <c r="AN433" s="528"/>
      <c r="AO433" s="528"/>
      <c r="AP433" s="528"/>
      <c r="AQ433" s="528"/>
      <c r="AR433" s="528"/>
      <c r="AS433" s="528"/>
      <c r="AT433" s="528"/>
      <c r="AU433" s="528"/>
      <c r="AV433" s="528"/>
    </row>
    <row r="434" spans="1:48" s="2" customFormat="1" ht="16.5" customHeight="1">
      <c r="A434" s="596"/>
      <c r="B434" s="586"/>
      <c r="C434" s="498"/>
      <c r="D434" s="498"/>
      <c r="E434" s="498"/>
      <c r="F434" s="498"/>
      <c r="G434" s="498"/>
      <c r="H434" s="498"/>
      <c r="I434" s="498"/>
      <c r="J434" s="498"/>
      <c r="K434" s="498"/>
      <c r="L434" s="498"/>
      <c r="M434" s="498"/>
      <c r="N434" s="498"/>
      <c r="O434" s="498"/>
      <c r="P434" s="498"/>
      <c r="Q434" s="498"/>
      <c r="R434" s="498"/>
      <c r="S434" s="498"/>
      <c r="T434" s="498"/>
      <c r="U434" s="498"/>
      <c r="V434" s="498"/>
      <c r="W434" s="498"/>
      <c r="X434" s="498"/>
      <c r="Y434" s="498"/>
      <c r="Z434" s="498"/>
      <c r="AA434" s="498"/>
      <c r="AB434" s="528"/>
      <c r="AC434" s="526"/>
      <c r="AD434" s="572"/>
      <c r="AE434" s="528"/>
      <c r="AF434" s="528"/>
      <c r="AG434" s="528"/>
      <c r="AH434" s="588"/>
      <c r="AI434" s="528"/>
      <c r="AJ434" s="528"/>
      <c r="AK434" s="528"/>
      <c r="AL434" s="572"/>
      <c r="AM434" s="528"/>
      <c r="AN434" s="528"/>
      <c r="AO434" s="528"/>
      <c r="AP434" s="528"/>
      <c r="AQ434" s="528"/>
      <c r="AR434" s="528"/>
      <c r="AS434" s="528"/>
      <c r="AT434" s="528"/>
      <c r="AU434" s="528"/>
      <c r="AV434" s="528"/>
    </row>
    <row r="435" spans="1:48" s="2" customFormat="1">
      <c r="A435" s="596"/>
      <c r="B435" s="586"/>
      <c r="C435" s="498"/>
      <c r="D435" s="498"/>
      <c r="E435" s="498"/>
      <c r="F435" s="498"/>
      <c r="G435" s="498"/>
      <c r="H435" s="498"/>
      <c r="I435" s="498"/>
      <c r="J435" s="498"/>
      <c r="K435" s="498"/>
      <c r="L435" s="498"/>
      <c r="M435" s="498"/>
      <c r="N435" s="498"/>
      <c r="O435" s="498"/>
      <c r="P435" s="498"/>
      <c r="Q435" s="498"/>
      <c r="R435" s="498"/>
      <c r="S435" s="498"/>
      <c r="T435" s="498"/>
      <c r="U435" s="498"/>
      <c r="V435" s="498"/>
      <c r="W435" s="498"/>
      <c r="X435" s="498"/>
      <c r="Y435" s="498"/>
      <c r="Z435" s="498"/>
      <c r="AA435" s="498"/>
      <c r="AB435" s="528"/>
      <c r="AC435" s="526"/>
      <c r="AD435" s="572"/>
      <c r="AE435" s="528"/>
      <c r="AF435" s="528"/>
      <c r="AG435" s="528"/>
      <c r="AH435" s="588"/>
      <c r="AI435" s="528"/>
      <c r="AJ435" s="528"/>
      <c r="AK435" s="528"/>
      <c r="AL435" s="572"/>
      <c r="AM435" s="528"/>
      <c r="AN435" s="528"/>
      <c r="AO435" s="528"/>
      <c r="AP435" s="528"/>
      <c r="AQ435" s="528"/>
      <c r="AR435" s="528"/>
      <c r="AS435" s="528"/>
      <c r="AT435" s="528"/>
      <c r="AU435" s="528"/>
      <c r="AV435" s="528"/>
    </row>
    <row r="436" spans="1:48" s="2" customFormat="1">
      <c r="A436" s="596"/>
      <c r="B436" s="586"/>
      <c r="C436" s="498"/>
      <c r="D436" s="498"/>
      <c r="E436" s="498"/>
      <c r="F436" s="498"/>
      <c r="G436" s="498"/>
      <c r="H436" s="498"/>
      <c r="I436" s="498"/>
      <c r="J436" s="498"/>
      <c r="K436" s="498"/>
      <c r="L436" s="498"/>
      <c r="M436" s="498"/>
      <c r="N436" s="498"/>
      <c r="O436" s="498"/>
      <c r="P436" s="498"/>
      <c r="Q436" s="498"/>
      <c r="R436" s="498"/>
      <c r="S436" s="498"/>
      <c r="T436" s="498"/>
      <c r="U436" s="498"/>
      <c r="V436" s="498"/>
      <c r="W436" s="498"/>
      <c r="X436" s="498"/>
      <c r="Y436" s="498"/>
      <c r="Z436" s="498"/>
      <c r="AA436" s="498"/>
      <c r="AB436" s="528"/>
      <c r="AC436" s="526"/>
      <c r="AD436" s="572"/>
      <c r="AE436" s="528"/>
      <c r="AF436" s="528"/>
      <c r="AG436" s="528"/>
      <c r="AH436" s="588"/>
      <c r="AI436" s="528"/>
      <c r="AJ436" s="528"/>
      <c r="AK436" s="528"/>
      <c r="AL436" s="572"/>
      <c r="AM436" s="528"/>
      <c r="AN436" s="528"/>
      <c r="AO436" s="528"/>
      <c r="AP436" s="528"/>
      <c r="AQ436" s="528"/>
      <c r="AR436" s="528"/>
      <c r="AS436" s="528"/>
      <c r="AT436" s="526"/>
      <c r="AU436" s="526"/>
      <c r="AV436" s="526"/>
    </row>
    <row r="437" spans="1:48" s="2" customFormat="1">
      <c r="A437" s="556"/>
      <c r="B437" s="586"/>
      <c r="C437" s="498"/>
      <c r="D437" s="498"/>
      <c r="E437" s="498"/>
      <c r="F437" s="498"/>
      <c r="G437" s="498"/>
      <c r="H437" s="498"/>
      <c r="I437" s="498"/>
      <c r="J437" s="498"/>
      <c r="K437" s="498"/>
      <c r="L437" s="498"/>
      <c r="M437" s="498"/>
      <c r="N437" s="498"/>
      <c r="O437" s="498"/>
      <c r="P437" s="498"/>
      <c r="Q437" s="498"/>
      <c r="R437" s="498"/>
      <c r="S437" s="498"/>
      <c r="T437" s="498"/>
      <c r="U437" s="498"/>
      <c r="V437" s="498"/>
      <c r="W437" s="498"/>
      <c r="X437" s="498"/>
      <c r="Y437" s="498"/>
      <c r="Z437" s="498"/>
      <c r="AA437" s="498"/>
      <c r="AB437" s="528"/>
      <c r="AD437" s="526"/>
      <c r="AE437" s="528"/>
      <c r="AH437" s="594"/>
      <c r="AL437" s="572"/>
      <c r="AT437" s="526"/>
      <c r="AU437" s="526"/>
      <c r="AV437" s="526"/>
    </row>
    <row r="438" spans="1:48" s="2" customFormat="1" ht="15" customHeight="1">
      <c r="A438" s="571"/>
      <c r="C438" s="498"/>
      <c r="D438" s="498"/>
      <c r="E438" s="498"/>
      <c r="F438" s="498"/>
      <c r="G438" s="498"/>
      <c r="H438" s="498"/>
      <c r="I438" s="498"/>
      <c r="J438" s="498"/>
      <c r="K438" s="498"/>
      <c r="L438" s="498"/>
      <c r="M438" s="498"/>
      <c r="N438" s="498"/>
      <c r="O438" s="498"/>
      <c r="P438" s="498"/>
      <c r="Q438" s="498"/>
      <c r="R438" s="498"/>
      <c r="S438" s="498"/>
      <c r="T438" s="498"/>
      <c r="U438" s="498"/>
      <c r="V438" s="498"/>
      <c r="W438" s="498"/>
      <c r="X438" s="498"/>
      <c r="Y438" s="498"/>
      <c r="Z438" s="498"/>
      <c r="AA438" s="525"/>
      <c r="AB438" s="528"/>
      <c r="AC438" s="526"/>
      <c r="AD438" s="572"/>
      <c r="AE438" s="594"/>
      <c r="AF438" s="528"/>
      <c r="AG438" s="526"/>
      <c r="AH438" s="588"/>
      <c r="AI438" s="526"/>
      <c r="AJ438" s="526"/>
      <c r="AK438" s="526"/>
      <c r="AL438" s="572"/>
      <c r="AM438" s="526"/>
      <c r="AN438" s="526"/>
      <c r="AO438" s="526"/>
      <c r="AP438" s="526"/>
      <c r="AQ438" s="526"/>
      <c r="AR438" s="526"/>
      <c r="AS438" s="526"/>
      <c r="AT438" s="526"/>
      <c r="AU438" s="526"/>
      <c r="AV438" s="526"/>
    </row>
    <row r="439" spans="1:48" s="2" customFormat="1" ht="15" customHeight="1">
      <c r="A439" s="589"/>
      <c r="C439" s="498"/>
      <c r="D439" s="498"/>
      <c r="E439" s="498"/>
      <c r="F439" s="498"/>
      <c r="G439" s="498"/>
      <c r="H439" s="498"/>
      <c r="I439" s="498"/>
      <c r="J439" s="498"/>
      <c r="K439" s="498"/>
      <c r="L439" s="498"/>
      <c r="M439" s="498"/>
      <c r="N439" s="498"/>
      <c r="O439" s="498"/>
      <c r="P439" s="498"/>
      <c r="Q439" s="498"/>
      <c r="R439" s="498"/>
      <c r="S439" s="498"/>
      <c r="T439" s="498"/>
      <c r="U439" s="498"/>
      <c r="V439" s="498"/>
      <c r="W439" s="590"/>
      <c r="X439" s="590"/>
      <c r="Y439" s="590"/>
      <c r="Z439" s="590"/>
      <c r="AA439" s="590"/>
      <c r="AB439" s="526"/>
      <c r="AC439" s="526"/>
      <c r="AD439" s="572"/>
      <c r="AE439" s="528"/>
      <c r="AF439" s="526"/>
      <c r="AG439" s="526"/>
      <c r="AH439" s="588"/>
      <c r="AI439" s="526"/>
      <c r="AJ439" s="526"/>
      <c r="AK439" s="526"/>
      <c r="AL439" s="572"/>
      <c r="AM439" s="526"/>
      <c r="AN439" s="526"/>
      <c r="AO439" s="526"/>
      <c r="AP439" s="526"/>
      <c r="AQ439" s="526"/>
      <c r="AR439" s="526"/>
      <c r="AS439" s="526"/>
      <c r="AT439" s="526"/>
      <c r="AU439" s="526"/>
      <c r="AV439" s="526"/>
    </row>
    <row r="440" spans="1:48" s="2" customFormat="1">
      <c r="A440" s="589"/>
      <c r="C440" s="498"/>
      <c r="D440" s="498"/>
      <c r="E440" s="498"/>
      <c r="F440" s="498"/>
      <c r="G440" s="498"/>
      <c r="H440" s="498"/>
      <c r="I440" s="498"/>
      <c r="J440" s="498"/>
      <c r="K440" s="498"/>
      <c r="L440" s="498"/>
      <c r="M440" s="498"/>
      <c r="N440" s="498"/>
      <c r="O440" s="498"/>
      <c r="P440" s="498"/>
      <c r="Q440" s="498"/>
      <c r="R440" s="498"/>
      <c r="S440" s="498"/>
      <c r="T440" s="498"/>
      <c r="U440" s="498"/>
      <c r="V440" s="498"/>
      <c r="W440" s="590"/>
      <c r="X440" s="590"/>
      <c r="Y440" s="590"/>
      <c r="Z440" s="590"/>
      <c r="AA440" s="590"/>
      <c r="AB440" s="526"/>
      <c r="AC440" s="526"/>
      <c r="AD440" s="572"/>
      <c r="AE440" s="526"/>
      <c r="AF440" s="528"/>
      <c r="AG440" s="528"/>
      <c r="AH440" s="588"/>
      <c r="AI440" s="526"/>
      <c r="AJ440" s="526"/>
      <c r="AK440" s="526"/>
      <c r="AL440" s="572"/>
      <c r="AM440" s="526"/>
      <c r="AN440" s="526"/>
      <c r="AO440" s="526"/>
      <c r="AP440" s="526"/>
      <c r="AQ440" s="526"/>
      <c r="AR440" s="526"/>
      <c r="AS440" s="526"/>
      <c r="AT440" s="526"/>
      <c r="AU440" s="526"/>
      <c r="AV440" s="526"/>
    </row>
    <row r="441" spans="1:48" s="2" customFormat="1">
      <c r="A441" s="589"/>
      <c r="C441" s="498"/>
      <c r="D441" s="498"/>
      <c r="E441" s="498"/>
      <c r="F441" s="498"/>
      <c r="G441" s="498"/>
      <c r="H441" s="498"/>
      <c r="I441" s="498"/>
      <c r="J441" s="498"/>
      <c r="K441" s="498"/>
      <c r="L441" s="498"/>
      <c r="M441" s="498"/>
      <c r="N441" s="498"/>
      <c r="O441" s="498"/>
      <c r="P441" s="498"/>
      <c r="Q441" s="498"/>
      <c r="R441" s="498"/>
      <c r="S441" s="498"/>
      <c r="T441" s="498"/>
      <c r="U441" s="498"/>
      <c r="V441" s="498"/>
      <c r="W441" s="590"/>
      <c r="X441" s="590"/>
      <c r="Y441" s="590"/>
      <c r="Z441" s="590"/>
      <c r="AA441" s="590"/>
      <c r="AB441" s="526"/>
      <c r="AC441" s="526"/>
      <c r="AD441" s="572"/>
      <c r="AE441" s="528"/>
      <c r="AF441" s="528"/>
      <c r="AG441" s="528"/>
      <c r="AH441" s="588"/>
      <c r="AI441" s="526"/>
      <c r="AJ441" s="526"/>
      <c r="AK441" s="526"/>
      <c r="AL441" s="572"/>
      <c r="AM441" s="526"/>
      <c r="AN441" s="526"/>
      <c r="AO441" s="526"/>
      <c r="AP441" s="526"/>
      <c r="AQ441" s="526"/>
      <c r="AR441" s="526"/>
      <c r="AS441" s="526"/>
      <c r="AT441" s="526"/>
      <c r="AU441" s="526"/>
      <c r="AV441" s="526"/>
    </row>
    <row r="442" spans="1:48" s="2" customFormat="1">
      <c r="A442" s="589"/>
      <c r="C442" s="498"/>
      <c r="D442" s="498"/>
      <c r="E442" s="498"/>
      <c r="F442" s="498"/>
      <c r="G442" s="498"/>
      <c r="H442" s="498"/>
      <c r="I442" s="498"/>
      <c r="J442" s="498"/>
      <c r="K442" s="498"/>
      <c r="L442" s="498"/>
      <c r="M442" s="498"/>
      <c r="N442" s="498"/>
      <c r="O442" s="498"/>
      <c r="P442" s="498"/>
      <c r="Q442" s="498"/>
      <c r="R442" s="498"/>
      <c r="S442" s="498"/>
      <c r="T442" s="498"/>
      <c r="U442" s="498"/>
      <c r="V442" s="498"/>
      <c r="W442" s="590"/>
      <c r="X442" s="590"/>
      <c r="Y442" s="590"/>
      <c r="Z442" s="590"/>
      <c r="AA442" s="590"/>
      <c r="AB442" s="526"/>
      <c r="AC442" s="526"/>
      <c r="AD442" s="572"/>
      <c r="AE442" s="528"/>
      <c r="AF442" s="528"/>
      <c r="AG442" s="528"/>
      <c r="AH442" s="588"/>
      <c r="AI442" s="526"/>
      <c r="AJ442" s="526"/>
      <c r="AK442" s="526"/>
      <c r="AL442" s="572"/>
      <c r="AM442" s="526"/>
      <c r="AN442" s="526"/>
      <c r="AO442" s="526"/>
      <c r="AP442" s="526"/>
      <c r="AQ442" s="526"/>
      <c r="AR442" s="526"/>
      <c r="AS442" s="526"/>
      <c r="AT442" s="526"/>
      <c r="AU442" s="526"/>
      <c r="AV442" s="526"/>
    </row>
    <row r="443" spans="1:48" s="2" customFormat="1">
      <c r="A443" s="589"/>
      <c r="C443" s="498"/>
      <c r="D443" s="498"/>
      <c r="E443" s="498"/>
      <c r="F443" s="498"/>
      <c r="G443" s="498"/>
      <c r="H443" s="498"/>
      <c r="I443" s="498"/>
      <c r="J443" s="498"/>
      <c r="K443" s="498"/>
      <c r="L443" s="498"/>
      <c r="M443" s="498"/>
      <c r="N443" s="498"/>
      <c r="O443" s="498"/>
      <c r="P443" s="498"/>
      <c r="Q443" s="498"/>
      <c r="R443" s="498"/>
      <c r="S443" s="498"/>
      <c r="T443" s="498"/>
      <c r="U443" s="498"/>
      <c r="V443" s="498"/>
      <c r="W443" s="590"/>
      <c r="X443" s="590"/>
      <c r="Y443" s="590"/>
      <c r="Z443" s="590"/>
      <c r="AA443" s="590"/>
      <c r="AB443" s="526"/>
      <c r="AC443" s="526"/>
      <c r="AD443" s="572"/>
      <c r="AE443" s="528"/>
      <c r="AF443" s="528"/>
      <c r="AG443" s="528"/>
      <c r="AH443" s="588"/>
      <c r="AI443" s="526"/>
      <c r="AJ443" s="526"/>
      <c r="AK443" s="526"/>
      <c r="AL443" s="572"/>
      <c r="AM443" s="526"/>
      <c r="AN443" s="526"/>
      <c r="AO443" s="526"/>
      <c r="AP443" s="526"/>
      <c r="AQ443" s="526"/>
      <c r="AR443" s="526"/>
      <c r="AS443" s="526"/>
      <c r="AT443" s="526"/>
      <c r="AU443" s="526"/>
      <c r="AV443" s="526"/>
    </row>
    <row r="444" spans="1:48" s="2" customFormat="1">
      <c r="A444" s="589"/>
      <c r="C444" s="498"/>
      <c r="D444" s="498"/>
      <c r="E444" s="498"/>
      <c r="F444" s="498"/>
      <c r="G444" s="498"/>
      <c r="H444" s="498"/>
      <c r="I444" s="498"/>
      <c r="J444" s="498"/>
      <c r="K444" s="498"/>
      <c r="L444" s="498"/>
      <c r="M444" s="498"/>
      <c r="N444" s="498"/>
      <c r="O444" s="498"/>
      <c r="P444" s="498"/>
      <c r="Q444" s="498"/>
      <c r="R444" s="498"/>
      <c r="S444" s="498"/>
      <c r="T444" s="498"/>
      <c r="U444" s="498"/>
      <c r="V444" s="498"/>
      <c r="W444" s="590"/>
      <c r="X444" s="590"/>
      <c r="Y444" s="590"/>
      <c r="Z444" s="590"/>
      <c r="AA444" s="590"/>
      <c r="AB444" s="526"/>
      <c r="AC444" s="526"/>
      <c r="AD444" s="572"/>
      <c r="AE444" s="528"/>
      <c r="AF444" s="528"/>
      <c r="AG444" s="528"/>
      <c r="AH444" s="588"/>
      <c r="AI444" s="526"/>
      <c r="AJ444" s="526"/>
      <c r="AK444" s="526"/>
      <c r="AL444" s="572"/>
      <c r="AM444" s="526"/>
      <c r="AN444" s="526"/>
      <c r="AO444" s="526"/>
      <c r="AP444" s="526"/>
      <c r="AQ444" s="526"/>
      <c r="AR444" s="526"/>
      <c r="AS444" s="526"/>
      <c r="AT444" s="526"/>
      <c r="AU444" s="526"/>
      <c r="AV444" s="526"/>
    </row>
    <row r="445" spans="1:48" s="2" customFormat="1">
      <c r="A445" s="589"/>
      <c r="C445" s="498"/>
      <c r="D445" s="498"/>
      <c r="E445" s="498"/>
      <c r="F445" s="498"/>
      <c r="G445" s="498"/>
      <c r="H445" s="498"/>
      <c r="I445" s="498"/>
      <c r="J445" s="498"/>
      <c r="K445" s="498"/>
      <c r="L445" s="498"/>
      <c r="M445" s="498"/>
      <c r="N445" s="498"/>
      <c r="O445" s="498"/>
      <c r="P445" s="498"/>
      <c r="Q445" s="498"/>
      <c r="R445" s="498"/>
      <c r="S445" s="498"/>
      <c r="T445" s="498"/>
      <c r="U445" s="498"/>
      <c r="V445" s="498"/>
      <c r="W445" s="590"/>
      <c r="X445" s="590"/>
      <c r="Y445" s="590"/>
      <c r="Z445" s="590"/>
      <c r="AA445" s="590"/>
      <c r="AB445" s="526"/>
      <c r="AC445" s="526"/>
      <c r="AD445" s="572"/>
      <c r="AE445" s="528"/>
      <c r="AF445" s="528"/>
      <c r="AG445" s="528"/>
      <c r="AH445" s="588"/>
      <c r="AI445" s="526"/>
      <c r="AJ445" s="526"/>
      <c r="AK445" s="526"/>
      <c r="AL445" s="572"/>
      <c r="AM445" s="526"/>
      <c r="AN445" s="526"/>
      <c r="AO445" s="526"/>
      <c r="AP445" s="526"/>
      <c r="AQ445" s="526"/>
      <c r="AR445" s="526"/>
      <c r="AS445" s="526"/>
      <c r="AT445" s="526"/>
      <c r="AU445" s="526"/>
      <c r="AV445" s="526"/>
    </row>
    <row r="446" spans="1:48" s="2" customFormat="1">
      <c r="A446" s="589"/>
      <c r="C446" s="498"/>
      <c r="D446" s="498"/>
      <c r="E446" s="498"/>
      <c r="F446" s="498"/>
      <c r="G446" s="498"/>
      <c r="H446" s="498"/>
      <c r="I446" s="498"/>
      <c r="J446" s="498"/>
      <c r="K446" s="498"/>
      <c r="L446" s="498"/>
      <c r="M446" s="498"/>
      <c r="N446" s="498"/>
      <c r="O446" s="498"/>
      <c r="P446" s="498"/>
      <c r="Q446" s="498"/>
      <c r="R446" s="498"/>
      <c r="S446" s="498"/>
      <c r="T446" s="498"/>
      <c r="U446" s="498"/>
      <c r="V446" s="498"/>
      <c r="W446" s="590"/>
      <c r="X446" s="590"/>
      <c r="Y446" s="590"/>
      <c r="Z446" s="590"/>
      <c r="AA446" s="590"/>
      <c r="AB446" s="526"/>
      <c r="AC446" s="526"/>
      <c r="AD446" s="572"/>
      <c r="AE446" s="528"/>
      <c r="AF446" s="528"/>
      <c r="AG446" s="528"/>
      <c r="AH446" s="588"/>
      <c r="AI446" s="526"/>
      <c r="AJ446" s="526"/>
      <c r="AK446" s="526"/>
      <c r="AL446" s="572"/>
      <c r="AM446" s="526"/>
      <c r="AN446" s="526"/>
      <c r="AO446" s="526"/>
      <c r="AP446" s="526"/>
      <c r="AQ446" s="526"/>
      <c r="AR446" s="526"/>
      <c r="AS446" s="526"/>
      <c r="AT446" s="594"/>
      <c r="AU446" s="594"/>
      <c r="AV446" s="594"/>
    </row>
    <row r="447" spans="1:48" s="2" customFormat="1">
      <c r="A447" s="556"/>
      <c r="B447" s="490"/>
      <c r="C447" s="144"/>
      <c r="D447" s="144"/>
      <c r="E447" s="144"/>
      <c r="F447" s="144"/>
      <c r="G447" s="144"/>
      <c r="H447" s="144"/>
      <c r="I447" s="144"/>
      <c r="J447" s="144"/>
      <c r="K447" s="144"/>
      <c r="L447" s="144"/>
      <c r="M447" s="144"/>
      <c r="N447" s="144"/>
      <c r="O447" s="144"/>
      <c r="P447" s="144"/>
      <c r="Q447" s="144"/>
      <c r="R447" s="144"/>
      <c r="S447" s="144"/>
      <c r="T447" s="144"/>
      <c r="U447" s="144"/>
      <c r="V447" s="144"/>
      <c r="AB447" s="528"/>
      <c r="AD447" s="551"/>
      <c r="AE447" s="528"/>
      <c r="AF447" s="528"/>
      <c r="AG447" s="528"/>
      <c r="AH447" s="588"/>
      <c r="AI447" s="528"/>
      <c r="AJ447" s="528"/>
      <c r="AK447" s="308"/>
      <c r="AL447" s="572"/>
      <c r="AM447" s="308"/>
      <c r="AN447" s="308"/>
      <c r="AO447" s="308"/>
      <c r="AP447" s="308"/>
      <c r="AQ447" s="308"/>
      <c r="AR447" s="308"/>
      <c r="AS447" s="308"/>
      <c r="AT447" s="308"/>
      <c r="AU447" s="308"/>
      <c r="AV447" s="308"/>
    </row>
    <row r="448" spans="1:48" s="2" customFormat="1">
      <c r="A448" s="571"/>
      <c r="C448" s="498"/>
      <c r="D448" s="498"/>
      <c r="E448" s="498"/>
      <c r="F448" s="498"/>
      <c r="G448" s="498"/>
      <c r="H448" s="498"/>
      <c r="I448" s="498"/>
      <c r="J448" s="498"/>
      <c r="K448" s="498"/>
      <c r="L448" s="498"/>
      <c r="M448" s="498"/>
      <c r="N448" s="498"/>
      <c r="O448" s="498"/>
      <c r="P448" s="498"/>
      <c r="Q448" s="498"/>
      <c r="R448" s="498"/>
      <c r="S448" s="498"/>
      <c r="T448" s="498"/>
      <c r="U448" s="498"/>
      <c r="V448" s="498"/>
      <c r="W448" s="498"/>
      <c r="X448" s="498"/>
      <c r="Y448" s="498"/>
      <c r="Z448" s="498"/>
      <c r="AA448" s="498"/>
      <c r="AB448" s="232"/>
      <c r="AD448" s="573"/>
      <c r="AE448" s="232"/>
      <c r="AF448" s="232"/>
      <c r="AG448" s="232"/>
      <c r="AH448" s="588"/>
      <c r="AI448" s="308"/>
      <c r="AJ448" s="308"/>
      <c r="AK448" s="308"/>
      <c r="AL448" s="509"/>
      <c r="AM448" s="308"/>
      <c r="AN448" s="308"/>
      <c r="AO448" s="308"/>
      <c r="AP448" s="308"/>
      <c r="AQ448" s="308"/>
      <c r="AR448" s="308"/>
      <c r="AS448" s="308"/>
      <c r="AT448" s="308"/>
      <c r="AU448" s="308"/>
      <c r="AV448" s="308"/>
    </row>
    <row r="449" spans="1:48" s="2" customFormat="1">
      <c r="A449" s="589"/>
      <c r="C449" s="498"/>
      <c r="D449" s="498"/>
      <c r="E449" s="498"/>
      <c r="F449" s="498"/>
      <c r="G449" s="498"/>
      <c r="H449" s="498"/>
      <c r="I449" s="498"/>
      <c r="J449" s="498"/>
      <c r="K449" s="498"/>
      <c r="L449" s="498"/>
      <c r="M449" s="498"/>
      <c r="N449" s="498"/>
      <c r="O449" s="498"/>
      <c r="P449" s="498"/>
      <c r="Q449" s="498"/>
      <c r="R449" s="498"/>
      <c r="S449" s="498"/>
      <c r="T449" s="498"/>
      <c r="U449" s="498"/>
      <c r="V449" s="498"/>
      <c r="W449" s="523"/>
      <c r="X449" s="523"/>
      <c r="Y449" s="523"/>
      <c r="Z449" s="523"/>
      <c r="AA449" s="523"/>
      <c r="AC449" s="507"/>
      <c r="AD449" s="573"/>
      <c r="AE449" s="232"/>
      <c r="AF449" s="232"/>
      <c r="AG449" s="232"/>
      <c r="AH449" s="588"/>
      <c r="AI449" s="308"/>
      <c r="AJ449" s="308"/>
      <c r="AK449" s="308"/>
      <c r="AL449" s="509"/>
      <c r="AM449" s="308"/>
      <c r="AN449" s="308"/>
      <c r="AO449" s="308"/>
      <c r="AP449" s="308"/>
      <c r="AQ449" s="308"/>
      <c r="AR449" s="308"/>
      <c r="AS449" s="308"/>
      <c r="AT449" s="308"/>
      <c r="AU449" s="308"/>
      <c r="AV449" s="308"/>
    </row>
    <row r="450" spans="1:48" s="2" customFormat="1">
      <c r="A450" s="589"/>
      <c r="C450" s="498"/>
      <c r="D450" s="498"/>
      <c r="E450" s="498"/>
      <c r="F450" s="498"/>
      <c r="G450" s="498"/>
      <c r="H450" s="498"/>
      <c r="I450" s="498"/>
      <c r="J450" s="498"/>
      <c r="K450" s="498"/>
      <c r="L450" s="498"/>
      <c r="M450" s="498"/>
      <c r="N450" s="498"/>
      <c r="O450" s="498"/>
      <c r="P450" s="498"/>
      <c r="Q450" s="498"/>
      <c r="R450" s="498"/>
      <c r="S450" s="498"/>
      <c r="T450" s="498"/>
      <c r="U450" s="498"/>
      <c r="V450" s="498"/>
      <c r="W450" s="523"/>
      <c r="X450" s="523"/>
      <c r="Y450" s="523"/>
      <c r="Z450" s="523"/>
      <c r="AA450" s="523"/>
      <c r="AC450" s="507"/>
      <c r="AD450" s="573"/>
      <c r="AE450" s="232"/>
      <c r="AF450" s="232"/>
      <c r="AG450" s="232"/>
      <c r="AH450" s="588"/>
      <c r="AI450" s="308"/>
      <c r="AJ450" s="308"/>
      <c r="AK450" s="308"/>
      <c r="AL450" s="509"/>
      <c r="AM450" s="308"/>
      <c r="AN450" s="308"/>
      <c r="AO450" s="308"/>
      <c r="AP450" s="308"/>
      <c r="AQ450" s="308"/>
      <c r="AR450" s="308"/>
      <c r="AS450" s="308"/>
      <c r="AT450" s="308"/>
      <c r="AU450" s="308"/>
      <c r="AV450" s="308"/>
    </row>
    <row r="451" spans="1:48" s="2" customFormat="1">
      <c r="A451" s="589"/>
      <c r="C451" s="498"/>
      <c r="D451" s="498"/>
      <c r="E451" s="498"/>
      <c r="F451" s="498"/>
      <c r="G451" s="498"/>
      <c r="H451" s="498"/>
      <c r="I451" s="498"/>
      <c r="J451" s="498"/>
      <c r="K451" s="498"/>
      <c r="L451" s="498"/>
      <c r="M451" s="498"/>
      <c r="N451" s="498"/>
      <c r="O451" s="498"/>
      <c r="P451" s="498"/>
      <c r="Q451" s="498"/>
      <c r="R451" s="498"/>
      <c r="S451" s="498"/>
      <c r="T451" s="498"/>
      <c r="U451" s="498"/>
      <c r="V451" s="498"/>
      <c r="W451" s="523"/>
      <c r="X451" s="523"/>
      <c r="Y451" s="523"/>
      <c r="Z451" s="523"/>
      <c r="AA451" s="523"/>
      <c r="AB451" s="507"/>
      <c r="AC451" s="507"/>
      <c r="AD451" s="573"/>
      <c r="AE451" s="232"/>
      <c r="AF451" s="232"/>
      <c r="AG451" s="232"/>
      <c r="AH451" s="588"/>
      <c r="AI451" s="308"/>
      <c r="AJ451" s="308"/>
      <c r="AK451" s="308"/>
      <c r="AL451" s="509"/>
      <c r="AM451" s="308"/>
      <c r="AN451" s="308"/>
      <c r="AO451" s="308"/>
      <c r="AP451" s="308"/>
      <c r="AQ451" s="308"/>
      <c r="AR451" s="308"/>
      <c r="AS451" s="308"/>
      <c r="AT451" s="308"/>
      <c r="AU451" s="308"/>
      <c r="AV451" s="308"/>
    </row>
    <row r="452" spans="1:48" s="2" customFormat="1">
      <c r="A452" s="589"/>
      <c r="C452" s="498"/>
      <c r="D452" s="498"/>
      <c r="E452" s="498"/>
      <c r="F452" s="498"/>
      <c r="G452" s="498"/>
      <c r="H452" s="498"/>
      <c r="I452" s="498"/>
      <c r="J452" s="498"/>
      <c r="K452" s="498"/>
      <c r="L452" s="498"/>
      <c r="M452" s="498"/>
      <c r="N452" s="498"/>
      <c r="O452" s="498"/>
      <c r="P452" s="498"/>
      <c r="Q452" s="498"/>
      <c r="R452" s="498"/>
      <c r="S452" s="498"/>
      <c r="T452" s="498"/>
      <c r="U452" s="498"/>
      <c r="V452" s="498"/>
      <c r="W452" s="523"/>
      <c r="X452" s="523"/>
      <c r="Y452" s="523"/>
      <c r="Z452" s="523"/>
      <c r="AA452" s="523"/>
      <c r="AC452" s="507"/>
      <c r="AD452" s="573"/>
      <c r="AE452" s="232"/>
      <c r="AF452" s="232"/>
      <c r="AG452" s="232"/>
      <c r="AH452" s="588"/>
      <c r="AI452" s="308"/>
      <c r="AJ452" s="308"/>
      <c r="AK452" s="308"/>
      <c r="AL452" s="509"/>
      <c r="AM452" s="308"/>
      <c r="AN452" s="308"/>
      <c r="AO452" s="308"/>
      <c r="AP452" s="308"/>
      <c r="AQ452" s="308"/>
      <c r="AR452" s="308"/>
      <c r="AS452" s="308"/>
      <c r="AT452" s="308"/>
      <c r="AU452" s="308"/>
      <c r="AV452" s="308"/>
    </row>
    <row r="453" spans="1:48" s="2" customFormat="1">
      <c r="A453" s="589"/>
      <c r="C453" s="498"/>
      <c r="D453" s="498"/>
      <c r="E453" s="498"/>
      <c r="F453" s="498"/>
      <c r="G453" s="498"/>
      <c r="H453" s="498"/>
      <c r="I453" s="498"/>
      <c r="J453" s="498"/>
      <c r="K453" s="498"/>
      <c r="L453" s="498"/>
      <c r="M453" s="498"/>
      <c r="N453" s="498"/>
      <c r="O453" s="498"/>
      <c r="P453" s="498"/>
      <c r="Q453" s="498"/>
      <c r="R453" s="498"/>
      <c r="S453" s="498"/>
      <c r="T453" s="498"/>
      <c r="U453" s="498"/>
      <c r="V453" s="498"/>
      <c r="W453" s="523"/>
      <c r="X453" s="523"/>
      <c r="Y453" s="523"/>
      <c r="Z453" s="523"/>
      <c r="AA453" s="523"/>
      <c r="AC453" s="507"/>
      <c r="AD453" s="573"/>
      <c r="AE453" s="232"/>
      <c r="AF453" s="232"/>
      <c r="AG453" s="232"/>
      <c r="AH453" s="588"/>
      <c r="AI453" s="308"/>
      <c r="AJ453" s="308"/>
      <c r="AK453" s="308"/>
      <c r="AL453" s="509"/>
      <c r="AM453" s="308"/>
      <c r="AN453" s="308"/>
      <c r="AO453" s="308"/>
      <c r="AP453" s="308"/>
      <c r="AQ453" s="308"/>
      <c r="AR453" s="308"/>
      <c r="AS453" s="308"/>
      <c r="AT453" s="308"/>
      <c r="AU453" s="308"/>
      <c r="AV453" s="308"/>
    </row>
    <row r="454" spans="1:48" s="2" customFormat="1">
      <c r="A454" s="589"/>
      <c r="C454" s="498"/>
      <c r="D454" s="498"/>
      <c r="E454" s="498"/>
      <c r="F454" s="498"/>
      <c r="G454" s="498"/>
      <c r="H454" s="498"/>
      <c r="I454" s="498"/>
      <c r="J454" s="498"/>
      <c r="K454" s="498"/>
      <c r="L454" s="498"/>
      <c r="M454" s="498"/>
      <c r="N454" s="498"/>
      <c r="O454" s="498"/>
      <c r="P454" s="498"/>
      <c r="Q454" s="498"/>
      <c r="R454" s="498"/>
      <c r="S454" s="498"/>
      <c r="T454" s="498"/>
      <c r="U454" s="498"/>
      <c r="V454" s="498"/>
      <c r="W454" s="523"/>
      <c r="X454" s="523"/>
      <c r="Y454" s="523"/>
      <c r="Z454" s="523"/>
      <c r="AA454" s="523"/>
      <c r="AC454" s="507"/>
      <c r="AD454" s="573"/>
      <c r="AE454" s="232"/>
      <c r="AF454" s="232"/>
      <c r="AG454" s="232"/>
      <c r="AH454" s="588"/>
      <c r="AI454" s="308"/>
      <c r="AJ454" s="308"/>
      <c r="AK454" s="308"/>
      <c r="AL454" s="509"/>
      <c r="AM454" s="308"/>
      <c r="AN454" s="308"/>
      <c r="AO454" s="308"/>
      <c r="AP454" s="308"/>
      <c r="AQ454" s="308"/>
      <c r="AR454" s="308"/>
      <c r="AS454" s="308"/>
      <c r="AT454" s="308"/>
      <c r="AU454" s="308"/>
      <c r="AV454" s="308"/>
    </row>
    <row r="455" spans="1:48" s="2" customFormat="1">
      <c r="A455" s="589"/>
      <c r="C455" s="498"/>
      <c r="D455" s="498"/>
      <c r="E455" s="498"/>
      <c r="F455" s="498"/>
      <c r="G455" s="498"/>
      <c r="H455" s="498"/>
      <c r="I455" s="498"/>
      <c r="J455" s="498"/>
      <c r="K455" s="498"/>
      <c r="L455" s="498"/>
      <c r="M455" s="498"/>
      <c r="N455" s="498"/>
      <c r="O455" s="498"/>
      <c r="P455" s="498"/>
      <c r="Q455" s="498"/>
      <c r="R455" s="498"/>
      <c r="S455" s="498"/>
      <c r="T455" s="498"/>
      <c r="U455" s="498"/>
      <c r="V455" s="498"/>
      <c r="W455" s="523"/>
      <c r="X455" s="523"/>
      <c r="Y455" s="523"/>
      <c r="Z455" s="523"/>
      <c r="AA455" s="523"/>
      <c r="AC455" s="507"/>
      <c r="AD455" s="573"/>
      <c r="AE455" s="232"/>
      <c r="AF455" s="232"/>
      <c r="AG455" s="232"/>
      <c r="AH455" s="588"/>
      <c r="AI455" s="308"/>
      <c r="AJ455" s="308"/>
      <c r="AK455" s="308"/>
      <c r="AL455" s="509"/>
      <c r="AM455" s="308"/>
      <c r="AN455" s="308"/>
      <c r="AO455" s="308"/>
      <c r="AP455" s="308"/>
      <c r="AQ455" s="308"/>
      <c r="AR455" s="308"/>
      <c r="AS455" s="308"/>
      <c r="AT455" s="308"/>
      <c r="AU455" s="308"/>
      <c r="AV455" s="308"/>
    </row>
    <row r="456" spans="1:48" s="2" customFormat="1">
      <c r="A456" s="589"/>
      <c r="C456" s="498"/>
      <c r="D456" s="498"/>
      <c r="E456" s="498"/>
      <c r="F456" s="498"/>
      <c r="G456" s="498"/>
      <c r="H456" s="498"/>
      <c r="I456" s="498"/>
      <c r="J456" s="498"/>
      <c r="K456" s="498"/>
      <c r="L456" s="498"/>
      <c r="M456" s="498"/>
      <c r="N456" s="498"/>
      <c r="O456" s="498"/>
      <c r="P456" s="498"/>
      <c r="Q456" s="498"/>
      <c r="R456" s="498"/>
      <c r="S456" s="498"/>
      <c r="T456" s="498"/>
      <c r="U456" s="498"/>
      <c r="V456" s="498"/>
      <c r="W456" s="523"/>
      <c r="X456" s="523"/>
      <c r="Y456" s="523"/>
      <c r="Z456" s="523"/>
      <c r="AA456" s="523"/>
      <c r="AC456" s="507"/>
      <c r="AD456" s="573"/>
      <c r="AE456" s="232"/>
      <c r="AF456" s="232"/>
      <c r="AG456" s="232"/>
      <c r="AH456" s="588"/>
      <c r="AI456" s="308"/>
      <c r="AJ456" s="308"/>
      <c r="AK456" s="308"/>
      <c r="AL456" s="509"/>
      <c r="AM456" s="308"/>
      <c r="AN456" s="308"/>
      <c r="AO456" s="308"/>
      <c r="AP456" s="308"/>
      <c r="AQ456" s="308"/>
      <c r="AR456" s="308"/>
      <c r="AS456" s="308"/>
      <c r="AT456" s="308"/>
      <c r="AU456" s="308"/>
      <c r="AV456" s="308"/>
    </row>
    <row r="457" spans="1:48" s="2" customFormat="1">
      <c r="A457" s="597"/>
      <c r="B457" s="586"/>
      <c r="C457" s="498"/>
      <c r="D457" s="498"/>
      <c r="E457" s="498"/>
      <c r="F457" s="498"/>
      <c r="G457" s="498"/>
      <c r="H457" s="498"/>
      <c r="I457" s="498"/>
      <c r="J457" s="498"/>
      <c r="K457" s="498"/>
      <c r="L457" s="498"/>
      <c r="M457" s="498"/>
      <c r="N457" s="498"/>
      <c r="O457" s="498"/>
      <c r="P457" s="498"/>
      <c r="Q457" s="498"/>
      <c r="R457" s="498"/>
      <c r="S457" s="498"/>
      <c r="T457" s="498"/>
      <c r="U457" s="498"/>
      <c r="V457" s="498"/>
      <c r="W457" s="498"/>
      <c r="X457" s="498"/>
      <c r="Y457" s="498"/>
      <c r="Z457" s="498"/>
      <c r="AA457" s="498"/>
      <c r="AB457" s="528"/>
      <c r="AD457" s="551"/>
      <c r="AE457" s="528"/>
      <c r="AF457" s="528"/>
      <c r="AH457" s="594"/>
      <c r="AK457" s="308"/>
      <c r="AL457" s="572"/>
      <c r="AM457" s="308"/>
      <c r="AN457" s="308"/>
      <c r="AO457" s="308"/>
      <c r="AP457" s="308"/>
      <c r="AQ457" s="308"/>
      <c r="AR457" s="308"/>
      <c r="AS457" s="308"/>
      <c r="AT457" s="526"/>
      <c r="AU457" s="526"/>
      <c r="AV457" s="526"/>
    </row>
    <row r="458" spans="1:48" s="2" customFormat="1">
      <c r="A458" s="571"/>
      <c r="C458" s="498"/>
      <c r="D458" s="498"/>
      <c r="E458" s="498"/>
      <c r="F458" s="498"/>
      <c r="G458" s="498"/>
      <c r="H458" s="498"/>
      <c r="I458" s="498"/>
      <c r="J458" s="498"/>
      <c r="K458" s="498"/>
      <c r="L458" s="498"/>
      <c r="M458" s="498"/>
      <c r="N458" s="498"/>
      <c r="O458" s="498"/>
      <c r="P458" s="498"/>
      <c r="Q458" s="498"/>
      <c r="R458" s="498"/>
      <c r="S458" s="498"/>
      <c r="T458" s="498"/>
      <c r="U458" s="498"/>
      <c r="V458" s="498"/>
      <c r="W458" s="498"/>
      <c r="X458" s="498"/>
      <c r="Y458" s="498"/>
      <c r="Z458" s="498"/>
      <c r="AA458" s="498"/>
      <c r="AB458" s="528"/>
      <c r="AC458" s="526"/>
      <c r="AD458" s="572"/>
      <c r="AE458" s="528"/>
      <c r="AF458" s="528"/>
      <c r="AG458" s="528"/>
      <c r="AH458" s="588"/>
      <c r="AI458" s="526"/>
      <c r="AJ458" s="526"/>
      <c r="AK458" s="526"/>
      <c r="AL458" s="572"/>
      <c r="AM458" s="526"/>
      <c r="AN458" s="526"/>
      <c r="AO458" s="526"/>
      <c r="AP458" s="526"/>
      <c r="AQ458" s="526"/>
      <c r="AR458" s="526"/>
      <c r="AS458" s="526"/>
      <c r="AT458" s="526"/>
      <c r="AU458" s="526"/>
      <c r="AV458" s="526"/>
    </row>
    <row r="459" spans="1:48" s="2" customFormat="1">
      <c r="A459" s="589"/>
      <c r="C459" s="498"/>
      <c r="D459" s="498"/>
      <c r="E459" s="498"/>
      <c r="F459" s="498"/>
      <c r="G459" s="498"/>
      <c r="H459" s="498"/>
      <c r="I459" s="498"/>
      <c r="J459" s="498"/>
      <c r="K459" s="498"/>
      <c r="L459" s="498"/>
      <c r="M459" s="498"/>
      <c r="N459" s="498"/>
      <c r="O459" s="498"/>
      <c r="P459" s="498"/>
      <c r="Q459" s="498"/>
      <c r="R459" s="498"/>
      <c r="S459" s="498"/>
      <c r="T459" s="498"/>
      <c r="U459" s="498"/>
      <c r="V459" s="498"/>
      <c r="W459" s="590"/>
      <c r="X459" s="590"/>
      <c r="Y459" s="590"/>
      <c r="Z459" s="590"/>
      <c r="AA459" s="590"/>
      <c r="AB459" s="528"/>
      <c r="AC459" s="526"/>
      <c r="AD459" s="572"/>
      <c r="AE459" s="528"/>
      <c r="AF459" s="526"/>
      <c r="AG459" s="528"/>
      <c r="AH459" s="588"/>
      <c r="AI459" s="526"/>
      <c r="AJ459" s="526"/>
      <c r="AK459" s="526"/>
      <c r="AL459" s="572"/>
      <c r="AM459" s="526"/>
      <c r="AN459" s="526"/>
      <c r="AO459" s="526"/>
      <c r="AP459" s="526"/>
      <c r="AQ459" s="526"/>
      <c r="AR459" s="526"/>
      <c r="AS459" s="526"/>
      <c r="AT459" s="526"/>
      <c r="AU459" s="526"/>
      <c r="AV459" s="526"/>
    </row>
    <row r="460" spans="1:48" s="2" customFormat="1">
      <c r="A460" s="589"/>
      <c r="C460" s="498"/>
      <c r="D460" s="498"/>
      <c r="E460" s="498"/>
      <c r="F460" s="498"/>
      <c r="G460" s="498"/>
      <c r="H460" s="498"/>
      <c r="I460" s="498"/>
      <c r="J460" s="498"/>
      <c r="K460" s="498"/>
      <c r="L460" s="498"/>
      <c r="M460" s="498"/>
      <c r="N460" s="498"/>
      <c r="O460" s="498"/>
      <c r="P460" s="498"/>
      <c r="Q460" s="498"/>
      <c r="R460" s="498"/>
      <c r="S460" s="498"/>
      <c r="T460" s="498"/>
      <c r="U460" s="498"/>
      <c r="V460" s="498"/>
      <c r="W460" s="590"/>
      <c r="X460" s="590"/>
      <c r="Y460" s="590"/>
      <c r="Z460" s="590"/>
      <c r="AA460" s="590"/>
      <c r="AB460" s="528"/>
      <c r="AD460" s="572"/>
      <c r="AE460" s="526"/>
      <c r="AF460" s="528"/>
      <c r="AG460" s="526"/>
      <c r="AH460" s="588"/>
      <c r="AI460" s="526"/>
      <c r="AJ460" s="526"/>
      <c r="AK460" s="526"/>
      <c r="AL460" s="572"/>
      <c r="AM460" s="526"/>
      <c r="AN460" s="526"/>
      <c r="AO460" s="526"/>
      <c r="AP460" s="526"/>
      <c r="AQ460" s="526"/>
      <c r="AR460" s="526"/>
      <c r="AS460" s="526"/>
      <c r="AT460" s="526"/>
      <c r="AU460" s="526"/>
      <c r="AV460" s="526"/>
    </row>
    <row r="461" spans="1:48" s="2" customFormat="1">
      <c r="A461" s="589"/>
      <c r="C461" s="498"/>
      <c r="D461" s="498"/>
      <c r="E461" s="498"/>
      <c r="F461" s="498"/>
      <c r="G461" s="498"/>
      <c r="H461" s="498"/>
      <c r="I461" s="498"/>
      <c r="J461" s="498"/>
      <c r="K461" s="498"/>
      <c r="L461" s="498"/>
      <c r="M461" s="498"/>
      <c r="N461" s="498"/>
      <c r="O461" s="498"/>
      <c r="P461" s="498"/>
      <c r="Q461" s="498"/>
      <c r="R461" s="498"/>
      <c r="S461" s="498"/>
      <c r="T461" s="498"/>
      <c r="U461" s="498"/>
      <c r="V461" s="498"/>
      <c r="W461" s="590"/>
      <c r="X461" s="590"/>
      <c r="Y461" s="590"/>
      <c r="Z461" s="590"/>
      <c r="AA461" s="590"/>
      <c r="AB461" s="528"/>
      <c r="AC461" s="526"/>
      <c r="AD461" s="572"/>
      <c r="AE461" s="528"/>
      <c r="AF461" s="528"/>
      <c r="AG461" s="528"/>
      <c r="AH461" s="588"/>
      <c r="AI461" s="526"/>
      <c r="AJ461" s="526"/>
      <c r="AK461" s="526"/>
      <c r="AL461" s="572"/>
      <c r="AM461" s="526"/>
      <c r="AN461" s="526"/>
      <c r="AO461" s="526"/>
      <c r="AP461" s="526"/>
      <c r="AQ461" s="526"/>
      <c r="AR461" s="526"/>
      <c r="AS461" s="526"/>
      <c r="AT461" s="526"/>
      <c r="AU461" s="526"/>
      <c r="AV461" s="526"/>
    </row>
    <row r="462" spans="1:48" s="2" customFormat="1">
      <c r="A462" s="589"/>
      <c r="C462" s="498"/>
      <c r="D462" s="498"/>
      <c r="E462" s="498"/>
      <c r="F462" s="498"/>
      <c r="G462" s="498"/>
      <c r="H462" s="498"/>
      <c r="I462" s="498"/>
      <c r="J462" s="498"/>
      <c r="K462" s="498"/>
      <c r="L462" s="498"/>
      <c r="M462" s="498"/>
      <c r="N462" s="498"/>
      <c r="O462" s="498"/>
      <c r="P462" s="498"/>
      <c r="Q462" s="498"/>
      <c r="R462" s="498"/>
      <c r="S462" s="498"/>
      <c r="T462" s="498"/>
      <c r="U462" s="498"/>
      <c r="V462" s="498"/>
      <c r="W462" s="590"/>
      <c r="X462" s="590"/>
      <c r="Y462" s="590"/>
      <c r="Z462" s="590"/>
      <c r="AA462" s="590"/>
      <c r="AB462" s="528"/>
      <c r="AC462" s="526"/>
      <c r="AD462" s="572"/>
      <c r="AE462" s="528"/>
      <c r="AF462" s="528"/>
      <c r="AG462" s="528"/>
      <c r="AH462" s="588"/>
      <c r="AI462" s="526"/>
      <c r="AJ462" s="526"/>
      <c r="AK462" s="526"/>
      <c r="AL462" s="572"/>
      <c r="AM462" s="526"/>
      <c r="AN462" s="526"/>
      <c r="AO462" s="526"/>
      <c r="AP462" s="526"/>
      <c r="AQ462" s="526"/>
      <c r="AR462" s="526"/>
      <c r="AS462" s="526"/>
      <c r="AT462" s="526"/>
      <c r="AU462" s="526"/>
      <c r="AV462" s="526"/>
    </row>
    <row r="463" spans="1:48" s="2" customFormat="1">
      <c r="A463" s="589"/>
      <c r="C463" s="498"/>
      <c r="D463" s="498"/>
      <c r="E463" s="498"/>
      <c r="F463" s="498"/>
      <c r="G463" s="498"/>
      <c r="H463" s="498"/>
      <c r="I463" s="498"/>
      <c r="J463" s="498"/>
      <c r="K463" s="498"/>
      <c r="L463" s="498"/>
      <c r="M463" s="498"/>
      <c r="N463" s="498"/>
      <c r="O463" s="498"/>
      <c r="P463" s="498"/>
      <c r="Q463" s="498"/>
      <c r="R463" s="498"/>
      <c r="S463" s="498"/>
      <c r="T463" s="498"/>
      <c r="U463" s="498"/>
      <c r="V463" s="498"/>
      <c r="W463" s="590"/>
      <c r="X463" s="590"/>
      <c r="Y463" s="590"/>
      <c r="Z463" s="590"/>
      <c r="AA463" s="590"/>
      <c r="AB463" s="528"/>
      <c r="AC463" s="526"/>
      <c r="AD463" s="572"/>
      <c r="AE463" s="528"/>
      <c r="AF463" s="528"/>
      <c r="AG463" s="528"/>
      <c r="AH463" s="588"/>
      <c r="AI463" s="526"/>
      <c r="AJ463" s="526"/>
      <c r="AK463" s="526"/>
      <c r="AL463" s="572"/>
      <c r="AM463" s="526"/>
      <c r="AN463" s="526"/>
      <c r="AO463" s="526"/>
      <c r="AP463" s="526"/>
      <c r="AQ463" s="526"/>
      <c r="AR463" s="526"/>
      <c r="AS463" s="526"/>
      <c r="AT463" s="526"/>
      <c r="AU463" s="526"/>
      <c r="AV463" s="526"/>
    </row>
    <row r="464" spans="1:48" s="2" customFormat="1">
      <c r="A464" s="589"/>
      <c r="C464" s="498"/>
      <c r="D464" s="498"/>
      <c r="E464" s="498"/>
      <c r="F464" s="498"/>
      <c r="G464" s="498"/>
      <c r="H464" s="498"/>
      <c r="I464" s="498"/>
      <c r="J464" s="498"/>
      <c r="K464" s="498"/>
      <c r="L464" s="498"/>
      <c r="M464" s="498"/>
      <c r="N464" s="498"/>
      <c r="O464" s="498"/>
      <c r="P464" s="498"/>
      <c r="Q464" s="498"/>
      <c r="R464" s="498"/>
      <c r="S464" s="498"/>
      <c r="T464" s="498"/>
      <c r="U464" s="498"/>
      <c r="V464" s="498"/>
      <c r="W464" s="590"/>
      <c r="X464" s="590"/>
      <c r="Y464" s="590"/>
      <c r="Z464" s="590"/>
      <c r="AA464" s="590"/>
      <c r="AB464" s="528"/>
      <c r="AC464" s="526"/>
      <c r="AD464" s="572"/>
      <c r="AE464" s="528"/>
      <c r="AF464" s="528"/>
      <c r="AG464" s="528"/>
      <c r="AH464" s="588"/>
      <c r="AI464" s="526"/>
      <c r="AJ464" s="526"/>
      <c r="AK464" s="526"/>
      <c r="AL464" s="572"/>
      <c r="AM464" s="526"/>
      <c r="AN464" s="526"/>
      <c r="AO464" s="526"/>
      <c r="AP464" s="526"/>
      <c r="AQ464" s="526"/>
      <c r="AR464" s="526"/>
      <c r="AS464" s="526"/>
      <c r="AT464" s="526"/>
      <c r="AU464" s="526"/>
      <c r="AV464" s="526"/>
    </row>
    <row r="465" spans="1:236" s="2" customFormat="1">
      <c r="A465" s="589"/>
      <c r="C465" s="498"/>
      <c r="D465" s="498"/>
      <c r="E465" s="498"/>
      <c r="F465" s="498"/>
      <c r="G465" s="498"/>
      <c r="H465" s="498"/>
      <c r="I465" s="498"/>
      <c r="J465" s="498"/>
      <c r="K465" s="498"/>
      <c r="L465" s="498"/>
      <c r="M465" s="498"/>
      <c r="N465" s="498"/>
      <c r="O465" s="498"/>
      <c r="P465" s="498"/>
      <c r="Q465" s="498"/>
      <c r="R465" s="498"/>
      <c r="S465" s="498"/>
      <c r="T465" s="498"/>
      <c r="U465" s="498"/>
      <c r="V465" s="498"/>
      <c r="W465" s="590"/>
      <c r="X465" s="590"/>
      <c r="Y465" s="590"/>
      <c r="Z465" s="590"/>
      <c r="AA465" s="590"/>
      <c r="AB465" s="528"/>
      <c r="AD465" s="572"/>
      <c r="AE465" s="528"/>
      <c r="AF465" s="528"/>
      <c r="AG465" s="528"/>
      <c r="AH465" s="588"/>
      <c r="AI465" s="526"/>
      <c r="AJ465" s="526"/>
      <c r="AK465" s="526"/>
      <c r="AL465" s="572"/>
      <c r="AM465" s="526"/>
      <c r="AN465" s="526"/>
      <c r="AO465" s="526"/>
      <c r="AP465" s="526"/>
      <c r="AQ465" s="526"/>
      <c r="AR465" s="526"/>
      <c r="AS465" s="526"/>
      <c r="AT465" s="526"/>
      <c r="AU465" s="526"/>
      <c r="AV465" s="526"/>
    </row>
    <row r="466" spans="1:236" s="2" customFormat="1">
      <c r="A466" s="589"/>
      <c r="C466" s="498"/>
      <c r="D466" s="498"/>
      <c r="E466" s="498"/>
      <c r="F466" s="498"/>
      <c r="G466" s="498"/>
      <c r="H466" s="498"/>
      <c r="I466" s="498"/>
      <c r="J466" s="498"/>
      <c r="K466" s="498"/>
      <c r="L466" s="498"/>
      <c r="M466" s="498"/>
      <c r="N466" s="498"/>
      <c r="O466" s="498"/>
      <c r="P466" s="498"/>
      <c r="Q466" s="498"/>
      <c r="R466" s="498"/>
      <c r="S466" s="498"/>
      <c r="T466" s="498"/>
      <c r="U466" s="498"/>
      <c r="V466" s="498"/>
      <c r="W466" s="590"/>
      <c r="X466" s="590"/>
      <c r="Y466" s="590"/>
      <c r="Z466" s="590"/>
      <c r="AA466" s="590"/>
      <c r="AB466" s="528"/>
      <c r="AC466" s="526"/>
      <c r="AD466" s="572"/>
      <c r="AE466" s="528"/>
      <c r="AF466" s="528"/>
      <c r="AG466" s="528"/>
      <c r="AH466" s="588"/>
      <c r="AI466" s="526"/>
      <c r="AJ466" s="526"/>
      <c r="AK466" s="526"/>
      <c r="AL466" s="572"/>
      <c r="AM466" s="526"/>
      <c r="AN466" s="526"/>
      <c r="AO466" s="526"/>
      <c r="AP466" s="526"/>
      <c r="AQ466" s="526"/>
      <c r="AR466" s="526"/>
      <c r="AS466" s="526"/>
      <c r="AT466" s="308"/>
      <c r="AU466" s="594"/>
      <c r="AV466" s="594"/>
    </row>
    <row r="467" spans="1:236" s="2" customFormat="1">
      <c r="A467" s="556"/>
      <c r="B467" s="490"/>
      <c r="C467" s="498"/>
      <c r="D467" s="498"/>
      <c r="E467" s="498"/>
      <c r="F467" s="498"/>
      <c r="G467" s="498"/>
      <c r="H467" s="498"/>
      <c r="I467" s="498"/>
      <c r="J467" s="498"/>
      <c r="K467" s="498"/>
      <c r="L467" s="498"/>
      <c r="M467" s="498"/>
      <c r="N467" s="498"/>
      <c r="O467" s="498"/>
      <c r="P467" s="498"/>
      <c r="Q467" s="498"/>
      <c r="R467" s="498"/>
      <c r="S467" s="498"/>
      <c r="T467" s="498"/>
      <c r="U467" s="498"/>
      <c r="V467" s="498"/>
      <c r="W467" s="590"/>
      <c r="X467" s="590"/>
      <c r="Y467" s="590"/>
      <c r="Z467" s="590"/>
      <c r="AA467" s="590"/>
      <c r="AB467" s="528"/>
      <c r="AD467" s="551"/>
      <c r="AE467" s="528"/>
      <c r="AF467" s="528"/>
      <c r="AG467" s="528"/>
      <c r="AH467" s="588"/>
      <c r="AI467" s="528"/>
      <c r="AJ467" s="528"/>
      <c r="AK467" s="308"/>
      <c r="AL467" s="572"/>
      <c r="AM467" s="308"/>
      <c r="AN467" s="308"/>
      <c r="AO467" s="308"/>
      <c r="AP467" s="308"/>
      <c r="AQ467" s="308"/>
      <c r="AR467" s="308"/>
      <c r="AS467" s="308"/>
      <c r="AT467" s="308"/>
      <c r="AU467" s="308"/>
      <c r="AV467" s="308"/>
    </row>
    <row r="468" spans="1:236" s="2" customFormat="1">
      <c r="A468" s="571"/>
      <c r="C468" s="498"/>
      <c r="D468" s="498"/>
      <c r="E468" s="498"/>
      <c r="F468" s="498"/>
      <c r="G468" s="498"/>
      <c r="H468" s="498"/>
      <c r="I468" s="498"/>
      <c r="J468" s="498"/>
      <c r="K468" s="498"/>
      <c r="L468" s="498"/>
      <c r="M468" s="498"/>
      <c r="N468" s="498"/>
      <c r="O468" s="498"/>
      <c r="P468" s="498"/>
      <c r="Q468" s="498"/>
      <c r="R468" s="498"/>
      <c r="S468" s="498"/>
      <c r="T468" s="498"/>
      <c r="U468" s="498"/>
      <c r="V468" s="498"/>
      <c r="W468" s="498"/>
      <c r="X468" s="498"/>
      <c r="Y468" s="498"/>
      <c r="Z468" s="498"/>
      <c r="AA468" s="498"/>
      <c r="AB468" s="521"/>
      <c r="AC468" s="507"/>
      <c r="AD468" s="573"/>
      <c r="AE468" s="232"/>
      <c r="AF468" s="232"/>
      <c r="AG468" s="232"/>
      <c r="AH468" s="588"/>
      <c r="AI468" s="308"/>
      <c r="AJ468" s="308"/>
      <c r="AK468" s="308"/>
      <c r="AL468" s="509"/>
      <c r="AM468" s="308"/>
      <c r="AN468" s="308"/>
      <c r="AO468" s="308"/>
      <c r="AP468" s="308"/>
      <c r="AQ468" s="308"/>
      <c r="AR468" s="308"/>
      <c r="AS468" s="308"/>
      <c r="AT468" s="308"/>
      <c r="AU468" s="308"/>
      <c r="AV468" s="308"/>
    </row>
    <row r="469" spans="1:236" s="2" customFormat="1">
      <c r="A469" s="589"/>
      <c r="C469" s="498"/>
      <c r="D469" s="498"/>
      <c r="E469" s="498"/>
      <c r="F469" s="498"/>
      <c r="G469" s="498"/>
      <c r="H469" s="498"/>
      <c r="I469" s="498"/>
      <c r="J469" s="498"/>
      <c r="K469" s="498"/>
      <c r="L469" s="498"/>
      <c r="M469" s="498"/>
      <c r="N469" s="498"/>
      <c r="O469" s="498"/>
      <c r="P469" s="498"/>
      <c r="Q469" s="498"/>
      <c r="R469" s="498"/>
      <c r="S469" s="498"/>
      <c r="T469" s="498"/>
      <c r="U469" s="498"/>
      <c r="V469" s="498"/>
      <c r="W469" s="523"/>
      <c r="X469" s="523"/>
      <c r="Y469" s="523"/>
      <c r="Z469" s="523"/>
      <c r="AA469" s="498"/>
      <c r="AB469" s="232"/>
      <c r="AC469" s="507"/>
      <c r="AD469" s="573"/>
      <c r="AE469" s="232"/>
      <c r="AF469" s="232"/>
      <c r="AG469" s="232"/>
      <c r="AH469" s="588"/>
      <c r="AI469" s="308"/>
      <c r="AJ469" s="308"/>
      <c r="AK469" s="308"/>
      <c r="AL469" s="509"/>
      <c r="AM469" s="308"/>
      <c r="AN469" s="308"/>
      <c r="AO469" s="308"/>
      <c r="AP469" s="308"/>
      <c r="AQ469" s="308"/>
      <c r="AR469" s="308"/>
      <c r="AS469" s="308"/>
      <c r="AT469" s="308"/>
      <c r="AU469" s="308"/>
      <c r="AV469" s="308"/>
    </row>
    <row r="470" spans="1:236" s="2" customFormat="1">
      <c r="A470" s="589"/>
      <c r="C470" s="498"/>
      <c r="D470" s="498"/>
      <c r="E470" s="498"/>
      <c r="F470" s="498"/>
      <c r="G470" s="498"/>
      <c r="H470" s="498"/>
      <c r="I470" s="498"/>
      <c r="J470" s="498"/>
      <c r="K470" s="498"/>
      <c r="L470" s="498"/>
      <c r="M470" s="498"/>
      <c r="N470" s="498"/>
      <c r="O470" s="498"/>
      <c r="P470" s="498"/>
      <c r="Q470" s="498"/>
      <c r="R470" s="498"/>
      <c r="S470" s="498"/>
      <c r="T470" s="498"/>
      <c r="U470" s="498"/>
      <c r="V470" s="498"/>
      <c r="W470" s="523"/>
      <c r="X470" s="523"/>
      <c r="Y470" s="523"/>
      <c r="Z470" s="523"/>
      <c r="AA470" s="498"/>
      <c r="AB470" s="232"/>
      <c r="AC470" s="507"/>
      <c r="AD470" s="573"/>
      <c r="AE470" s="232"/>
      <c r="AF470" s="232"/>
      <c r="AG470" s="232"/>
      <c r="AH470" s="588"/>
      <c r="AI470" s="308"/>
      <c r="AJ470" s="308"/>
      <c r="AK470" s="308"/>
      <c r="AL470" s="509"/>
      <c r="AM470" s="308"/>
      <c r="AN470" s="308"/>
      <c r="AO470" s="308"/>
      <c r="AP470" s="308"/>
      <c r="AQ470" s="308"/>
      <c r="AR470" s="308"/>
      <c r="AS470" s="308"/>
      <c r="AT470" s="308"/>
      <c r="AU470" s="308"/>
      <c r="AV470" s="308"/>
    </row>
    <row r="471" spans="1:236" s="2" customFormat="1">
      <c r="A471" s="589"/>
      <c r="C471" s="498"/>
      <c r="D471" s="498"/>
      <c r="E471" s="498"/>
      <c r="F471" s="498"/>
      <c r="G471" s="498"/>
      <c r="H471" s="498"/>
      <c r="I471" s="498"/>
      <c r="J471" s="498"/>
      <c r="K471" s="498"/>
      <c r="L471" s="498"/>
      <c r="M471" s="498"/>
      <c r="N471" s="498"/>
      <c r="O471" s="498"/>
      <c r="P471" s="498"/>
      <c r="Q471" s="498"/>
      <c r="R471" s="498"/>
      <c r="S471" s="498"/>
      <c r="T471" s="498"/>
      <c r="U471" s="498"/>
      <c r="V471" s="498"/>
      <c r="W471" s="523"/>
      <c r="X471" s="523"/>
      <c r="Y471" s="523"/>
      <c r="Z471" s="523"/>
      <c r="AA471" s="498"/>
      <c r="AB471" s="232"/>
      <c r="AC471" s="507"/>
      <c r="AD471" s="573"/>
      <c r="AE471" s="232"/>
      <c r="AF471" s="232"/>
      <c r="AG471" s="232"/>
      <c r="AH471" s="588"/>
      <c r="AI471" s="308"/>
      <c r="AJ471" s="308"/>
      <c r="AK471" s="308"/>
      <c r="AL471" s="509"/>
      <c r="AM471" s="308"/>
      <c r="AN471" s="308"/>
      <c r="AO471" s="308"/>
      <c r="AP471" s="308"/>
      <c r="AQ471" s="308"/>
      <c r="AR471" s="308"/>
      <c r="AS471" s="308"/>
      <c r="AT471" s="308"/>
      <c r="AU471" s="308"/>
      <c r="AV471" s="308"/>
    </row>
    <row r="472" spans="1:236" s="2" customFormat="1">
      <c r="A472" s="589"/>
      <c r="C472" s="498"/>
      <c r="D472" s="498"/>
      <c r="E472" s="498"/>
      <c r="F472" s="498"/>
      <c r="G472" s="498"/>
      <c r="H472" s="498"/>
      <c r="I472" s="498"/>
      <c r="J472" s="498"/>
      <c r="K472" s="498"/>
      <c r="L472" s="498"/>
      <c r="M472" s="498"/>
      <c r="N472" s="498"/>
      <c r="O472" s="498"/>
      <c r="P472" s="498"/>
      <c r="Q472" s="498"/>
      <c r="R472" s="498"/>
      <c r="S472" s="498"/>
      <c r="T472" s="498"/>
      <c r="U472" s="498"/>
      <c r="V472" s="498"/>
      <c r="W472" s="523"/>
      <c r="X472" s="523"/>
      <c r="Y472" s="523"/>
      <c r="Z472" s="523"/>
      <c r="AA472" s="498"/>
      <c r="AB472" s="232"/>
      <c r="AC472" s="507"/>
      <c r="AD472" s="573"/>
      <c r="AE472" s="232"/>
      <c r="AF472" s="232"/>
      <c r="AG472" s="232"/>
      <c r="AH472" s="588"/>
      <c r="AI472" s="308"/>
      <c r="AJ472" s="308"/>
      <c r="AK472" s="308"/>
      <c r="AL472" s="509"/>
      <c r="AM472" s="308"/>
      <c r="AN472" s="308"/>
      <c r="AO472" s="308"/>
      <c r="AP472" s="308"/>
      <c r="AQ472" s="308"/>
      <c r="AR472" s="308"/>
      <c r="AS472" s="308"/>
      <c r="AT472" s="308"/>
      <c r="AU472" s="308"/>
      <c r="AV472" s="308"/>
    </row>
    <row r="473" spans="1:236" s="2" customFormat="1">
      <c r="A473" s="589"/>
      <c r="C473" s="498"/>
      <c r="D473" s="498"/>
      <c r="E473" s="498"/>
      <c r="F473" s="498"/>
      <c r="G473" s="498"/>
      <c r="H473" s="498"/>
      <c r="I473" s="498"/>
      <c r="J473" s="498"/>
      <c r="K473" s="498"/>
      <c r="L473" s="498"/>
      <c r="M473" s="498"/>
      <c r="N473" s="498"/>
      <c r="O473" s="498"/>
      <c r="P473" s="498"/>
      <c r="Q473" s="498"/>
      <c r="R473" s="498"/>
      <c r="S473" s="498"/>
      <c r="T473" s="498"/>
      <c r="U473" s="498"/>
      <c r="V473" s="498"/>
      <c r="W473" s="523"/>
      <c r="X473" s="523"/>
      <c r="Y473" s="523"/>
      <c r="Z473" s="523"/>
      <c r="AA473" s="498"/>
      <c r="AB473" s="232"/>
      <c r="AC473" s="507"/>
      <c r="AD473" s="573"/>
      <c r="AE473" s="232"/>
      <c r="AF473" s="232"/>
      <c r="AG473" s="232"/>
      <c r="AH473" s="588"/>
      <c r="AI473" s="308"/>
      <c r="AJ473" s="308"/>
      <c r="AK473" s="308"/>
      <c r="AL473" s="509"/>
      <c r="AM473" s="308"/>
      <c r="AN473" s="308"/>
      <c r="AO473" s="308"/>
      <c r="AP473" s="308"/>
      <c r="AQ473" s="308"/>
      <c r="AR473" s="308"/>
      <c r="AS473" s="308"/>
      <c r="AT473" s="308"/>
      <c r="AU473" s="308"/>
      <c r="AV473" s="308"/>
    </row>
    <row r="474" spans="1:236" s="2" customFormat="1">
      <c r="A474" s="589"/>
      <c r="C474" s="498"/>
      <c r="D474" s="498"/>
      <c r="E474" s="498"/>
      <c r="F474" s="498"/>
      <c r="G474" s="498"/>
      <c r="H474" s="498"/>
      <c r="I474" s="498"/>
      <c r="J474" s="498"/>
      <c r="K474" s="498"/>
      <c r="L474" s="498"/>
      <c r="M474" s="498"/>
      <c r="N474" s="498"/>
      <c r="O474" s="498"/>
      <c r="P474" s="498"/>
      <c r="Q474" s="498"/>
      <c r="R474" s="498"/>
      <c r="S474" s="498"/>
      <c r="T474" s="498"/>
      <c r="U474" s="498"/>
      <c r="V474" s="498"/>
      <c r="W474" s="523"/>
      <c r="X474" s="523"/>
      <c r="Y474" s="523"/>
      <c r="Z474" s="523"/>
      <c r="AA474" s="498"/>
      <c r="AB474" s="232"/>
      <c r="AC474" s="507"/>
      <c r="AD474" s="573"/>
      <c r="AE474" s="232"/>
      <c r="AF474" s="232"/>
      <c r="AG474" s="232"/>
      <c r="AH474" s="588"/>
      <c r="AI474" s="308"/>
      <c r="AJ474" s="308"/>
      <c r="AK474" s="308"/>
      <c r="AL474" s="509"/>
      <c r="AM474" s="308"/>
      <c r="AN474" s="308"/>
      <c r="AO474" s="308"/>
      <c r="AP474" s="308"/>
      <c r="AQ474" s="308"/>
      <c r="AR474" s="308"/>
      <c r="AS474" s="308"/>
      <c r="AT474" s="308"/>
      <c r="AU474" s="308"/>
      <c r="AV474" s="308"/>
    </row>
    <row r="475" spans="1:236" s="2" customFormat="1">
      <c r="A475" s="589"/>
      <c r="C475" s="498"/>
      <c r="D475" s="498"/>
      <c r="E475" s="498"/>
      <c r="F475" s="498"/>
      <c r="G475" s="498"/>
      <c r="H475" s="498"/>
      <c r="I475" s="498"/>
      <c r="J475" s="498"/>
      <c r="K475" s="498"/>
      <c r="L475" s="498"/>
      <c r="M475" s="498"/>
      <c r="N475" s="498"/>
      <c r="O475" s="498"/>
      <c r="P475" s="498"/>
      <c r="Q475" s="498"/>
      <c r="R475" s="498"/>
      <c r="S475" s="498"/>
      <c r="T475" s="498"/>
      <c r="U475" s="498"/>
      <c r="V475" s="498"/>
      <c r="W475" s="523"/>
      <c r="X475" s="523"/>
      <c r="Y475" s="523"/>
      <c r="Z475" s="523"/>
      <c r="AA475" s="498"/>
      <c r="AB475" s="232"/>
      <c r="AC475" s="507"/>
      <c r="AD475" s="573"/>
      <c r="AE475" s="232"/>
      <c r="AF475" s="232"/>
      <c r="AG475" s="232"/>
      <c r="AH475" s="588"/>
      <c r="AI475" s="308"/>
      <c r="AJ475" s="308"/>
      <c r="AK475" s="308"/>
      <c r="AL475" s="509"/>
      <c r="AM475" s="308"/>
      <c r="AN475" s="308"/>
      <c r="AO475" s="308"/>
      <c r="AP475" s="308"/>
      <c r="AQ475" s="308"/>
      <c r="AR475" s="308"/>
      <c r="AS475" s="308"/>
      <c r="AT475" s="308"/>
      <c r="AU475" s="308"/>
      <c r="AV475" s="308"/>
    </row>
    <row r="476" spans="1:236" s="2" customFormat="1">
      <c r="A476" s="589"/>
      <c r="C476" s="498"/>
      <c r="D476" s="498"/>
      <c r="E476" s="498"/>
      <c r="F476" s="498"/>
      <c r="G476" s="498"/>
      <c r="H476" s="498"/>
      <c r="I476" s="498"/>
      <c r="J476" s="498"/>
      <c r="K476" s="498"/>
      <c r="L476" s="498"/>
      <c r="M476" s="498"/>
      <c r="N476" s="498"/>
      <c r="O476" s="498"/>
      <c r="P476" s="498"/>
      <c r="Q476" s="498"/>
      <c r="R476" s="498"/>
      <c r="S476" s="498"/>
      <c r="T476" s="498"/>
      <c r="U476" s="498"/>
      <c r="V476" s="498"/>
      <c r="W476" s="523"/>
      <c r="X476" s="523"/>
      <c r="Y476" s="523"/>
      <c r="Z476" s="523"/>
      <c r="AA476" s="498"/>
      <c r="AB476" s="232"/>
      <c r="AC476" s="507"/>
      <c r="AD476" s="573"/>
      <c r="AE476" s="232"/>
      <c r="AF476" s="232"/>
      <c r="AG476" s="232"/>
      <c r="AH476" s="588"/>
      <c r="AI476" s="308"/>
      <c r="AJ476" s="308"/>
      <c r="AK476" s="308"/>
      <c r="AL476" s="509"/>
      <c r="AM476" s="308"/>
      <c r="AN476" s="308"/>
      <c r="AO476" s="308"/>
      <c r="AP476" s="308"/>
      <c r="AQ476" s="308"/>
      <c r="AR476" s="308"/>
      <c r="AS476" s="308"/>
      <c r="AT476" s="308"/>
      <c r="AU476" s="308"/>
      <c r="AV476" s="308"/>
    </row>
    <row r="477" spans="1:236" s="2" customFormat="1" ht="35.25" customHeight="1">
      <c r="A477" s="545"/>
      <c r="B477" s="545"/>
      <c r="C477" s="545"/>
      <c r="D477" s="545"/>
      <c r="E477" s="545"/>
      <c r="F477" s="545"/>
      <c r="G477" s="545"/>
      <c r="H477" s="545"/>
      <c r="I477" s="545"/>
      <c r="J477" s="545"/>
      <c r="K477" s="545"/>
      <c r="L477" s="545"/>
      <c r="M477" s="545"/>
      <c r="N477" s="545"/>
      <c r="O477" s="545"/>
      <c r="P477" s="545"/>
      <c r="Q477" s="545"/>
      <c r="R477" s="545"/>
      <c r="S477" s="545"/>
      <c r="T477" s="545"/>
      <c r="U477" s="545"/>
      <c r="V477" s="545"/>
      <c r="W477" s="545"/>
      <c r="X477" s="545"/>
      <c r="Y477" s="545"/>
      <c r="Z477" s="545"/>
      <c r="AA477" s="545"/>
      <c r="AB477" s="545"/>
      <c r="AC477" s="545"/>
      <c r="AD477" s="545"/>
      <c r="AE477" s="545"/>
      <c r="AF477" s="232"/>
      <c r="AG477" s="232"/>
      <c r="AH477" s="232"/>
      <c r="AI477" s="232"/>
      <c r="AJ477" s="232"/>
      <c r="AK477" s="573"/>
      <c r="AL477" s="572"/>
      <c r="AR477" s="308"/>
    </row>
    <row r="478" spans="1:236" s="2" customFormat="1" ht="62.25" customHeight="1">
      <c r="A478" s="545"/>
      <c r="B478" s="545"/>
      <c r="C478" s="545"/>
      <c r="D478" s="545"/>
      <c r="E478" s="545"/>
      <c r="F478" s="545"/>
      <c r="G478" s="545"/>
      <c r="H478" s="545"/>
      <c r="I478" s="545"/>
      <c r="J478" s="545"/>
      <c r="K478" s="545"/>
      <c r="L478" s="545"/>
      <c r="M478" s="545"/>
      <c r="N478" s="545"/>
      <c r="O478" s="545"/>
      <c r="P478" s="545"/>
      <c r="Q478" s="545"/>
      <c r="R478" s="545"/>
      <c r="S478" s="545"/>
      <c r="T478" s="545"/>
      <c r="U478" s="545"/>
      <c r="V478" s="545"/>
      <c r="W478" s="545"/>
      <c r="X478" s="545"/>
      <c r="Y478" s="545"/>
      <c r="Z478" s="545"/>
      <c r="AA478" s="545"/>
      <c r="AB478" s="545"/>
      <c r="AC478" s="545"/>
      <c r="AD478" s="545"/>
      <c r="AE478" s="545"/>
      <c r="AG478" s="598"/>
      <c r="FA478" s="598"/>
      <c r="FB478" s="598"/>
      <c r="FC478" s="598"/>
      <c r="FD478" s="598"/>
      <c r="FE478" s="598"/>
      <c r="FF478" s="598"/>
      <c r="FG478" s="1104"/>
      <c r="FH478" s="1105"/>
      <c r="FI478" s="1105"/>
      <c r="FJ478" s="1105"/>
      <c r="FK478" s="1105"/>
      <c r="FL478" s="1105"/>
      <c r="FM478" s="1105"/>
      <c r="FN478" s="1105"/>
      <c r="FO478" s="1105"/>
      <c r="FP478" s="1105"/>
      <c r="FQ478" s="1105"/>
      <c r="FR478" s="1105"/>
      <c r="FS478" s="1105"/>
      <c r="FT478" s="1105"/>
      <c r="FU478" s="1105"/>
      <c r="FV478" s="1105"/>
      <c r="FW478" s="1105"/>
      <c r="FX478" s="1105"/>
      <c r="FY478" s="1105"/>
      <c r="FZ478" s="1105"/>
      <c r="GA478" s="1105"/>
      <c r="GB478" s="1105"/>
      <c r="GC478" s="1105"/>
      <c r="GD478" s="1105"/>
      <c r="GE478" s="1105"/>
      <c r="GF478" s="1105"/>
      <c r="GG478" s="1104"/>
      <c r="GH478" s="1105"/>
      <c r="GI478" s="1105"/>
      <c r="GJ478" s="1105"/>
      <c r="GK478" s="1105"/>
      <c r="GL478" s="1105"/>
      <c r="GM478" s="1105"/>
      <c r="GN478" s="1105"/>
      <c r="GO478" s="1105"/>
      <c r="GP478" s="1105"/>
      <c r="GQ478" s="1105"/>
      <c r="GR478" s="1105"/>
      <c r="GS478" s="1105"/>
      <c r="GT478" s="1105"/>
      <c r="GU478" s="1105"/>
      <c r="GV478" s="1105"/>
      <c r="GW478" s="1105"/>
      <c r="GX478" s="1105"/>
      <c r="GY478" s="1105"/>
      <c r="GZ478" s="1105"/>
      <c r="HA478" s="1105"/>
      <c r="HB478" s="1105"/>
      <c r="HC478" s="1105"/>
      <c r="HD478" s="1105"/>
      <c r="HE478" s="1105"/>
      <c r="HF478" s="1105"/>
      <c r="HG478" s="1104"/>
      <c r="HH478" s="1105"/>
      <c r="HI478" s="1105"/>
      <c r="HJ478" s="1105"/>
      <c r="HK478" s="1105"/>
      <c r="HL478" s="1105"/>
      <c r="HM478" s="1105"/>
      <c r="HN478" s="1105"/>
      <c r="HO478" s="1105"/>
      <c r="HP478" s="1105"/>
      <c r="HQ478" s="1105"/>
      <c r="HR478" s="1105"/>
      <c r="HS478" s="1105"/>
      <c r="HT478" s="1105"/>
      <c r="HU478" s="1105"/>
      <c r="HV478" s="1105"/>
      <c r="HW478" s="1105"/>
      <c r="HX478" s="1105"/>
      <c r="HY478" s="1105"/>
      <c r="HZ478" s="1105"/>
      <c r="IA478" s="1105"/>
      <c r="IB478" s="1105"/>
    </row>
    <row r="479" spans="1:236" s="2" customFormat="1">
      <c r="A479" s="577"/>
      <c r="B479" s="578"/>
      <c r="C479" s="578"/>
      <c r="D479" s="578"/>
      <c r="E479" s="578"/>
      <c r="F479" s="578"/>
      <c r="G479" s="578"/>
      <c r="H479" s="578"/>
      <c r="I479" s="578"/>
      <c r="J479" s="578"/>
      <c r="K479" s="578"/>
      <c r="L479" s="578"/>
      <c r="M479" s="578"/>
      <c r="N479" s="578"/>
      <c r="O479" s="578"/>
      <c r="P479" s="578"/>
      <c r="Q479" s="578"/>
      <c r="R479" s="578"/>
      <c r="S479" s="578"/>
      <c r="T479" s="578"/>
      <c r="U479" s="578"/>
      <c r="V479" s="578"/>
      <c r="W479" s="578"/>
      <c r="X479" s="578"/>
      <c r="Y479" s="578"/>
      <c r="Z479" s="578"/>
      <c r="AA479" s="578"/>
      <c r="AB479" s="599"/>
      <c r="AC479" s="600"/>
      <c r="AD479" s="578"/>
      <c r="AE479" s="578"/>
      <c r="AF479" s="601"/>
      <c r="AG479" s="578"/>
      <c r="AH479" s="578"/>
      <c r="AI479" s="578"/>
      <c r="AJ479" s="578"/>
      <c r="AK479" s="578"/>
      <c r="AL479" s="578"/>
      <c r="AM479" s="578"/>
      <c r="AN479" s="602"/>
      <c r="AO479" s="602"/>
      <c r="AP479" s="602"/>
      <c r="AQ479" s="602"/>
      <c r="AR479" s="602"/>
      <c r="AS479" s="602"/>
      <c r="AT479" s="602"/>
      <c r="AU479" s="602"/>
    </row>
    <row r="480" spans="1:236" s="2" customFormat="1">
      <c r="A480" s="597"/>
      <c r="B480" s="586"/>
      <c r="C480" s="498"/>
      <c r="D480" s="498"/>
      <c r="E480" s="498"/>
      <c r="F480" s="498"/>
      <c r="G480" s="498"/>
      <c r="H480" s="498"/>
      <c r="I480" s="498"/>
      <c r="J480" s="498"/>
      <c r="K480" s="498"/>
      <c r="L480" s="498"/>
      <c r="M480" s="498"/>
      <c r="N480" s="498"/>
      <c r="O480" s="498"/>
      <c r="P480" s="498"/>
      <c r="Q480" s="498"/>
      <c r="R480" s="498"/>
      <c r="S480" s="498"/>
      <c r="T480" s="498"/>
      <c r="U480" s="498"/>
      <c r="V480" s="498"/>
      <c r="W480" s="498"/>
      <c r="X480" s="498"/>
      <c r="Y480" s="498"/>
      <c r="Z480" s="498"/>
      <c r="AA480" s="498"/>
      <c r="AB480" s="498"/>
      <c r="AC480" s="498"/>
      <c r="AD480" s="498"/>
      <c r="AE480" s="498"/>
      <c r="AF480" s="581"/>
      <c r="AG480" s="581"/>
      <c r="AH480" s="581"/>
      <c r="AI480" s="498"/>
      <c r="AJ480" s="233"/>
      <c r="AK480" s="233"/>
      <c r="AL480" s="233"/>
      <c r="AM480" s="233"/>
      <c r="AN480" s="233"/>
      <c r="AO480" s="233"/>
      <c r="AP480" s="233"/>
      <c r="AQ480" s="233"/>
      <c r="AR480" s="233"/>
      <c r="AS480" s="233"/>
      <c r="AT480" s="233"/>
      <c r="AU480" s="233"/>
    </row>
    <row r="481" spans="1:47" s="2" customFormat="1">
      <c r="A481" s="556"/>
      <c r="B481" s="490"/>
      <c r="C481" s="498"/>
      <c r="D481" s="498"/>
      <c r="E481" s="498"/>
      <c r="F481" s="498"/>
      <c r="G481" s="498"/>
      <c r="H481" s="498"/>
      <c r="I481" s="498"/>
      <c r="J481" s="498"/>
      <c r="K481" s="498"/>
      <c r="L481" s="498"/>
      <c r="M481" s="498"/>
      <c r="N481" s="498"/>
      <c r="O481" s="498"/>
      <c r="P481" s="498"/>
      <c r="Q481" s="498"/>
      <c r="R481" s="498"/>
      <c r="S481" s="498"/>
      <c r="T481" s="498"/>
      <c r="U481" s="498"/>
      <c r="V481" s="498"/>
      <c r="W481" s="498"/>
      <c r="X481" s="498"/>
      <c r="Y481" s="498"/>
      <c r="Z481" s="498"/>
      <c r="AA481" s="498"/>
      <c r="AB481" s="498"/>
      <c r="AC481" s="498"/>
      <c r="AD481" s="498"/>
      <c r="AE481" s="498"/>
      <c r="AF481" s="581"/>
      <c r="AG481" s="581"/>
      <c r="AI481" s="498"/>
      <c r="AJ481" s="507"/>
      <c r="AK481" s="507"/>
      <c r="AL481" s="507"/>
      <c r="AM481" s="507"/>
      <c r="AN481" s="507"/>
      <c r="AO481" s="507"/>
      <c r="AP481" s="507"/>
      <c r="AQ481" s="507"/>
      <c r="AR481" s="507"/>
      <c r="AS481" s="507"/>
      <c r="AT481" s="507"/>
      <c r="AU481" s="507"/>
    </row>
    <row r="482" spans="1:47" s="2" customFormat="1">
      <c r="A482" s="597"/>
      <c r="C482" s="498"/>
      <c r="D482" s="498"/>
      <c r="E482" s="498"/>
      <c r="F482" s="498"/>
      <c r="G482" s="498"/>
      <c r="H482" s="498"/>
      <c r="I482" s="498"/>
      <c r="J482" s="498"/>
      <c r="K482" s="498"/>
      <c r="L482" s="498"/>
      <c r="M482" s="498"/>
      <c r="N482" s="498"/>
      <c r="O482" s="498"/>
      <c r="P482" s="498"/>
      <c r="Q482" s="498"/>
      <c r="R482" s="498"/>
      <c r="S482" s="498"/>
      <c r="T482" s="498"/>
      <c r="U482" s="498"/>
      <c r="V482" s="498"/>
      <c r="W482" s="498"/>
      <c r="X482" s="498"/>
      <c r="Y482" s="498"/>
      <c r="Z482" s="498"/>
      <c r="AA482" s="498"/>
      <c r="AB482" s="498"/>
      <c r="AC482" s="498"/>
      <c r="AD482" s="498"/>
      <c r="AF482" s="521"/>
    </row>
    <row r="483" spans="1:47" s="2" customFormat="1">
      <c r="A483" s="597"/>
      <c r="B483" s="586"/>
      <c r="C483" s="498"/>
      <c r="D483" s="498"/>
      <c r="E483" s="498"/>
      <c r="F483" s="498"/>
      <c r="G483" s="498"/>
      <c r="H483" s="498"/>
      <c r="I483" s="498"/>
      <c r="J483" s="498"/>
      <c r="K483" s="498"/>
      <c r="L483" s="498"/>
      <c r="M483" s="498"/>
      <c r="N483" s="498"/>
      <c r="O483" s="498"/>
      <c r="P483" s="498"/>
      <c r="Q483" s="498"/>
      <c r="R483" s="498"/>
      <c r="S483" s="498"/>
      <c r="T483" s="498"/>
      <c r="U483" s="498"/>
      <c r="V483" s="498"/>
      <c r="W483" s="498"/>
      <c r="X483" s="498"/>
      <c r="Y483" s="498"/>
      <c r="Z483" s="498"/>
      <c r="AA483" s="498"/>
      <c r="AB483" s="498"/>
      <c r="AC483" s="498"/>
      <c r="AD483" s="498"/>
      <c r="AE483" s="498"/>
      <c r="AF483" s="581"/>
      <c r="AG483" s="581"/>
      <c r="AH483" s="233"/>
      <c r="AI483" s="498"/>
      <c r="AJ483" s="233"/>
      <c r="AK483" s="233"/>
      <c r="AL483" s="233"/>
      <c r="AM483" s="233"/>
      <c r="AN483" s="233"/>
      <c r="AO483" s="233"/>
      <c r="AP483" s="233"/>
      <c r="AQ483" s="233"/>
      <c r="AR483" s="233"/>
      <c r="AS483" s="233"/>
      <c r="AT483" s="233"/>
      <c r="AU483" s="233"/>
    </row>
    <row r="484" spans="1:47" s="2" customFormat="1">
      <c r="A484" s="556"/>
      <c r="B484" s="490"/>
      <c r="C484" s="498"/>
      <c r="D484" s="498"/>
      <c r="E484" s="498"/>
      <c r="F484" s="498"/>
      <c r="G484" s="498"/>
      <c r="H484" s="498"/>
      <c r="I484" s="498"/>
      <c r="J484" s="498"/>
      <c r="K484" s="498"/>
      <c r="L484" s="498"/>
      <c r="M484" s="498"/>
      <c r="N484" s="498"/>
      <c r="O484" s="498"/>
      <c r="P484" s="498"/>
      <c r="Q484" s="498"/>
      <c r="R484" s="498"/>
      <c r="S484" s="498"/>
      <c r="T484" s="498"/>
      <c r="U484" s="498"/>
      <c r="V484" s="498"/>
      <c r="W484" s="498"/>
      <c r="X484" s="498"/>
      <c r="Y484" s="498"/>
      <c r="Z484" s="498"/>
      <c r="AA484" s="498"/>
      <c r="AB484" s="498"/>
      <c r="AC484" s="498"/>
      <c r="AD484" s="498"/>
      <c r="AE484" s="498"/>
      <c r="AF484" s="581"/>
      <c r="AG484" s="581"/>
      <c r="AI484" s="498"/>
      <c r="AJ484" s="524"/>
      <c r="AK484" s="524"/>
      <c r="AL484" s="524"/>
      <c r="AM484" s="524"/>
      <c r="AN484" s="524"/>
      <c r="AO484" s="524"/>
      <c r="AP484" s="524"/>
      <c r="AQ484" s="524"/>
      <c r="AR484" s="524"/>
      <c r="AS484" s="524"/>
      <c r="AT484" s="524"/>
      <c r="AU484" s="524"/>
    </row>
    <row r="485" spans="1:47" s="2" customFormat="1">
      <c r="A485" s="597"/>
      <c r="B485" s="586"/>
      <c r="C485" s="498"/>
      <c r="D485" s="498"/>
      <c r="E485" s="498"/>
      <c r="F485" s="498"/>
      <c r="G485" s="498"/>
      <c r="H485" s="498"/>
      <c r="I485" s="498"/>
      <c r="J485" s="498"/>
      <c r="K485" s="498"/>
      <c r="L485" s="498"/>
      <c r="M485" s="498"/>
      <c r="N485" s="498"/>
      <c r="O485" s="498"/>
      <c r="P485" s="498"/>
      <c r="Q485" s="498"/>
      <c r="R485" s="498"/>
      <c r="S485" s="498"/>
      <c r="T485" s="498"/>
      <c r="U485" s="498"/>
      <c r="V485" s="498"/>
      <c r="W485" s="498"/>
      <c r="X485" s="498"/>
      <c r="Y485" s="498"/>
      <c r="Z485" s="498"/>
      <c r="AA485" s="498"/>
      <c r="AB485" s="498"/>
      <c r="AC485" s="498"/>
      <c r="AD485" s="498"/>
      <c r="AE485" s="498"/>
      <c r="AF485" s="581"/>
      <c r="AG485" s="581"/>
      <c r="AI485" s="498"/>
      <c r="AM485" s="507"/>
      <c r="AN485" s="507"/>
      <c r="AO485" s="507"/>
      <c r="AP485" s="507"/>
      <c r="AQ485" s="507"/>
      <c r="AR485" s="507"/>
      <c r="AS485" s="507"/>
      <c r="AT485" s="507"/>
      <c r="AU485" s="507"/>
    </row>
    <row r="486" spans="1:47" s="2" customFormat="1">
      <c r="A486" s="556"/>
      <c r="B486" s="562"/>
      <c r="C486" s="498"/>
      <c r="D486" s="498"/>
      <c r="E486" s="498"/>
      <c r="F486" s="498"/>
      <c r="G486" s="498"/>
      <c r="H486" s="498"/>
      <c r="I486" s="498"/>
      <c r="J486" s="498"/>
      <c r="K486" s="498"/>
      <c r="L486" s="498"/>
      <c r="M486" s="498"/>
      <c r="N486" s="498"/>
      <c r="O486" s="498"/>
      <c r="P486" s="498"/>
      <c r="Q486" s="498"/>
      <c r="R486" s="498"/>
      <c r="S486" s="498"/>
      <c r="T486" s="498"/>
      <c r="U486" s="498"/>
      <c r="V486" s="498"/>
      <c r="W486" s="498"/>
      <c r="X486" s="498"/>
      <c r="Y486" s="498"/>
      <c r="Z486" s="498"/>
      <c r="AA486" s="498"/>
      <c r="AB486" s="498"/>
      <c r="AC486" s="498"/>
      <c r="AD486" s="498"/>
      <c r="AE486" s="498"/>
      <c r="AF486" s="581"/>
      <c r="AG486" s="581"/>
      <c r="AI486" s="498"/>
      <c r="AJ486" s="507"/>
      <c r="AK486" s="507"/>
      <c r="AL486" s="507"/>
      <c r="AM486" s="507"/>
      <c r="AN486" s="507"/>
      <c r="AO486" s="507"/>
      <c r="AP486" s="507"/>
      <c r="AQ486" s="507"/>
      <c r="AR486" s="507"/>
      <c r="AS486" s="507"/>
      <c r="AT486" s="507"/>
      <c r="AU486" s="507"/>
    </row>
    <row r="487" spans="1:47" s="2" customFormat="1">
      <c r="A487" s="556"/>
      <c r="B487" s="586"/>
      <c r="C487" s="498"/>
      <c r="D487" s="498"/>
      <c r="E487" s="498"/>
      <c r="F487" s="498"/>
      <c r="G487" s="498"/>
      <c r="H487" s="498"/>
      <c r="I487" s="498"/>
      <c r="J487" s="498"/>
      <c r="K487" s="498"/>
      <c r="L487" s="498"/>
      <c r="M487" s="498"/>
      <c r="N487" s="498"/>
      <c r="O487" s="498"/>
      <c r="P487" s="498"/>
      <c r="Q487" s="498"/>
      <c r="R487" s="498"/>
      <c r="S487" s="498"/>
      <c r="T487" s="498"/>
      <c r="U487" s="498"/>
      <c r="V487" s="498"/>
      <c r="W487" s="498"/>
      <c r="X487" s="498"/>
      <c r="Y487" s="498"/>
      <c r="Z487" s="498"/>
      <c r="AA487" s="498"/>
      <c r="AB487" s="498"/>
      <c r="AC487" s="498"/>
      <c r="AD487" s="498"/>
      <c r="AE487" s="498"/>
      <c r="AF487" s="581"/>
      <c r="AG487" s="581"/>
      <c r="AH487" s="507"/>
      <c r="AI487" s="498"/>
      <c r="AN487" s="507"/>
      <c r="AO487" s="507"/>
      <c r="AP487" s="507"/>
      <c r="AQ487" s="507"/>
      <c r="AR487" s="507"/>
      <c r="AS487" s="507"/>
      <c r="AT487" s="507"/>
      <c r="AU487" s="507"/>
    </row>
    <row r="488" spans="1:47" s="2" customFormat="1">
      <c r="A488" s="556"/>
      <c r="B488" s="562"/>
      <c r="C488" s="498"/>
      <c r="D488" s="498"/>
      <c r="E488" s="498"/>
      <c r="F488" s="498"/>
      <c r="G488" s="498"/>
      <c r="H488" s="498"/>
      <c r="I488" s="498"/>
      <c r="J488" s="498"/>
      <c r="K488" s="498"/>
      <c r="L488" s="498"/>
      <c r="M488" s="498"/>
      <c r="N488" s="498"/>
      <c r="O488" s="498"/>
      <c r="P488" s="498"/>
      <c r="Q488" s="498"/>
      <c r="R488" s="498"/>
      <c r="S488" s="498"/>
      <c r="T488" s="498"/>
      <c r="U488" s="498"/>
      <c r="V488" s="498"/>
      <c r="W488" s="498"/>
      <c r="X488" s="498"/>
      <c r="Y488" s="498"/>
      <c r="Z488" s="498"/>
      <c r="AA488" s="498"/>
      <c r="AB488" s="498"/>
      <c r="AC488" s="498"/>
      <c r="AD488" s="498"/>
      <c r="AE488" s="498"/>
      <c r="AF488" s="581"/>
      <c r="AG488" s="581"/>
      <c r="AH488" s="507"/>
      <c r="AI488" s="498"/>
      <c r="AJ488" s="507"/>
      <c r="AK488" s="507"/>
      <c r="AL488" s="507"/>
      <c r="AM488" s="507"/>
      <c r="AN488" s="507"/>
      <c r="AO488" s="507"/>
      <c r="AP488" s="507"/>
      <c r="AQ488" s="507"/>
      <c r="AR488" s="507"/>
      <c r="AS488" s="507"/>
      <c r="AT488" s="507"/>
      <c r="AU488" s="507"/>
    </row>
    <row r="489" spans="1:47" s="2" customFormat="1">
      <c r="A489" s="597"/>
      <c r="B489" s="558"/>
      <c r="C489" s="498"/>
      <c r="D489" s="498"/>
      <c r="E489" s="498"/>
      <c r="F489" s="498"/>
      <c r="G489" s="498"/>
      <c r="H489" s="498"/>
      <c r="I489" s="498"/>
      <c r="J489" s="498"/>
      <c r="K489" s="498"/>
      <c r="L489" s="498"/>
      <c r="M489" s="498"/>
      <c r="N489" s="498"/>
      <c r="O489" s="498"/>
      <c r="P489" s="498"/>
      <c r="Q489" s="498"/>
      <c r="R489" s="498"/>
      <c r="S489" s="498"/>
      <c r="T489" s="498"/>
      <c r="U489" s="498"/>
      <c r="V489" s="498"/>
      <c r="W489" s="498"/>
      <c r="X489" s="498"/>
      <c r="Y489" s="498"/>
      <c r="Z489" s="498"/>
      <c r="AA489" s="498"/>
      <c r="AB489" s="144"/>
      <c r="AC489" s="144"/>
      <c r="AD489" s="498"/>
      <c r="AE489" s="144"/>
      <c r="AF489" s="581"/>
    </row>
    <row r="490" spans="1:47" s="2" customFormat="1">
      <c r="A490" s="597"/>
      <c r="C490" s="498"/>
      <c r="D490" s="498"/>
      <c r="E490" s="498"/>
      <c r="F490" s="498"/>
      <c r="G490" s="498"/>
      <c r="H490" s="498"/>
      <c r="I490" s="498"/>
      <c r="J490" s="498"/>
      <c r="K490" s="498"/>
      <c r="L490" s="498"/>
      <c r="M490" s="498"/>
      <c r="N490" s="498"/>
      <c r="O490" s="498"/>
      <c r="P490" s="498"/>
      <c r="Q490" s="498"/>
      <c r="R490" s="498"/>
      <c r="S490" s="498"/>
      <c r="T490" s="498"/>
      <c r="U490" s="498"/>
      <c r="V490" s="498"/>
      <c r="W490" s="498"/>
      <c r="X490" s="498"/>
      <c r="Y490" s="498"/>
      <c r="Z490" s="498"/>
      <c r="AA490" s="498"/>
      <c r="AB490" s="144"/>
      <c r="AC490" s="144"/>
      <c r="AD490" s="539"/>
      <c r="AE490" s="144"/>
      <c r="AF490" s="581"/>
    </row>
    <row r="491" spans="1:47" s="2" customFormat="1">
      <c r="A491" s="571"/>
      <c r="C491" s="498"/>
      <c r="D491" s="498"/>
      <c r="E491" s="498"/>
      <c r="F491" s="498"/>
      <c r="G491" s="498"/>
      <c r="H491" s="498"/>
      <c r="I491" s="498"/>
      <c r="J491" s="498"/>
      <c r="K491" s="498"/>
      <c r="L491" s="498"/>
      <c r="M491" s="498"/>
      <c r="N491" s="498"/>
      <c r="O491" s="498"/>
      <c r="P491" s="498"/>
      <c r="Q491" s="498"/>
      <c r="R491" s="498"/>
      <c r="S491" s="498"/>
      <c r="T491" s="498"/>
      <c r="U491" s="498"/>
      <c r="V491" s="498"/>
      <c r="W491" s="498"/>
      <c r="X491" s="498"/>
      <c r="Y491" s="498"/>
      <c r="Z491" s="498"/>
      <c r="AA491" s="498"/>
      <c r="AB491" s="498"/>
      <c r="AC491" s="498"/>
      <c r="AD491" s="542"/>
      <c r="AE491" s="498"/>
      <c r="AF491" s="498"/>
      <c r="AG491" s="498"/>
      <c r="AH491" s="498"/>
      <c r="AI491" s="498"/>
      <c r="AJ491" s="498"/>
      <c r="AK491" s="498"/>
      <c r="AL491" s="498"/>
      <c r="AM491" s="498"/>
      <c r="AN491" s="498"/>
      <c r="AO491" s="498"/>
      <c r="AP491" s="498"/>
      <c r="AQ491" s="498"/>
      <c r="AR491" s="498"/>
      <c r="AS491" s="498"/>
      <c r="AT491" s="498"/>
      <c r="AU491" s="498"/>
    </row>
    <row r="492" spans="1:47" s="2" customFormat="1">
      <c r="A492" s="589"/>
      <c r="C492" s="498"/>
      <c r="D492" s="498"/>
      <c r="E492" s="498"/>
      <c r="F492" s="498"/>
      <c r="G492" s="498"/>
      <c r="H492" s="498"/>
      <c r="I492" s="498"/>
      <c r="J492" s="498"/>
      <c r="K492" s="498"/>
      <c r="L492" s="498"/>
      <c r="M492" s="498"/>
      <c r="N492" s="498"/>
      <c r="O492" s="498"/>
      <c r="P492" s="498"/>
      <c r="Q492" s="498"/>
      <c r="R492" s="498"/>
      <c r="S492" s="498"/>
      <c r="T492" s="498"/>
      <c r="U492" s="498"/>
      <c r="V492" s="498"/>
      <c r="W492" s="498"/>
      <c r="X492" s="498"/>
      <c r="Y492" s="498"/>
      <c r="Z492" s="498"/>
      <c r="AA492" s="498"/>
      <c r="AB492" s="498"/>
      <c r="AC492" s="498"/>
      <c r="AD492" s="542"/>
      <c r="AE492" s="498"/>
      <c r="AF492" s="498"/>
      <c r="AG492" s="498"/>
      <c r="AH492" s="498"/>
      <c r="AI492" s="498"/>
      <c r="AJ492" s="498"/>
      <c r="AK492" s="498"/>
      <c r="AL492" s="498"/>
      <c r="AM492" s="498"/>
      <c r="AN492" s="498"/>
      <c r="AO492" s="498"/>
      <c r="AP492" s="498"/>
      <c r="AQ492" s="498"/>
      <c r="AR492" s="498"/>
      <c r="AS492" s="498"/>
      <c r="AT492" s="498"/>
      <c r="AU492" s="498"/>
    </row>
    <row r="493" spans="1:47" s="2" customFormat="1">
      <c r="A493" s="589"/>
      <c r="C493" s="498"/>
      <c r="D493" s="498"/>
      <c r="E493" s="498"/>
      <c r="F493" s="498"/>
      <c r="G493" s="498"/>
      <c r="H493" s="498"/>
      <c r="I493" s="498"/>
      <c r="J493" s="498"/>
      <c r="K493" s="498"/>
      <c r="L493" s="498"/>
      <c r="M493" s="498"/>
      <c r="N493" s="498"/>
      <c r="O493" s="498"/>
      <c r="P493" s="498"/>
      <c r="Q493" s="498"/>
      <c r="R493" s="498"/>
      <c r="S493" s="498"/>
      <c r="T493" s="498"/>
      <c r="U493" s="498"/>
      <c r="V493" s="498"/>
      <c r="W493" s="498"/>
      <c r="X493" s="498"/>
      <c r="Y493" s="498"/>
      <c r="Z493" s="498"/>
      <c r="AA493" s="498"/>
      <c r="AB493" s="498"/>
      <c r="AC493" s="498"/>
      <c r="AD493" s="542"/>
      <c r="AE493" s="498"/>
      <c r="AF493" s="498"/>
      <c r="AG493" s="498"/>
      <c r="AH493" s="498"/>
      <c r="AI493" s="498"/>
      <c r="AJ493" s="498"/>
      <c r="AK493" s="498"/>
      <c r="AL493" s="498"/>
      <c r="AM493" s="498"/>
      <c r="AN493" s="498"/>
      <c r="AO493" s="498"/>
      <c r="AP493" s="498"/>
      <c r="AQ493" s="498"/>
      <c r="AR493" s="498"/>
      <c r="AS493" s="498"/>
      <c r="AT493" s="498"/>
      <c r="AU493" s="498"/>
    </row>
    <row r="494" spans="1:47" s="2" customFormat="1">
      <c r="A494" s="589"/>
      <c r="C494" s="498"/>
      <c r="D494" s="498"/>
      <c r="E494" s="498"/>
      <c r="F494" s="498"/>
      <c r="G494" s="498"/>
      <c r="H494" s="498"/>
      <c r="I494" s="498"/>
      <c r="J494" s="498"/>
      <c r="K494" s="498"/>
      <c r="L494" s="498"/>
      <c r="M494" s="498"/>
      <c r="N494" s="498"/>
      <c r="O494" s="498"/>
      <c r="P494" s="498"/>
      <c r="Q494" s="498"/>
      <c r="R494" s="498"/>
      <c r="S494" s="498"/>
      <c r="T494" s="498"/>
      <c r="U494" s="498"/>
      <c r="V494" s="498"/>
      <c r="W494" s="498"/>
      <c r="X494" s="498"/>
      <c r="Y494" s="498"/>
      <c r="Z494" s="498"/>
      <c r="AA494" s="498"/>
      <c r="AB494" s="498"/>
      <c r="AC494" s="498"/>
      <c r="AD494" s="542"/>
      <c r="AE494" s="498"/>
      <c r="AF494" s="498"/>
      <c r="AG494" s="498"/>
      <c r="AH494" s="498"/>
      <c r="AI494" s="498"/>
      <c r="AJ494" s="498"/>
      <c r="AK494" s="498"/>
      <c r="AL494" s="498"/>
      <c r="AM494" s="498"/>
      <c r="AN494" s="498"/>
      <c r="AO494" s="498"/>
      <c r="AP494" s="498"/>
      <c r="AQ494" s="498"/>
      <c r="AR494" s="498"/>
      <c r="AS494" s="498"/>
      <c r="AT494" s="498"/>
      <c r="AU494" s="498"/>
    </row>
    <row r="495" spans="1:47" s="2" customFormat="1">
      <c r="A495" s="589"/>
      <c r="C495" s="498"/>
      <c r="D495" s="498"/>
      <c r="E495" s="498"/>
      <c r="F495" s="498"/>
      <c r="G495" s="498"/>
      <c r="H495" s="498"/>
      <c r="I495" s="498"/>
      <c r="J495" s="498"/>
      <c r="K495" s="498"/>
      <c r="L495" s="498"/>
      <c r="M495" s="498"/>
      <c r="N495" s="498"/>
      <c r="O495" s="498"/>
      <c r="P495" s="498"/>
      <c r="Q495" s="498"/>
      <c r="R495" s="498"/>
      <c r="S495" s="498"/>
      <c r="T495" s="498"/>
      <c r="U495" s="498"/>
      <c r="V495" s="498"/>
      <c r="W495" s="498"/>
      <c r="X495" s="498"/>
      <c r="Y495" s="498"/>
      <c r="Z495" s="498"/>
      <c r="AA495" s="498"/>
      <c r="AB495" s="498"/>
      <c r="AC495" s="498"/>
      <c r="AD495" s="542"/>
      <c r="AE495" s="498"/>
      <c r="AF495" s="498"/>
      <c r="AG495" s="498"/>
      <c r="AH495" s="498"/>
      <c r="AI495" s="498"/>
      <c r="AJ495" s="498"/>
      <c r="AK495" s="498"/>
      <c r="AL495" s="498"/>
      <c r="AM495" s="498"/>
      <c r="AN495" s="498"/>
      <c r="AO495" s="498"/>
      <c r="AP495" s="498"/>
      <c r="AQ495" s="498"/>
      <c r="AR495" s="498"/>
      <c r="AS495" s="498"/>
      <c r="AT495" s="498"/>
      <c r="AU495" s="498"/>
    </row>
    <row r="496" spans="1:47" s="2" customFormat="1">
      <c r="A496" s="589"/>
      <c r="C496" s="498"/>
      <c r="D496" s="498"/>
      <c r="E496" s="498"/>
      <c r="F496" s="498"/>
      <c r="G496" s="498"/>
      <c r="H496" s="498"/>
      <c r="I496" s="498"/>
      <c r="J496" s="498"/>
      <c r="K496" s="498"/>
      <c r="L496" s="498"/>
      <c r="M496" s="498"/>
      <c r="N496" s="498"/>
      <c r="O496" s="498"/>
      <c r="P496" s="498"/>
      <c r="Q496" s="498"/>
      <c r="R496" s="498"/>
      <c r="S496" s="498"/>
      <c r="T496" s="498"/>
      <c r="U496" s="498"/>
      <c r="V496" s="498"/>
      <c r="W496" s="498"/>
      <c r="X496" s="498"/>
      <c r="Y496" s="498"/>
      <c r="Z496" s="498"/>
      <c r="AA496" s="498"/>
      <c r="AB496" s="498"/>
      <c r="AC496" s="498"/>
      <c r="AD496" s="542"/>
      <c r="AE496" s="498"/>
      <c r="AF496" s="498"/>
      <c r="AG496" s="498"/>
      <c r="AH496" s="498"/>
      <c r="AI496" s="498"/>
      <c r="AJ496" s="498"/>
      <c r="AK496" s="498"/>
      <c r="AL496" s="498"/>
      <c r="AM496" s="498"/>
      <c r="AN496" s="498"/>
      <c r="AO496" s="498"/>
      <c r="AP496" s="498"/>
      <c r="AQ496" s="498"/>
      <c r="AR496" s="498"/>
      <c r="AS496" s="498"/>
      <c r="AT496" s="498"/>
      <c r="AU496" s="498"/>
    </row>
    <row r="497" spans="1:47" s="2" customFormat="1">
      <c r="A497" s="589"/>
      <c r="C497" s="498"/>
      <c r="D497" s="498"/>
      <c r="E497" s="498"/>
      <c r="F497" s="498"/>
      <c r="G497" s="498"/>
      <c r="H497" s="498"/>
      <c r="I497" s="498"/>
      <c r="J497" s="498"/>
      <c r="K497" s="498"/>
      <c r="L497" s="498"/>
      <c r="M497" s="498"/>
      <c r="N497" s="498"/>
      <c r="O497" s="498"/>
      <c r="P497" s="498"/>
      <c r="Q497" s="498"/>
      <c r="R497" s="498"/>
      <c r="S497" s="498"/>
      <c r="T497" s="498"/>
      <c r="U497" s="498"/>
      <c r="V497" s="498"/>
      <c r="W497" s="498"/>
      <c r="X497" s="498"/>
      <c r="Y497" s="498"/>
      <c r="Z497" s="498"/>
      <c r="AA497" s="498"/>
      <c r="AB497" s="498"/>
      <c r="AC497" s="498"/>
      <c r="AD497" s="542"/>
      <c r="AE497" s="498"/>
      <c r="AF497" s="498"/>
      <c r="AG497" s="498"/>
      <c r="AH497" s="498"/>
      <c r="AI497" s="498"/>
      <c r="AJ497" s="498"/>
      <c r="AK497" s="498"/>
      <c r="AL497" s="498"/>
      <c r="AM497" s="498"/>
      <c r="AN497" s="498"/>
      <c r="AO497" s="498"/>
      <c r="AP497" s="498"/>
      <c r="AQ497" s="498"/>
      <c r="AR497" s="498"/>
      <c r="AS497" s="498"/>
      <c r="AT497" s="498"/>
      <c r="AU497" s="498"/>
    </row>
    <row r="498" spans="1:47" s="2" customFormat="1">
      <c r="A498" s="589"/>
      <c r="C498" s="498"/>
      <c r="D498" s="498"/>
      <c r="E498" s="498"/>
      <c r="F498" s="498"/>
      <c r="G498" s="498"/>
      <c r="H498" s="498"/>
      <c r="I498" s="498"/>
      <c r="J498" s="498"/>
      <c r="K498" s="498"/>
      <c r="L498" s="498"/>
      <c r="M498" s="498"/>
      <c r="N498" s="498"/>
      <c r="O498" s="498"/>
      <c r="P498" s="498"/>
      <c r="Q498" s="498"/>
      <c r="R498" s="498"/>
      <c r="S498" s="498"/>
      <c r="T498" s="498"/>
      <c r="U498" s="498"/>
      <c r="V498" s="498"/>
      <c r="W498" s="498"/>
      <c r="X498" s="498"/>
      <c r="Y498" s="498"/>
      <c r="Z498" s="498"/>
      <c r="AA498" s="498"/>
      <c r="AB498" s="498"/>
      <c r="AC498" s="498"/>
      <c r="AD498" s="542"/>
      <c r="AE498" s="498"/>
      <c r="AF498" s="498"/>
      <c r="AG498" s="498"/>
      <c r="AH498" s="498"/>
      <c r="AI498" s="498"/>
      <c r="AJ498" s="498"/>
      <c r="AK498" s="498"/>
      <c r="AL498" s="498"/>
      <c r="AM498" s="498"/>
      <c r="AN498" s="498"/>
      <c r="AO498" s="498"/>
      <c r="AP498" s="498"/>
      <c r="AQ498" s="498"/>
      <c r="AR498" s="498"/>
      <c r="AS498" s="498"/>
      <c r="AT498" s="498"/>
      <c r="AU498" s="498"/>
    </row>
    <row r="499" spans="1:47" s="2" customFormat="1">
      <c r="A499" s="589"/>
      <c r="C499" s="498"/>
      <c r="D499" s="498"/>
      <c r="E499" s="498"/>
      <c r="F499" s="498"/>
      <c r="G499" s="498"/>
      <c r="H499" s="498"/>
      <c r="I499" s="498"/>
      <c r="J499" s="498"/>
      <c r="K499" s="498"/>
      <c r="L499" s="498"/>
      <c r="M499" s="498"/>
      <c r="N499" s="498"/>
      <c r="O499" s="498"/>
      <c r="P499" s="498"/>
      <c r="Q499" s="498"/>
      <c r="R499" s="498"/>
      <c r="S499" s="498"/>
      <c r="T499" s="498"/>
      <c r="U499" s="498"/>
      <c r="V499" s="498"/>
      <c r="W499" s="498"/>
      <c r="X499" s="498"/>
      <c r="Y499" s="498"/>
      <c r="Z499" s="498"/>
      <c r="AA499" s="498"/>
      <c r="AB499" s="498"/>
      <c r="AC499" s="498"/>
      <c r="AD499" s="542"/>
      <c r="AE499" s="498"/>
      <c r="AF499" s="498"/>
      <c r="AG499" s="498"/>
      <c r="AH499" s="498"/>
      <c r="AI499" s="498"/>
      <c r="AJ499" s="498"/>
      <c r="AK499" s="498"/>
      <c r="AL499" s="498"/>
      <c r="AM499" s="498"/>
      <c r="AN499" s="498"/>
      <c r="AO499" s="498"/>
      <c r="AP499" s="498"/>
      <c r="AQ499" s="498"/>
      <c r="AR499" s="498"/>
      <c r="AS499" s="498"/>
      <c r="AT499" s="498"/>
      <c r="AU499" s="498"/>
    </row>
    <row r="500" spans="1:47" s="2" customFormat="1">
      <c r="A500" s="571"/>
      <c r="C500" s="498"/>
      <c r="D500" s="498"/>
      <c r="E500" s="498"/>
      <c r="F500" s="498"/>
      <c r="G500" s="498"/>
      <c r="H500" s="498"/>
      <c r="I500" s="498"/>
      <c r="J500" s="498"/>
      <c r="K500" s="498"/>
      <c r="L500" s="498"/>
      <c r="M500" s="498"/>
      <c r="N500" s="498"/>
      <c r="O500" s="498"/>
      <c r="P500" s="498"/>
      <c r="Q500" s="498"/>
      <c r="R500" s="498"/>
      <c r="S500" s="498"/>
      <c r="T500" s="498"/>
      <c r="U500" s="498"/>
      <c r="V500" s="498"/>
      <c r="W500" s="498"/>
      <c r="X500" s="498"/>
      <c r="Y500" s="498"/>
      <c r="Z500" s="498"/>
      <c r="AA500" s="498"/>
      <c r="AB500" s="498"/>
      <c r="AC500" s="498"/>
      <c r="AD500" s="498"/>
      <c r="AE500" s="498"/>
      <c r="AF500" s="498"/>
      <c r="AG500" s="498"/>
      <c r="AH500" s="498"/>
      <c r="AI500" s="498"/>
      <c r="AJ500" s="498"/>
      <c r="AK500" s="498"/>
      <c r="AL500" s="498"/>
      <c r="AM500" s="498"/>
      <c r="AN500" s="498"/>
      <c r="AO500" s="498"/>
      <c r="AP500" s="498"/>
      <c r="AQ500" s="498"/>
      <c r="AR500" s="498"/>
      <c r="AS500" s="498"/>
      <c r="AT500" s="498"/>
      <c r="AU500" s="498"/>
    </row>
    <row r="501" spans="1:47" s="2" customFormat="1">
      <c r="A501" s="571"/>
      <c r="C501" s="498"/>
      <c r="D501" s="498"/>
      <c r="E501" s="498"/>
      <c r="F501" s="498"/>
      <c r="G501" s="498"/>
      <c r="H501" s="498"/>
      <c r="I501" s="498"/>
      <c r="J501" s="498"/>
      <c r="K501" s="498"/>
      <c r="L501" s="498"/>
      <c r="M501" s="498"/>
      <c r="N501" s="498"/>
      <c r="O501" s="498"/>
      <c r="P501" s="498"/>
      <c r="Q501" s="498"/>
      <c r="R501" s="498"/>
      <c r="S501" s="498"/>
      <c r="T501" s="498"/>
      <c r="U501" s="498"/>
      <c r="V501" s="498"/>
      <c r="W501" s="498"/>
      <c r="X501" s="498"/>
      <c r="Y501" s="498"/>
      <c r="Z501" s="498"/>
      <c r="AA501" s="498"/>
      <c r="AB501" s="498"/>
      <c r="AC501" s="498"/>
      <c r="AD501" s="498"/>
      <c r="AE501" s="498"/>
      <c r="AF501" s="498"/>
      <c r="AG501" s="498"/>
      <c r="AH501" s="498"/>
      <c r="AI501" s="498"/>
      <c r="AJ501" s="498"/>
      <c r="AK501" s="498"/>
      <c r="AL501" s="498"/>
      <c r="AM501" s="498"/>
      <c r="AN501" s="498"/>
      <c r="AO501" s="498"/>
      <c r="AP501" s="498"/>
      <c r="AQ501" s="498"/>
      <c r="AR501" s="498"/>
      <c r="AS501" s="498"/>
      <c r="AT501" s="498"/>
      <c r="AU501" s="498"/>
    </row>
    <row r="502" spans="1:47" s="2" customFormat="1">
      <c r="A502" s="571"/>
      <c r="C502" s="498"/>
      <c r="D502" s="498"/>
      <c r="E502" s="498"/>
      <c r="F502" s="498"/>
      <c r="G502" s="498"/>
      <c r="H502" s="498"/>
      <c r="I502" s="498"/>
      <c r="J502" s="498"/>
      <c r="K502" s="498"/>
      <c r="L502" s="498"/>
      <c r="M502" s="498"/>
      <c r="N502" s="498"/>
      <c r="O502" s="498"/>
      <c r="P502" s="498"/>
      <c r="Q502" s="498"/>
      <c r="R502" s="498"/>
      <c r="S502" s="498"/>
      <c r="T502" s="498"/>
      <c r="U502" s="498"/>
      <c r="V502" s="498"/>
      <c r="W502" s="498"/>
      <c r="X502" s="498"/>
      <c r="Y502" s="498"/>
      <c r="Z502" s="498"/>
      <c r="AA502" s="498"/>
      <c r="AB502" s="498"/>
      <c r="AC502" s="498"/>
      <c r="AD502" s="498"/>
      <c r="AE502" s="498"/>
      <c r="AF502" s="498"/>
      <c r="AG502" s="498"/>
      <c r="AH502" s="498"/>
      <c r="AI502" s="498"/>
      <c r="AJ502" s="498"/>
      <c r="AK502" s="498"/>
      <c r="AL502" s="498"/>
      <c r="AM502" s="498"/>
      <c r="AN502" s="498"/>
      <c r="AO502" s="498"/>
      <c r="AP502" s="498"/>
      <c r="AQ502" s="498"/>
      <c r="AR502" s="498"/>
      <c r="AS502" s="498"/>
      <c r="AT502" s="498"/>
      <c r="AU502" s="498"/>
    </row>
    <row r="503" spans="1:47" s="2" customFormat="1">
      <c r="A503" s="571"/>
      <c r="C503" s="498"/>
      <c r="D503" s="498"/>
      <c r="E503" s="498"/>
      <c r="F503" s="498"/>
      <c r="G503" s="498"/>
      <c r="H503" s="498"/>
      <c r="I503" s="498"/>
      <c r="J503" s="498"/>
      <c r="K503" s="498"/>
      <c r="L503" s="498"/>
      <c r="M503" s="498"/>
      <c r="N503" s="498"/>
      <c r="O503" s="498"/>
      <c r="P503" s="498"/>
      <c r="Q503" s="498"/>
      <c r="R503" s="498"/>
      <c r="S503" s="498"/>
      <c r="T503" s="498"/>
      <c r="U503" s="498"/>
      <c r="V503" s="498"/>
      <c r="W503" s="498"/>
      <c r="X503" s="498"/>
      <c r="Y503" s="498"/>
      <c r="Z503" s="498"/>
      <c r="AA503" s="498"/>
      <c r="AB503" s="498"/>
      <c r="AC503" s="498"/>
      <c r="AD503" s="498"/>
      <c r="AE503" s="498"/>
      <c r="AF503" s="498"/>
      <c r="AG503" s="498"/>
      <c r="AH503" s="498"/>
      <c r="AI503" s="498"/>
      <c r="AJ503" s="498"/>
      <c r="AK503" s="498"/>
      <c r="AL503" s="498"/>
      <c r="AM503" s="498"/>
      <c r="AN503" s="498"/>
      <c r="AO503" s="498"/>
      <c r="AP503" s="498"/>
      <c r="AQ503" s="498"/>
      <c r="AR503" s="498"/>
      <c r="AS503" s="498"/>
      <c r="AT503" s="498"/>
      <c r="AU503" s="498"/>
    </row>
    <row r="504" spans="1:47" s="2" customFormat="1">
      <c r="A504" s="571"/>
      <c r="C504" s="498"/>
      <c r="D504" s="498"/>
      <c r="E504" s="498"/>
      <c r="F504" s="498"/>
      <c r="G504" s="498"/>
      <c r="H504" s="498"/>
      <c r="I504" s="498"/>
      <c r="J504" s="498"/>
      <c r="K504" s="498"/>
      <c r="L504" s="498"/>
      <c r="M504" s="498"/>
      <c r="N504" s="498"/>
      <c r="O504" s="498"/>
      <c r="P504" s="498"/>
      <c r="Q504" s="498"/>
      <c r="R504" s="498"/>
      <c r="S504" s="498"/>
      <c r="T504" s="498"/>
      <c r="U504" s="498"/>
      <c r="V504" s="498"/>
      <c r="W504" s="498"/>
      <c r="X504" s="498"/>
      <c r="Y504" s="498"/>
      <c r="Z504" s="498"/>
      <c r="AA504" s="498"/>
      <c r="AB504" s="498"/>
      <c r="AC504" s="498"/>
      <c r="AD504" s="498"/>
      <c r="AE504" s="498"/>
      <c r="AF504" s="498"/>
      <c r="AG504" s="498"/>
      <c r="AH504" s="498"/>
      <c r="AI504" s="498"/>
      <c r="AJ504" s="498"/>
      <c r="AK504" s="498"/>
      <c r="AL504" s="498"/>
      <c r="AM504" s="498"/>
      <c r="AN504" s="498"/>
      <c r="AO504" s="498"/>
      <c r="AP504" s="498"/>
      <c r="AQ504" s="498"/>
      <c r="AR504" s="498"/>
      <c r="AS504" s="498"/>
      <c r="AT504" s="498"/>
      <c r="AU504" s="498"/>
    </row>
    <row r="505" spans="1:47" s="2" customFormat="1">
      <c r="A505" s="571"/>
      <c r="C505" s="498"/>
      <c r="D505" s="498"/>
      <c r="E505" s="498"/>
      <c r="F505" s="498"/>
      <c r="G505" s="498"/>
      <c r="H505" s="498"/>
      <c r="I505" s="498"/>
      <c r="J505" s="498"/>
      <c r="K505" s="498"/>
      <c r="L505" s="498"/>
      <c r="M505" s="498"/>
      <c r="N505" s="498"/>
      <c r="O505" s="498"/>
      <c r="P505" s="498"/>
      <c r="Q505" s="498"/>
      <c r="R505" s="498"/>
      <c r="S505" s="498"/>
      <c r="T505" s="498"/>
      <c r="U505" s="498"/>
      <c r="V505" s="498"/>
      <c r="W505" s="498"/>
      <c r="X505" s="498"/>
      <c r="Y505" s="498"/>
      <c r="Z505" s="498"/>
      <c r="AA505" s="498"/>
      <c r="AB505" s="498"/>
      <c r="AC505" s="498"/>
      <c r="AD505" s="542"/>
      <c r="AE505" s="498"/>
      <c r="AF505" s="498"/>
      <c r="AG505" s="498"/>
      <c r="AH505" s="507"/>
      <c r="AI505" s="507"/>
      <c r="AJ505" s="498"/>
      <c r="AK505" s="498"/>
      <c r="AL505" s="498"/>
      <c r="AM505" s="498"/>
      <c r="AN505" s="498"/>
      <c r="AO505" s="498"/>
      <c r="AP505" s="498"/>
      <c r="AQ505" s="498"/>
      <c r="AR505" s="498"/>
      <c r="AS505" s="498"/>
      <c r="AT505" s="498"/>
      <c r="AU505" s="498"/>
    </row>
    <row r="506" spans="1:47" s="2" customFormat="1">
      <c r="A506" s="589"/>
      <c r="C506" s="498"/>
      <c r="D506" s="498"/>
      <c r="E506" s="498"/>
      <c r="F506" s="498"/>
      <c r="G506" s="498"/>
      <c r="H506" s="498"/>
      <c r="I506" s="498"/>
      <c r="J506" s="498"/>
      <c r="K506" s="498"/>
      <c r="L506" s="498"/>
      <c r="M506" s="498"/>
      <c r="N506" s="498"/>
      <c r="O506" s="498"/>
      <c r="P506" s="498"/>
      <c r="Q506" s="498"/>
      <c r="R506" s="498"/>
      <c r="S506" s="498"/>
      <c r="T506" s="498"/>
      <c r="U506" s="498"/>
      <c r="V506" s="498"/>
      <c r="W506" s="498"/>
      <c r="X506" s="498"/>
      <c r="Y506" s="498"/>
      <c r="Z506" s="498"/>
      <c r="AA506" s="498"/>
      <c r="AB506" s="498"/>
      <c r="AC506" s="498"/>
      <c r="AD506" s="542"/>
      <c r="AE506" s="498"/>
      <c r="AF506" s="498"/>
      <c r="AG506" s="498"/>
      <c r="AH506" s="507"/>
      <c r="AI506" s="507"/>
      <c r="AJ506" s="498"/>
      <c r="AK506" s="498"/>
      <c r="AL506" s="498"/>
      <c r="AM506" s="498"/>
      <c r="AN506" s="498"/>
      <c r="AO506" s="498"/>
      <c r="AP506" s="498"/>
      <c r="AQ506" s="498"/>
      <c r="AR506" s="498"/>
      <c r="AS506" s="498"/>
      <c r="AT506" s="498"/>
      <c r="AU506" s="498"/>
    </row>
    <row r="507" spans="1:47" s="2" customFormat="1">
      <c r="A507" s="589"/>
      <c r="C507" s="498"/>
      <c r="D507" s="498"/>
      <c r="E507" s="498"/>
      <c r="F507" s="498"/>
      <c r="G507" s="498"/>
      <c r="H507" s="498"/>
      <c r="I507" s="498"/>
      <c r="J507" s="498"/>
      <c r="K507" s="498"/>
      <c r="L507" s="498"/>
      <c r="M507" s="498"/>
      <c r="N507" s="498"/>
      <c r="O507" s="498"/>
      <c r="P507" s="498"/>
      <c r="Q507" s="498"/>
      <c r="R507" s="498"/>
      <c r="S507" s="498"/>
      <c r="T507" s="498"/>
      <c r="U507" s="498"/>
      <c r="V507" s="498"/>
      <c r="W507" s="498"/>
      <c r="X507" s="498"/>
      <c r="Y507" s="498"/>
      <c r="Z507" s="498"/>
      <c r="AA507" s="498"/>
      <c r="AB507" s="498"/>
      <c r="AC507" s="498"/>
      <c r="AD507" s="542"/>
      <c r="AE507" s="498"/>
      <c r="AF507" s="498"/>
      <c r="AG507" s="498"/>
      <c r="AH507" s="507"/>
      <c r="AI507" s="507"/>
      <c r="AJ507" s="498"/>
      <c r="AK507" s="498"/>
      <c r="AL507" s="498"/>
      <c r="AM507" s="498"/>
      <c r="AN507" s="498"/>
      <c r="AO507" s="498"/>
      <c r="AP507" s="498"/>
      <c r="AQ507" s="498"/>
      <c r="AR507" s="498"/>
      <c r="AS507" s="498"/>
      <c r="AT507" s="498"/>
      <c r="AU507" s="498"/>
    </row>
    <row r="508" spans="1:47" s="2" customFormat="1">
      <c r="A508" s="589"/>
      <c r="C508" s="498"/>
      <c r="D508" s="498"/>
      <c r="E508" s="498"/>
      <c r="F508" s="498"/>
      <c r="G508" s="498"/>
      <c r="H508" s="498"/>
      <c r="I508" s="498"/>
      <c r="J508" s="498"/>
      <c r="K508" s="498"/>
      <c r="L508" s="498"/>
      <c r="M508" s="498"/>
      <c r="N508" s="498"/>
      <c r="O508" s="498"/>
      <c r="P508" s="498"/>
      <c r="Q508" s="498"/>
      <c r="R508" s="498"/>
      <c r="S508" s="498"/>
      <c r="T508" s="498"/>
      <c r="U508" s="498"/>
      <c r="V508" s="498"/>
      <c r="W508" s="498"/>
      <c r="X508" s="498"/>
      <c r="Y508" s="498"/>
      <c r="Z508" s="498"/>
      <c r="AA508" s="498"/>
      <c r="AB508" s="498"/>
      <c r="AC508" s="498"/>
      <c r="AD508" s="542"/>
      <c r="AE508" s="498"/>
      <c r="AF508" s="498"/>
      <c r="AG508" s="498"/>
      <c r="AH508" s="507"/>
      <c r="AI508" s="507"/>
      <c r="AJ508" s="498"/>
      <c r="AK508" s="498"/>
      <c r="AL508" s="498"/>
      <c r="AM508" s="498"/>
      <c r="AN508" s="498"/>
      <c r="AO508" s="498"/>
      <c r="AP508" s="498"/>
      <c r="AQ508" s="498"/>
      <c r="AR508" s="498"/>
      <c r="AS508" s="498"/>
      <c r="AT508" s="498"/>
      <c r="AU508" s="498"/>
    </row>
    <row r="509" spans="1:47" s="2" customFormat="1">
      <c r="A509" s="589"/>
      <c r="C509" s="498"/>
      <c r="D509" s="498"/>
      <c r="E509" s="498"/>
      <c r="F509" s="498"/>
      <c r="G509" s="498"/>
      <c r="H509" s="498"/>
      <c r="I509" s="498"/>
      <c r="J509" s="498"/>
      <c r="K509" s="498"/>
      <c r="L509" s="498"/>
      <c r="M509" s="498"/>
      <c r="N509" s="498"/>
      <c r="O509" s="498"/>
      <c r="P509" s="498"/>
      <c r="Q509" s="498"/>
      <c r="R509" s="498"/>
      <c r="S509" s="498"/>
      <c r="T509" s="498"/>
      <c r="U509" s="498"/>
      <c r="V509" s="498"/>
      <c r="W509" s="498"/>
      <c r="X509" s="498"/>
      <c r="Y509" s="498"/>
      <c r="Z509" s="498"/>
      <c r="AA509" s="498"/>
      <c r="AB509" s="498"/>
      <c r="AC509" s="498"/>
      <c r="AD509" s="542"/>
      <c r="AE509" s="498"/>
      <c r="AF509" s="498"/>
      <c r="AG509" s="498"/>
      <c r="AH509" s="507"/>
      <c r="AI509" s="507"/>
      <c r="AJ509" s="498"/>
      <c r="AK509" s="498"/>
      <c r="AL509" s="498"/>
      <c r="AM509" s="498"/>
      <c r="AN509" s="498"/>
      <c r="AO509" s="498"/>
      <c r="AP509" s="498"/>
      <c r="AQ509" s="498"/>
      <c r="AR509" s="498"/>
      <c r="AS509" s="498"/>
      <c r="AT509" s="498"/>
      <c r="AU509" s="498"/>
    </row>
    <row r="510" spans="1:47" s="2" customFormat="1">
      <c r="A510" s="589"/>
      <c r="C510" s="498"/>
      <c r="D510" s="498"/>
      <c r="E510" s="498"/>
      <c r="F510" s="49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542"/>
      <c r="AE510" s="498"/>
      <c r="AF510" s="498"/>
      <c r="AG510" s="498"/>
      <c r="AH510" s="507"/>
      <c r="AI510" s="507"/>
      <c r="AJ510" s="498"/>
      <c r="AK510" s="498"/>
      <c r="AL510" s="498"/>
      <c r="AM510" s="498"/>
      <c r="AN510" s="498"/>
      <c r="AO510" s="498"/>
      <c r="AP510" s="498"/>
      <c r="AQ510" s="498"/>
      <c r="AR510" s="498"/>
      <c r="AS510" s="498"/>
      <c r="AT510" s="498"/>
      <c r="AU510" s="498"/>
    </row>
    <row r="511" spans="1:47" s="2" customFormat="1">
      <c r="A511" s="589"/>
      <c r="C511" s="498"/>
      <c r="D511" s="498"/>
      <c r="E511" s="498"/>
      <c r="F511" s="498"/>
      <c r="G511" s="498"/>
      <c r="H511" s="498"/>
      <c r="I511" s="498"/>
      <c r="J511" s="498"/>
      <c r="K511" s="498"/>
      <c r="L511" s="498"/>
      <c r="M511" s="498"/>
      <c r="N511" s="498"/>
      <c r="O511" s="498"/>
      <c r="P511" s="498"/>
      <c r="Q511" s="498"/>
      <c r="R511" s="498"/>
      <c r="S511" s="498"/>
      <c r="T511" s="498"/>
      <c r="U511" s="498"/>
      <c r="V511" s="498"/>
      <c r="W511" s="498"/>
      <c r="X511" s="498"/>
      <c r="Y511" s="498"/>
      <c r="Z511" s="498"/>
      <c r="AA511" s="498"/>
      <c r="AB511" s="498"/>
      <c r="AC511" s="498"/>
      <c r="AD511" s="542"/>
      <c r="AE511" s="498"/>
      <c r="AF511" s="498"/>
      <c r="AG511" s="498"/>
      <c r="AH511" s="507"/>
      <c r="AI511" s="507"/>
      <c r="AJ511" s="498"/>
      <c r="AK511" s="498"/>
      <c r="AL511" s="498"/>
      <c r="AM511" s="498"/>
      <c r="AN511" s="498"/>
      <c r="AO511" s="498"/>
      <c r="AP511" s="498"/>
      <c r="AQ511" s="498"/>
      <c r="AR511" s="498"/>
      <c r="AS511" s="498"/>
      <c r="AT511" s="498"/>
      <c r="AU511" s="498"/>
    </row>
    <row r="512" spans="1:47" s="2" customFormat="1">
      <c r="A512" s="589"/>
      <c r="C512" s="498"/>
      <c r="D512" s="498"/>
      <c r="E512" s="498"/>
      <c r="F512" s="498"/>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542"/>
      <c r="AE512" s="498"/>
      <c r="AF512" s="498"/>
      <c r="AG512" s="498"/>
      <c r="AH512" s="507"/>
      <c r="AI512" s="507"/>
      <c r="AJ512" s="498"/>
      <c r="AK512" s="498"/>
      <c r="AL512" s="498"/>
      <c r="AM512" s="498"/>
      <c r="AN512" s="498"/>
      <c r="AO512" s="498"/>
      <c r="AP512" s="498"/>
      <c r="AQ512" s="498"/>
      <c r="AR512" s="498"/>
      <c r="AS512" s="498"/>
      <c r="AT512" s="498"/>
      <c r="AU512" s="498"/>
    </row>
    <row r="513" spans="1:47" s="2" customFormat="1">
      <c r="A513" s="589"/>
      <c r="C513" s="498"/>
      <c r="D513" s="498"/>
      <c r="E513" s="498"/>
      <c r="F513" s="498"/>
      <c r="G513" s="498"/>
      <c r="H513" s="498"/>
      <c r="I513" s="498"/>
      <c r="J513" s="498"/>
      <c r="K513" s="498"/>
      <c r="L513" s="498"/>
      <c r="M513" s="498"/>
      <c r="N513" s="498"/>
      <c r="O513" s="498"/>
      <c r="P513" s="498"/>
      <c r="Q513" s="498"/>
      <c r="R513" s="498"/>
      <c r="S513" s="498"/>
      <c r="T513" s="498"/>
      <c r="U513" s="498"/>
      <c r="V513" s="498"/>
      <c r="W513" s="498"/>
      <c r="X513" s="498"/>
      <c r="Y513" s="498"/>
      <c r="Z513" s="498"/>
      <c r="AA513" s="498"/>
      <c r="AB513" s="498"/>
      <c r="AC513" s="498"/>
      <c r="AD513" s="542"/>
      <c r="AE513" s="498"/>
      <c r="AF513" s="498"/>
      <c r="AG513" s="498"/>
      <c r="AH513" s="507"/>
      <c r="AI513" s="507"/>
      <c r="AJ513" s="498"/>
      <c r="AK513" s="498"/>
      <c r="AL513" s="498"/>
      <c r="AM513" s="498"/>
      <c r="AN513" s="498"/>
      <c r="AO513" s="498"/>
      <c r="AP513" s="498"/>
      <c r="AQ513" s="498"/>
      <c r="AR513" s="498"/>
      <c r="AS513" s="498"/>
      <c r="AT513" s="498"/>
      <c r="AU513" s="498"/>
    </row>
    <row r="514" spans="1:47" s="2" customFormat="1">
      <c r="A514" s="597"/>
      <c r="C514" s="498"/>
      <c r="D514" s="498"/>
      <c r="E514" s="498"/>
      <c r="F514" s="498"/>
      <c r="G514" s="498"/>
      <c r="H514" s="498"/>
      <c r="I514" s="498"/>
      <c r="J514" s="498"/>
      <c r="K514" s="498"/>
      <c r="L514" s="498"/>
      <c r="M514" s="498"/>
      <c r="N514" s="498"/>
      <c r="O514" s="498"/>
      <c r="P514" s="498"/>
      <c r="Q514" s="498"/>
      <c r="R514" s="498"/>
      <c r="S514" s="498"/>
      <c r="T514" s="498"/>
      <c r="U514" s="498"/>
      <c r="V514" s="498"/>
      <c r="W514" s="498"/>
      <c r="X514" s="498"/>
      <c r="Y514" s="498"/>
      <c r="Z514" s="498"/>
      <c r="AA514" s="498"/>
      <c r="AB514" s="498"/>
      <c r="AC514" s="498"/>
      <c r="AD514" s="591"/>
      <c r="AF514" s="521"/>
      <c r="AG514" s="521"/>
      <c r="AI514" s="498"/>
      <c r="AJ514" s="498"/>
      <c r="AK514" s="498"/>
      <c r="AL514" s="498"/>
      <c r="AM514" s="498"/>
      <c r="AN514" s="498"/>
      <c r="AO514" s="498"/>
      <c r="AP514" s="498"/>
      <c r="AQ514" s="498"/>
      <c r="AR514" s="498"/>
      <c r="AS514" s="498"/>
      <c r="AT514" s="498"/>
      <c r="AU514" s="498"/>
    </row>
    <row r="515" spans="1:47" s="2" customFormat="1">
      <c r="A515" s="571"/>
      <c r="C515" s="498"/>
      <c r="D515" s="498"/>
      <c r="E515" s="498"/>
      <c r="F515" s="498"/>
      <c r="G515" s="498"/>
      <c r="H515" s="498"/>
      <c r="I515" s="498"/>
      <c r="J515" s="498"/>
      <c r="K515" s="498"/>
      <c r="L515" s="498"/>
      <c r="M515" s="498"/>
      <c r="N515" s="498"/>
      <c r="O515" s="498"/>
      <c r="P515" s="498"/>
      <c r="Q515" s="498"/>
      <c r="R515" s="498"/>
      <c r="S515" s="498"/>
      <c r="T515" s="498"/>
      <c r="U515" s="498"/>
      <c r="V515" s="498"/>
      <c r="W515" s="498"/>
      <c r="X515" s="498"/>
      <c r="Y515" s="498"/>
      <c r="Z515" s="498"/>
      <c r="AA515" s="498"/>
      <c r="AB515" s="498"/>
      <c r="AC515" s="498"/>
      <c r="AD515" s="542"/>
      <c r="AE515" s="498"/>
      <c r="AF515" s="498"/>
      <c r="AG515" s="498"/>
      <c r="AH515" s="507"/>
      <c r="AI515" s="498"/>
      <c r="AJ515" s="498"/>
      <c r="AK515" s="498"/>
      <c r="AL515" s="498"/>
      <c r="AM515" s="498"/>
      <c r="AN515" s="498"/>
      <c r="AO515" s="498"/>
      <c r="AP515" s="498"/>
      <c r="AQ515" s="498"/>
      <c r="AR515" s="498"/>
      <c r="AS515" s="498"/>
      <c r="AT515" s="498"/>
      <c r="AU515" s="498"/>
    </row>
    <row r="516" spans="1:47" s="2" customFormat="1">
      <c r="A516" s="589"/>
      <c r="C516" s="498"/>
      <c r="D516" s="498"/>
      <c r="E516" s="498"/>
      <c r="F516" s="498"/>
      <c r="G516" s="498"/>
      <c r="H516" s="498"/>
      <c r="I516" s="498"/>
      <c r="J516" s="498"/>
      <c r="K516" s="498"/>
      <c r="L516" s="498"/>
      <c r="M516" s="498"/>
      <c r="N516" s="498"/>
      <c r="O516" s="498"/>
      <c r="P516" s="498"/>
      <c r="Q516" s="498"/>
      <c r="R516" s="498"/>
      <c r="S516" s="498"/>
      <c r="T516" s="498"/>
      <c r="U516" s="498"/>
      <c r="V516" s="498"/>
      <c r="W516" s="498"/>
      <c r="X516" s="498"/>
      <c r="Y516" s="498"/>
      <c r="Z516" s="498"/>
      <c r="AA516" s="498"/>
      <c r="AB516" s="498"/>
      <c r="AC516" s="498"/>
      <c r="AD516" s="542"/>
      <c r="AE516" s="498"/>
      <c r="AF516" s="498"/>
      <c r="AG516" s="498"/>
      <c r="AH516" s="507"/>
      <c r="AI516" s="498"/>
      <c r="AJ516" s="498"/>
      <c r="AK516" s="498"/>
      <c r="AL516" s="498"/>
      <c r="AM516" s="498"/>
      <c r="AN516" s="498"/>
      <c r="AO516" s="498"/>
      <c r="AP516" s="498"/>
      <c r="AQ516" s="498"/>
      <c r="AR516" s="498"/>
      <c r="AS516" s="498"/>
      <c r="AT516" s="498"/>
      <c r="AU516" s="498"/>
    </row>
    <row r="517" spans="1:47" s="2" customFormat="1">
      <c r="A517" s="589"/>
      <c r="C517" s="498"/>
      <c r="D517" s="498"/>
      <c r="E517" s="498"/>
      <c r="F517" s="498"/>
      <c r="G517" s="498"/>
      <c r="H517" s="498"/>
      <c r="I517" s="498"/>
      <c r="J517" s="498"/>
      <c r="K517" s="498"/>
      <c r="L517" s="498"/>
      <c r="M517" s="498"/>
      <c r="N517" s="498"/>
      <c r="O517" s="498"/>
      <c r="P517" s="498"/>
      <c r="Q517" s="498"/>
      <c r="R517" s="498"/>
      <c r="S517" s="498"/>
      <c r="T517" s="498"/>
      <c r="U517" s="498"/>
      <c r="V517" s="498"/>
      <c r="W517" s="498"/>
      <c r="X517" s="498"/>
      <c r="Y517" s="498"/>
      <c r="Z517" s="498"/>
      <c r="AA517" s="498"/>
      <c r="AB517" s="498"/>
      <c r="AC517" s="498"/>
      <c r="AD517" s="542"/>
      <c r="AE517" s="498"/>
      <c r="AF517" s="498"/>
      <c r="AG517" s="498"/>
      <c r="AH517" s="507"/>
      <c r="AI517" s="498"/>
      <c r="AJ517" s="498"/>
      <c r="AK517" s="498"/>
      <c r="AL517" s="498"/>
      <c r="AM517" s="498"/>
      <c r="AN517" s="498"/>
      <c r="AO517" s="498"/>
      <c r="AP517" s="498"/>
      <c r="AQ517" s="498"/>
      <c r="AR517" s="498"/>
      <c r="AS517" s="498"/>
      <c r="AT517" s="498"/>
      <c r="AU517" s="498"/>
    </row>
    <row r="518" spans="1:47" s="2" customFormat="1">
      <c r="A518" s="589"/>
      <c r="C518" s="498"/>
      <c r="D518" s="498"/>
      <c r="E518" s="498"/>
      <c r="F518" s="498"/>
      <c r="G518" s="498"/>
      <c r="H518" s="498"/>
      <c r="I518" s="498"/>
      <c r="J518" s="498"/>
      <c r="K518" s="498"/>
      <c r="L518" s="498"/>
      <c r="M518" s="498"/>
      <c r="N518" s="498"/>
      <c r="O518" s="498"/>
      <c r="P518" s="498"/>
      <c r="Q518" s="498"/>
      <c r="R518" s="498"/>
      <c r="S518" s="498"/>
      <c r="T518" s="498"/>
      <c r="U518" s="498"/>
      <c r="V518" s="498"/>
      <c r="W518" s="498"/>
      <c r="X518" s="498"/>
      <c r="Y518" s="498"/>
      <c r="Z518" s="498"/>
      <c r="AA518" s="498"/>
      <c r="AB518" s="498"/>
      <c r="AC518" s="498"/>
      <c r="AD518" s="542"/>
      <c r="AE518" s="498"/>
      <c r="AF518" s="498"/>
      <c r="AG518" s="498"/>
      <c r="AH518" s="507"/>
      <c r="AI518" s="498"/>
      <c r="AJ518" s="498"/>
      <c r="AK518" s="498"/>
      <c r="AL518" s="498"/>
      <c r="AM518" s="498"/>
      <c r="AN518" s="498"/>
      <c r="AO518" s="498"/>
      <c r="AP518" s="498"/>
      <c r="AQ518" s="498"/>
      <c r="AR518" s="498"/>
      <c r="AS518" s="498"/>
      <c r="AT518" s="498"/>
      <c r="AU518" s="498"/>
    </row>
    <row r="519" spans="1:47" s="2" customFormat="1">
      <c r="A519" s="589"/>
      <c r="C519" s="498"/>
      <c r="D519" s="498"/>
      <c r="E519" s="498"/>
      <c r="F519" s="498"/>
      <c r="G519" s="498"/>
      <c r="H519" s="498"/>
      <c r="I519" s="498"/>
      <c r="J519" s="498"/>
      <c r="K519" s="498"/>
      <c r="L519" s="498"/>
      <c r="M519" s="498"/>
      <c r="N519" s="498"/>
      <c r="O519" s="498"/>
      <c r="P519" s="498"/>
      <c r="Q519" s="498"/>
      <c r="R519" s="498"/>
      <c r="S519" s="498"/>
      <c r="T519" s="498"/>
      <c r="U519" s="498"/>
      <c r="V519" s="498"/>
      <c r="W519" s="498"/>
      <c r="X519" s="498"/>
      <c r="Y519" s="498"/>
      <c r="Z519" s="498"/>
      <c r="AA519" s="498"/>
      <c r="AB519" s="498"/>
      <c r="AC519" s="498"/>
      <c r="AD519" s="542"/>
      <c r="AE519" s="498"/>
      <c r="AF519" s="498"/>
      <c r="AG519" s="498"/>
      <c r="AH519" s="507"/>
      <c r="AI519" s="498"/>
      <c r="AJ519" s="498"/>
      <c r="AK519" s="498"/>
      <c r="AL519" s="498"/>
      <c r="AM519" s="498"/>
      <c r="AN519" s="498"/>
      <c r="AO519" s="498"/>
      <c r="AP519" s="498"/>
      <c r="AQ519" s="498"/>
      <c r="AR519" s="498"/>
      <c r="AS519" s="498"/>
      <c r="AT519" s="498"/>
      <c r="AU519" s="498"/>
    </row>
    <row r="520" spans="1:47" s="2" customFormat="1">
      <c r="A520" s="589"/>
      <c r="C520" s="498"/>
      <c r="D520" s="498"/>
      <c r="E520" s="498"/>
      <c r="F520" s="498"/>
      <c r="G520" s="498"/>
      <c r="H520" s="498"/>
      <c r="I520" s="498"/>
      <c r="J520" s="498"/>
      <c r="K520" s="498"/>
      <c r="L520" s="498"/>
      <c r="M520" s="498"/>
      <c r="N520" s="498"/>
      <c r="O520" s="498"/>
      <c r="P520" s="498"/>
      <c r="Q520" s="498"/>
      <c r="R520" s="498"/>
      <c r="S520" s="498"/>
      <c r="T520" s="498"/>
      <c r="U520" s="498"/>
      <c r="V520" s="498"/>
      <c r="W520" s="498"/>
      <c r="X520" s="498"/>
      <c r="Y520" s="498"/>
      <c r="Z520" s="498"/>
      <c r="AA520" s="498"/>
      <c r="AB520" s="498"/>
      <c r="AC520" s="498"/>
      <c r="AD520" s="542"/>
      <c r="AE520" s="498"/>
      <c r="AF520" s="498"/>
      <c r="AG520" s="498"/>
      <c r="AH520" s="507"/>
      <c r="AI520" s="498"/>
      <c r="AJ520" s="498"/>
      <c r="AK520" s="498"/>
      <c r="AL520" s="498"/>
      <c r="AM520" s="498"/>
      <c r="AN520" s="498"/>
      <c r="AO520" s="498"/>
      <c r="AP520" s="498"/>
      <c r="AQ520" s="498"/>
      <c r="AR520" s="498"/>
      <c r="AS520" s="498"/>
      <c r="AT520" s="498"/>
      <c r="AU520" s="498"/>
    </row>
    <row r="521" spans="1:47" s="2" customFormat="1">
      <c r="A521" s="589"/>
      <c r="C521" s="498"/>
      <c r="D521" s="498"/>
      <c r="E521" s="498"/>
      <c r="F521" s="498"/>
      <c r="G521" s="498"/>
      <c r="H521" s="498"/>
      <c r="I521" s="498"/>
      <c r="J521" s="498"/>
      <c r="K521" s="498"/>
      <c r="L521" s="498"/>
      <c r="M521" s="498"/>
      <c r="N521" s="498"/>
      <c r="O521" s="498"/>
      <c r="P521" s="498"/>
      <c r="Q521" s="498"/>
      <c r="R521" s="498"/>
      <c r="S521" s="498"/>
      <c r="T521" s="498"/>
      <c r="U521" s="498"/>
      <c r="V521" s="498"/>
      <c r="W521" s="498"/>
      <c r="X521" s="498"/>
      <c r="Y521" s="498"/>
      <c r="Z521" s="498"/>
      <c r="AA521" s="498"/>
      <c r="AB521" s="498"/>
      <c r="AC521" s="498"/>
      <c r="AD521" s="542"/>
      <c r="AE521" s="498"/>
      <c r="AF521" s="498"/>
      <c r="AG521" s="498"/>
      <c r="AH521" s="507"/>
      <c r="AI521" s="498"/>
      <c r="AJ521" s="498"/>
      <c r="AK521" s="498"/>
      <c r="AL521" s="498"/>
      <c r="AM521" s="498"/>
      <c r="AN521" s="498"/>
      <c r="AO521" s="498"/>
      <c r="AP521" s="498"/>
      <c r="AQ521" s="498"/>
      <c r="AR521" s="498"/>
      <c r="AS521" s="498"/>
      <c r="AT521" s="498"/>
      <c r="AU521" s="498"/>
    </row>
    <row r="522" spans="1:47" s="2" customFormat="1">
      <c r="A522" s="589"/>
      <c r="C522" s="498"/>
      <c r="D522" s="498"/>
      <c r="E522" s="498"/>
      <c r="F522" s="498"/>
      <c r="G522" s="498"/>
      <c r="H522" s="498"/>
      <c r="I522" s="498"/>
      <c r="J522" s="498"/>
      <c r="K522" s="498"/>
      <c r="L522" s="498"/>
      <c r="M522" s="498"/>
      <c r="N522" s="498"/>
      <c r="O522" s="498"/>
      <c r="P522" s="498"/>
      <c r="Q522" s="498"/>
      <c r="R522" s="498"/>
      <c r="S522" s="498"/>
      <c r="T522" s="498"/>
      <c r="U522" s="498"/>
      <c r="V522" s="498"/>
      <c r="W522" s="498"/>
      <c r="X522" s="498"/>
      <c r="Y522" s="498"/>
      <c r="Z522" s="498"/>
      <c r="AA522" s="498"/>
      <c r="AB522" s="498"/>
      <c r="AC522" s="498"/>
      <c r="AD522" s="542"/>
      <c r="AE522" s="498"/>
      <c r="AF522" s="498"/>
      <c r="AG522" s="498"/>
      <c r="AH522" s="507"/>
      <c r="AI522" s="498"/>
      <c r="AJ522" s="498"/>
      <c r="AK522" s="498"/>
      <c r="AL522" s="498"/>
      <c r="AM522" s="498"/>
      <c r="AN522" s="498"/>
      <c r="AO522" s="498"/>
      <c r="AP522" s="498"/>
      <c r="AQ522" s="498"/>
      <c r="AR522" s="498"/>
      <c r="AS522" s="498"/>
      <c r="AT522" s="498"/>
      <c r="AU522" s="498"/>
    </row>
    <row r="523" spans="1:47" s="2" customFormat="1">
      <c r="A523" s="589"/>
      <c r="C523" s="498"/>
      <c r="D523" s="498"/>
      <c r="E523" s="498"/>
      <c r="F523" s="498"/>
      <c r="G523" s="498"/>
      <c r="H523" s="498"/>
      <c r="I523" s="498"/>
      <c r="J523" s="498"/>
      <c r="K523" s="498"/>
      <c r="L523" s="498"/>
      <c r="M523" s="498"/>
      <c r="N523" s="498"/>
      <c r="O523" s="498"/>
      <c r="P523" s="498"/>
      <c r="Q523" s="498"/>
      <c r="R523" s="498"/>
      <c r="S523" s="498"/>
      <c r="T523" s="498"/>
      <c r="U523" s="498"/>
      <c r="V523" s="498"/>
      <c r="W523" s="498"/>
      <c r="X523" s="498"/>
      <c r="Y523" s="498"/>
      <c r="Z523" s="498"/>
      <c r="AA523" s="498"/>
      <c r="AB523" s="498"/>
      <c r="AC523" s="498"/>
      <c r="AD523" s="542"/>
      <c r="AE523" s="498"/>
      <c r="AF523" s="498"/>
      <c r="AG523" s="498"/>
      <c r="AH523" s="507"/>
      <c r="AI523" s="498"/>
      <c r="AJ523" s="498"/>
      <c r="AK523" s="498"/>
      <c r="AL523" s="498"/>
      <c r="AM523" s="498"/>
      <c r="AN523" s="498"/>
      <c r="AO523" s="498"/>
      <c r="AP523" s="498"/>
      <c r="AQ523" s="498"/>
      <c r="AR523" s="498"/>
      <c r="AS523" s="498"/>
      <c r="AT523" s="498"/>
      <c r="AU523" s="498"/>
    </row>
    <row r="524" spans="1:47" s="2" customFormat="1">
      <c r="A524" s="597"/>
      <c r="B524" s="586"/>
      <c r="C524" s="498"/>
      <c r="D524" s="498"/>
      <c r="E524" s="498"/>
      <c r="F524" s="498"/>
      <c r="G524" s="498"/>
      <c r="H524" s="498"/>
      <c r="I524" s="498"/>
      <c r="J524" s="498"/>
      <c r="K524" s="498"/>
      <c r="L524" s="498"/>
      <c r="M524" s="498"/>
      <c r="N524" s="498"/>
      <c r="O524" s="498"/>
      <c r="P524" s="498"/>
      <c r="Q524" s="498"/>
      <c r="R524" s="498"/>
      <c r="S524" s="498"/>
      <c r="T524" s="498"/>
      <c r="U524" s="498"/>
      <c r="V524" s="498"/>
      <c r="W524" s="498"/>
      <c r="X524" s="498"/>
      <c r="Y524" s="498"/>
      <c r="Z524" s="498"/>
      <c r="AA524" s="498"/>
      <c r="AB524" s="498"/>
      <c r="AC524" s="498"/>
      <c r="AD524" s="603"/>
      <c r="AF524" s="604"/>
      <c r="AG524" s="498"/>
      <c r="AI524" s="498"/>
      <c r="AJ524" s="498"/>
      <c r="AK524" s="498"/>
      <c r="AL524" s="498"/>
      <c r="AM524" s="498"/>
      <c r="AN524" s="498"/>
      <c r="AO524" s="498"/>
      <c r="AP524" s="498"/>
      <c r="AQ524" s="498"/>
      <c r="AR524" s="498"/>
      <c r="AS524" s="498"/>
      <c r="AT524" s="498"/>
      <c r="AU524" s="498"/>
    </row>
    <row r="525" spans="1:47" s="2" customFormat="1">
      <c r="A525" s="597"/>
      <c r="C525" s="498"/>
      <c r="D525" s="498"/>
      <c r="E525" s="498"/>
      <c r="F525" s="498"/>
      <c r="G525" s="498"/>
      <c r="H525" s="498"/>
      <c r="I525" s="498"/>
      <c r="J525" s="498"/>
      <c r="K525" s="498"/>
      <c r="L525" s="498"/>
      <c r="M525" s="498"/>
      <c r="N525" s="498"/>
      <c r="O525" s="498"/>
      <c r="P525" s="498"/>
      <c r="Q525" s="498"/>
      <c r="R525" s="498"/>
      <c r="S525" s="498"/>
      <c r="T525" s="498"/>
      <c r="U525" s="498"/>
      <c r="V525" s="498"/>
      <c r="W525" s="498"/>
      <c r="X525" s="498"/>
      <c r="Y525" s="498"/>
      <c r="Z525" s="498"/>
      <c r="AA525" s="498"/>
      <c r="AB525" s="498"/>
      <c r="AC525" s="498"/>
      <c r="AD525" s="603"/>
      <c r="AE525" s="144"/>
      <c r="AF525" s="604"/>
      <c r="AG525" s="604"/>
      <c r="AI525" s="498"/>
      <c r="AJ525" s="498"/>
      <c r="AK525" s="498"/>
      <c r="AL525" s="498"/>
      <c r="AM525" s="498"/>
      <c r="AN525" s="498"/>
      <c r="AO525" s="498"/>
      <c r="AP525" s="498"/>
      <c r="AQ525" s="498"/>
      <c r="AR525" s="498"/>
      <c r="AS525" s="498"/>
      <c r="AT525" s="498"/>
      <c r="AU525" s="498"/>
    </row>
    <row r="526" spans="1:47" s="2" customFormat="1">
      <c r="A526" s="571"/>
      <c r="C526" s="498"/>
      <c r="D526" s="498"/>
      <c r="E526" s="498"/>
      <c r="F526" s="498"/>
      <c r="G526" s="498"/>
      <c r="H526" s="498"/>
      <c r="I526" s="498"/>
      <c r="J526" s="498"/>
      <c r="K526" s="498"/>
      <c r="L526" s="498"/>
      <c r="M526" s="498"/>
      <c r="N526" s="498"/>
      <c r="O526" s="498"/>
      <c r="P526" s="498"/>
      <c r="Q526" s="498"/>
      <c r="R526" s="498"/>
      <c r="S526" s="498"/>
      <c r="T526" s="498"/>
      <c r="U526" s="498"/>
      <c r="V526" s="498"/>
      <c r="W526" s="498"/>
      <c r="X526" s="498"/>
      <c r="Y526" s="498"/>
      <c r="Z526" s="498"/>
      <c r="AA526" s="498"/>
      <c r="AB526" s="498"/>
      <c r="AC526" s="498"/>
      <c r="AD526" s="542"/>
      <c r="AE526" s="498"/>
      <c r="AF526" s="498"/>
      <c r="AG526" s="498"/>
      <c r="AH526" s="498"/>
      <c r="AI526" s="498"/>
      <c r="AJ526" s="498"/>
      <c r="AK526" s="498"/>
      <c r="AL526" s="498"/>
      <c r="AM526" s="498"/>
      <c r="AN526" s="498"/>
      <c r="AO526" s="498"/>
      <c r="AP526" s="498"/>
      <c r="AQ526" s="498"/>
      <c r="AR526" s="498"/>
      <c r="AS526" s="498"/>
      <c r="AT526" s="498"/>
      <c r="AU526" s="498"/>
    </row>
    <row r="527" spans="1:47" s="2" customFormat="1">
      <c r="A527" s="589"/>
      <c r="C527" s="498"/>
      <c r="D527" s="498"/>
      <c r="E527" s="498"/>
      <c r="F527" s="498"/>
      <c r="G527" s="498"/>
      <c r="H527" s="498"/>
      <c r="I527" s="498"/>
      <c r="J527" s="498"/>
      <c r="K527" s="498"/>
      <c r="L527" s="498"/>
      <c r="M527" s="498"/>
      <c r="N527" s="498"/>
      <c r="O527" s="498"/>
      <c r="P527" s="498"/>
      <c r="Q527" s="498"/>
      <c r="R527" s="498"/>
      <c r="S527" s="498"/>
      <c r="T527" s="498"/>
      <c r="U527" s="498"/>
      <c r="V527" s="498"/>
      <c r="W527" s="498"/>
      <c r="X527" s="498"/>
      <c r="Y527" s="498"/>
      <c r="Z527" s="498"/>
      <c r="AA527" s="498"/>
      <c r="AB527" s="498"/>
      <c r="AC527" s="498"/>
      <c r="AD527" s="542"/>
      <c r="AE527" s="498"/>
      <c r="AF527" s="498"/>
      <c r="AG527" s="498"/>
      <c r="AH527" s="498"/>
      <c r="AI527" s="498"/>
      <c r="AJ527" s="498"/>
      <c r="AK527" s="498"/>
      <c r="AL527" s="498"/>
      <c r="AM527" s="498"/>
      <c r="AN527" s="498"/>
      <c r="AO527" s="498"/>
      <c r="AP527" s="498"/>
      <c r="AQ527" s="498"/>
      <c r="AR527" s="498"/>
      <c r="AS527" s="498"/>
      <c r="AT527" s="498"/>
      <c r="AU527" s="498"/>
    </row>
    <row r="528" spans="1:47" s="2" customFormat="1">
      <c r="A528" s="589"/>
      <c r="C528" s="498"/>
      <c r="D528" s="498"/>
      <c r="E528" s="498"/>
      <c r="F528" s="498"/>
      <c r="G528" s="498"/>
      <c r="H528" s="498"/>
      <c r="I528" s="498"/>
      <c r="J528" s="498"/>
      <c r="K528" s="498"/>
      <c r="L528" s="498"/>
      <c r="M528" s="498"/>
      <c r="N528" s="498"/>
      <c r="O528" s="498"/>
      <c r="P528" s="498"/>
      <c r="Q528" s="498"/>
      <c r="R528" s="498"/>
      <c r="S528" s="498"/>
      <c r="T528" s="498"/>
      <c r="U528" s="498"/>
      <c r="V528" s="498"/>
      <c r="W528" s="498"/>
      <c r="X528" s="498"/>
      <c r="Y528" s="498"/>
      <c r="Z528" s="498"/>
      <c r="AA528" s="498"/>
      <c r="AB528" s="498"/>
      <c r="AC528" s="498"/>
      <c r="AD528" s="542"/>
      <c r="AE528" s="498"/>
      <c r="AF528" s="498"/>
      <c r="AG528" s="498"/>
      <c r="AH528" s="498"/>
      <c r="AI528" s="498"/>
      <c r="AJ528" s="498"/>
      <c r="AK528" s="498"/>
      <c r="AL528" s="498"/>
      <c r="AM528" s="498"/>
      <c r="AN528" s="498"/>
      <c r="AO528" s="498"/>
      <c r="AP528" s="498"/>
      <c r="AQ528" s="498"/>
      <c r="AR528" s="498"/>
      <c r="AS528" s="498"/>
      <c r="AT528" s="498"/>
      <c r="AU528" s="498"/>
    </row>
    <row r="529" spans="1:47" s="2" customFormat="1">
      <c r="A529" s="589"/>
      <c r="C529" s="498"/>
      <c r="D529" s="498"/>
      <c r="E529" s="498"/>
      <c r="F529" s="498"/>
      <c r="G529" s="498"/>
      <c r="H529" s="498"/>
      <c r="I529" s="498"/>
      <c r="J529" s="498"/>
      <c r="K529" s="498"/>
      <c r="L529" s="498"/>
      <c r="M529" s="498"/>
      <c r="N529" s="498"/>
      <c r="O529" s="498"/>
      <c r="P529" s="498"/>
      <c r="Q529" s="498"/>
      <c r="R529" s="498"/>
      <c r="S529" s="498"/>
      <c r="T529" s="498"/>
      <c r="U529" s="498"/>
      <c r="V529" s="498"/>
      <c r="W529" s="498"/>
      <c r="X529" s="498"/>
      <c r="Y529" s="498"/>
      <c r="Z529" s="498"/>
      <c r="AA529" s="498"/>
      <c r="AB529" s="498"/>
      <c r="AC529" s="498"/>
      <c r="AD529" s="542"/>
      <c r="AE529" s="498"/>
      <c r="AF529" s="498"/>
      <c r="AG529" s="498"/>
      <c r="AH529" s="498"/>
      <c r="AI529" s="498"/>
      <c r="AJ529" s="498"/>
      <c r="AK529" s="498"/>
      <c r="AL529" s="498"/>
      <c r="AM529" s="498"/>
      <c r="AN529" s="498"/>
      <c r="AO529" s="498"/>
      <c r="AP529" s="498"/>
      <c r="AQ529" s="498"/>
      <c r="AR529" s="498"/>
      <c r="AS529" s="498"/>
      <c r="AT529" s="498"/>
      <c r="AU529" s="498"/>
    </row>
    <row r="530" spans="1:47" s="2" customFormat="1">
      <c r="A530" s="589"/>
      <c r="C530" s="498"/>
      <c r="D530" s="498"/>
      <c r="E530" s="498"/>
      <c r="F530" s="498"/>
      <c r="G530" s="498"/>
      <c r="H530" s="498"/>
      <c r="I530" s="498"/>
      <c r="J530" s="498"/>
      <c r="K530" s="498"/>
      <c r="L530" s="498"/>
      <c r="M530" s="498"/>
      <c r="N530" s="498"/>
      <c r="O530" s="498"/>
      <c r="P530" s="498"/>
      <c r="Q530" s="498"/>
      <c r="R530" s="498"/>
      <c r="S530" s="498"/>
      <c r="T530" s="498"/>
      <c r="U530" s="498"/>
      <c r="V530" s="498"/>
      <c r="W530" s="498"/>
      <c r="X530" s="498"/>
      <c r="Y530" s="498"/>
      <c r="Z530" s="498"/>
      <c r="AA530" s="498"/>
      <c r="AB530" s="498"/>
      <c r="AC530" s="498"/>
      <c r="AD530" s="542"/>
      <c r="AE530" s="498"/>
      <c r="AF530" s="498"/>
      <c r="AG530" s="498"/>
      <c r="AH530" s="498"/>
      <c r="AI530" s="498"/>
      <c r="AJ530" s="498"/>
      <c r="AK530" s="498"/>
      <c r="AL530" s="498"/>
      <c r="AM530" s="498"/>
      <c r="AN530" s="498"/>
      <c r="AO530" s="498"/>
      <c r="AP530" s="498"/>
      <c r="AQ530" s="498"/>
      <c r="AR530" s="498"/>
      <c r="AS530" s="498"/>
      <c r="AT530" s="498"/>
      <c r="AU530" s="498"/>
    </row>
    <row r="531" spans="1:47" s="2" customFormat="1">
      <c r="A531" s="589"/>
      <c r="C531" s="498"/>
      <c r="D531" s="498"/>
      <c r="E531" s="498"/>
      <c r="F531" s="498"/>
      <c r="G531" s="498"/>
      <c r="H531" s="498"/>
      <c r="I531" s="498"/>
      <c r="J531" s="498"/>
      <c r="K531" s="498"/>
      <c r="L531" s="498"/>
      <c r="M531" s="498"/>
      <c r="N531" s="498"/>
      <c r="O531" s="498"/>
      <c r="P531" s="498"/>
      <c r="Q531" s="498"/>
      <c r="R531" s="498"/>
      <c r="S531" s="498"/>
      <c r="T531" s="498"/>
      <c r="U531" s="498"/>
      <c r="V531" s="498"/>
      <c r="W531" s="498"/>
      <c r="X531" s="498"/>
      <c r="Y531" s="498"/>
      <c r="Z531" s="498"/>
      <c r="AA531" s="498"/>
      <c r="AB531" s="498"/>
      <c r="AC531" s="498"/>
      <c r="AD531" s="542"/>
      <c r="AE531" s="498"/>
      <c r="AF531" s="498"/>
      <c r="AG531" s="498"/>
      <c r="AH531" s="498"/>
      <c r="AI531" s="498"/>
      <c r="AJ531" s="498"/>
      <c r="AK531" s="498"/>
      <c r="AL531" s="498"/>
      <c r="AM531" s="498"/>
      <c r="AN531" s="498"/>
      <c r="AO531" s="498"/>
      <c r="AP531" s="498"/>
      <c r="AQ531" s="498"/>
      <c r="AR531" s="498"/>
      <c r="AS531" s="498"/>
      <c r="AT531" s="498"/>
      <c r="AU531" s="498"/>
    </row>
    <row r="532" spans="1:47" s="2" customFormat="1">
      <c r="A532" s="589"/>
      <c r="C532" s="498"/>
      <c r="D532" s="498"/>
      <c r="E532" s="498"/>
      <c r="F532" s="498"/>
      <c r="G532" s="498"/>
      <c r="H532" s="498"/>
      <c r="I532" s="498"/>
      <c r="J532" s="498"/>
      <c r="K532" s="498"/>
      <c r="L532" s="498"/>
      <c r="M532" s="498"/>
      <c r="N532" s="498"/>
      <c r="O532" s="498"/>
      <c r="P532" s="498"/>
      <c r="Q532" s="498"/>
      <c r="R532" s="498"/>
      <c r="S532" s="498"/>
      <c r="T532" s="498"/>
      <c r="U532" s="498"/>
      <c r="V532" s="498"/>
      <c r="W532" s="498"/>
      <c r="X532" s="498"/>
      <c r="Y532" s="498"/>
      <c r="Z532" s="498"/>
      <c r="AA532" s="498"/>
      <c r="AB532" s="498"/>
      <c r="AC532" s="498"/>
      <c r="AD532" s="542"/>
      <c r="AE532" s="498"/>
      <c r="AF532" s="498"/>
      <c r="AG532" s="498"/>
      <c r="AH532" s="498"/>
      <c r="AI532" s="498"/>
      <c r="AJ532" s="498"/>
      <c r="AK532" s="498"/>
      <c r="AL532" s="498"/>
      <c r="AM532" s="498"/>
      <c r="AN532" s="498"/>
      <c r="AO532" s="498"/>
      <c r="AP532" s="498"/>
      <c r="AQ532" s="498"/>
      <c r="AR532" s="498"/>
      <c r="AS532" s="498"/>
      <c r="AT532" s="498"/>
      <c r="AU532" s="498"/>
    </row>
    <row r="533" spans="1:47" s="2" customFormat="1">
      <c r="A533" s="589"/>
      <c r="C533" s="498"/>
      <c r="D533" s="498"/>
      <c r="E533" s="498"/>
      <c r="F533" s="498"/>
      <c r="G533" s="498"/>
      <c r="H533" s="498"/>
      <c r="I533" s="498"/>
      <c r="J533" s="498"/>
      <c r="K533" s="498"/>
      <c r="L533" s="498"/>
      <c r="M533" s="498"/>
      <c r="N533" s="498"/>
      <c r="O533" s="498"/>
      <c r="P533" s="498"/>
      <c r="Q533" s="498"/>
      <c r="R533" s="498"/>
      <c r="S533" s="498"/>
      <c r="T533" s="498"/>
      <c r="U533" s="498"/>
      <c r="V533" s="498"/>
      <c r="W533" s="498"/>
      <c r="X533" s="498"/>
      <c r="Y533" s="498"/>
      <c r="Z533" s="498"/>
      <c r="AA533" s="498"/>
      <c r="AB533" s="498"/>
      <c r="AC533" s="498"/>
      <c r="AD533" s="542"/>
      <c r="AE533" s="498"/>
      <c r="AF533" s="498"/>
      <c r="AG533" s="498"/>
      <c r="AH533" s="498"/>
      <c r="AI533" s="498"/>
      <c r="AJ533" s="498"/>
      <c r="AK533" s="498"/>
      <c r="AL533" s="498"/>
      <c r="AM533" s="498"/>
      <c r="AN533" s="498"/>
      <c r="AO533" s="498"/>
      <c r="AP533" s="498"/>
      <c r="AQ533" s="498"/>
      <c r="AR533" s="498"/>
      <c r="AS533" s="498"/>
      <c r="AT533" s="498"/>
      <c r="AU533" s="498"/>
    </row>
    <row r="534" spans="1:47" s="2" customFormat="1">
      <c r="A534" s="589"/>
      <c r="C534" s="498"/>
      <c r="D534" s="498"/>
      <c r="E534" s="498"/>
      <c r="F534" s="498"/>
      <c r="G534" s="498"/>
      <c r="H534" s="498"/>
      <c r="I534" s="498"/>
      <c r="J534" s="498"/>
      <c r="K534" s="498"/>
      <c r="L534" s="498"/>
      <c r="M534" s="498"/>
      <c r="N534" s="498"/>
      <c r="O534" s="498"/>
      <c r="P534" s="498"/>
      <c r="Q534" s="498"/>
      <c r="R534" s="498"/>
      <c r="S534" s="498"/>
      <c r="T534" s="498"/>
      <c r="U534" s="498"/>
      <c r="V534" s="498"/>
      <c r="W534" s="498"/>
      <c r="X534" s="498"/>
      <c r="Y534" s="498"/>
      <c r="Z534" s="498"/>
      <c r="AA534" s="498"/>
      <c r="AB534" s="498"/>
      <c r="AC534" s="498"/>
      <c r="AD534" s="542"/>
      <c r="AE534" s="498"/>
      <c r="AF534" s="498"/>
      <c r="AG534" s="498"/>
      <c r="AH534" s="498"/>
      <c r="AI534" s="498"/>
      <c r="AJ534" s="498"/>
      <c r="AK534" s="498"/>
      <c r="AL534" s="498"/>
      <c r="AM534" s="498"/>
      <c r="AN534" s="498"/>
      <c r="AO534" s="498"/>
      <c r="AP534" s="498"/>
      <c r="AQ534" s="498"/>
      <c r="AR534" s="498"/>
      <c r="AS534" s="498"/>
      <c r="AT534" s="498"/>
      <c r="AU534" s="498"/>
    </row>
    <row r="535" spans="1:47" s="2" customFormat="1">
      <c r="A535" s="571"/>
      <c r="C535" s="498"/>
      <c r="D535" s="498"/>
      <c r="E535" s="498"/>
      <c r="F535" s="498"/>
      <c r="G535" s="498"/>
      <c r="H535" s="498"/>
      <c r="I535" s="498"/>
      <c r="J535" s="498"/>
      <c r="K535" s="498"/>
      <c r="L535" s="498"/>
      <c r="M535" s="498"/>
      <c r="N535" s="498"/>
      <c r="O535" s="498"/>
      <c r="P535" s="498"/>
      <c r="Q535" s="498"/>
      <c r="R535" s="498"/>
      <c r="S535" s="498"/>
      <c r="T535" s="498"/>
      <c r="U535" s="498"/>
      <c r="V535" s="498"/>
      <c r="W535" s="498"/>
      <c r="X535" s="498"/>
      <c r="Y535" s="498"/>
      <c r="Z535" s="498"/>
      <c r="AA535" s="498"/>
      <c r="AB535" s="498"/>
      <c r="AC535" s="498"/>
      <c r="AD535" s="498"/>
      <c r="AE535" s="498"/>
      <c r="AF535" s="498"/>
      <c r="AG535" s="498"/>
      <c r="AH535" s="498"/>
      <c r="AI535" s="498"/>
      <c r="AJ535" s="498"/>
      <c r="AK535" s="498"/>
      <c r="AL535" s="498"/>
      <c r="AM535" s="498"/>
      <c r="AN535" s="498"/>
      <c r="AO535" s="498"/>
      <c r="AP535" s="498"/>
      <c r="AQ535" s="498"/>
      <c r="AR535" s="498"/>
      <c r="AS535" s="498"/>
      <c r="AT535" s="498"/>
      <c r="AU535" s="498"/>
    </row>
    <row r="536" spans="1:47" s="2" customFormat="1">
      <c r="A536" s="571"/>
      <c r="C536" s="498"/>
      <c r="D536" s="498"/>
      <c r="E536" s="498"/>
      <c r="F536" s="498"/>
      <c r="G536" s="498"/>
      <c r="H536" s="498"/>
      <c r="I536" s="498"/>
      <c r="J536" s="498"/>
      <c r="K536" s="498"/>
      <c r="L536" s="498"/>
      <c r="M536" s="498"/>
      <c r="N536" s="498"/>
      <c r="O536" s="498"/>
      <c r="P536" s="498"/>
      <c r="Q536" s="498"/>
      <c r="R536" s="498"/>
      <c r="S536" s="498"/>
      <c r="T536" s="498"/>
      <c r="U536" s="498"/>
      <c r="V536" s="498"/>
      <c r="W536" s="498"/>
      <c r="X536" s="498"/>
      <c r="Y536" s="498"/>
      <c r="Z536" s="498"/>
      <c r="AA536" s="498"/>
      <c r="AB536" s="498"/>
      <c r="AC536" s="498"/>
      <c r="AD536" s="498"/>
      <c r="AE536" s="498"/>
      <c r="AF536" s="498"/>
      <c r="AG536" s="498"/>
      <c r="AH536" s="498"/>
      <c r="AI536" s="498"/>
      <c r="AJ536" s="498"/>
      <c r="AK536" s="498"/>
      <c r="AL536" s="498"/>
      <c r="AM536" s="498"/>
      <c r="AN536" s="498"/>
      <c r="AO536" s="498"/>
      <c r="AP536" s="498"/>
      <c r="AQ536" s="498"/>
      <c r="AR536" s="498"/>
      <c r="AS536" s="498"/>
      <c r="AT536" s="498"/>
      <c r="AU536" s="498"/>
    </row>
    <row r="537" spans="1:47" s="2" customFormat="1">
      <c r="A537" s="571"/>
      <c r="C537" s="498"/>
      <c r="D537" s="498"/>
      <c r="E537" s="498"/>
      <c r="F537" s="498"/>
      <c r="G537" s="498"/>
      <c r="H537" s="498"/>
      <c r="I537" s="498"/>
      <c r="J537" s="498"/>
      <c r="K537" s="498"/>
      <c r="L537" s="498"/>
      <c r="M537" s="498"/>
      <c r="N537" s="498"/>
      <c r="O537" s="498"/>
      <c r="P537" s="498"/>
      <c r="Q537" s="498"/>
      <c r="R537" s="498"/>
      <c r="S537" s="498"/>
      <c r="T537" s="498"/>
      <c r="U537" s="498"/>
      <c r="V537" s="498"/>
      <c r="W537" s="498"/>
      <c r="X537" s="498"/>
      <c r="Y537" s="498"/>
      <c r="Z537" s="498"/>
      <c r="AA537" s="498"/>
      <c r="AB537" s="498"/>
      <c r="AC537" s="498"/>
      <c r="AD537" s="498"/>
      <c r="AE537" s="498"/>
      <c r="AF537" s="498"/>
      <c r="AG537" s="498"/>
      <c r="AH537" s="498"/>
      <c r="AI537" s="498"/>
      <c r="AJ537" s="498"/>
      <c r="AK537" s="498"/>
      <c r="AL537" s="498"/>
      <c r="AM537" s="498"/>
      <c r="AN537" s="498"/>
      <c r="AO537" s="498"/>
      <c r="AP537" s="498"/>
      <c r="AQ537" s="498"/>
      <c r="AR537" s="498"/>
      <c r="AS537" s="498"/>
      <c r="AT537" s="498"/>
      <c r="AU537" s="498"/>
    </row>
    <row r="538" spans="1:47" s="2" customFormat="1">
      <c r="A538" s="571"/>
      <c r="C538" s="498"/>
      <c r="D538" s="498"/>
      <c r="E538" s="498"/>
      <c r="F538" s="498"/>
      <c r="G538" s="498"/>
      <c r="H538" s="498"/>
      <c r="I538" s="498"/>
      <c r="J538" s="498"/>
      <c r="K538" s="498"/>
      <c r="L538" s="498"/>
      <c r="M538" s="498"/>
      <c r="N538" s="498"/>
      <c r="O538" s="498"/>
      <c r="P538" s="498"/>
      <c r="Q538" s="498"/>
      <c r="R538" s="498"/>
      <c r="S538" s="498"/>
      <c r="T538" s="498"/>
      <c r="U538" s="498"/>
      <c r="V538" s="498"/>
      <c r="W538" s="498"/>
      <c r="X538" s="498"/>
      <c r="Y538" s="498"/>
      <c r="Z538" s="498"/>
      <c r="AA538" s="498"/>
      <c r="AB538" s="498"/>
      <c r="AC538" s="498"/>
      <c r="AD538" s="498"/>
      <c r="AE538" s="498"/>
      <c r="AF538" s="498"/>
      <c r="AG538" s="498"/>
      <c r="AH538" s="498"/>
      <c r="AI538" s="498"/>
      <c r="AJ538" s="498"/>
      <c r="AK538" s="498"/>
      <c r="AL538" s="498"/>
      <c r="AM538" s="498"/>
      <c r="AN538" s="498"/>
      <c r="AO538" s="498"/>
      <c r="AP538" s="498"/>
      <c r="AQ538" s="498"/>
      <c r="AR538" s="498"/>
      <c r="AS538" s="498"/>
      <c r="AT538" s="498"/>
      <c r="AU538" s="498"/>
    </row>
    <row r="539" spans="1:47" s="2" customFormat="1">
      <c r="A539" s="571"/>
      <c r="C539" s="498"/>
      <c r="D539" s="498"/>
      <c r="E539" s="498"/>
      <c r="F539" s="498"/>
      <c r="G539" s="498"/>
      <c r="H539" s="498"/>
      <c r="I539" s="498"/>
      <c r="J539" s="498"/>
      <c r="K539" s="498"/>
      <c r="L539" s="498"/>
      <c r="M539" s="498"/>
      <c r="N539" s="498"/>
      <c r="O539" s="498"/>
      <c r="P539" s="498"/>
      <c r="Q539" s="498"/>
      <c r="R539" s="498"/>
      <c r="S539" s="498"/>
      <c r="T539" s="498"/>
      <c r="U539" s="498"/>
      <c r="V539" s="498"/>
      <c r="W539" s="498"/>
      <c r="X539" s="498"/>
      <c r="Y539" s="498"/>
      <c r="Z539" s="498"/>
      <c r="AA539" s="498"/>
      <c r="AB539" s="498"/>
      <c r="AC539" s="498"/>
      <c r="AD539" s="498"/>
      <c r="AE539" s="498"/>
      <c r="AF539" s="498"/>
      <c r="AG539" s="498"/>
      <c r="AI539" s="498"/>
      <c r="AJ539" s="498"/>
      <c r="AK539" s="498"/>
      <c r="AL539" s="498"/>
      <c r="AM539" s="498"/>
      <c r="AN539" s="498"/>
      <c r="AO539" s="498"/>
      <c r="AP539" s="498"/>
      <c r="AQ539" s="498"/>
      <c r="AR539" s="498"/>
      <c r="AS539" s="498"/>
      <c r="AT539" s="498"/>
      <c r="AU539" s="498"/>
    </row>
    <row r="540" spans="1:47" s="2" customFormat="1">
      <c r="A540" s="571"/>
      <c r="C540" s="498"/>
      <c r="D540" s="498"/>
      <c r="E540" s="498"/>
      <c r="F540" s="498"/>
      <c r="G540" s="498"/>
      <c r="H540" s="498"/>
      <c r="I540" s="498"/>
      <c r="J540" s="498"/>
      <c r="K540" s="498"/>
      <c r="L540" s="498"/>
      <c r="M540" s="498"/>
      <c r="N540" s="498"/>
      <c r="O540" s="498"/>
      <c r="P540" s="498"/>
      <c r="Q540" s="498"/>
      <c r="R540" s="498"/>
      <c r="S540" s="498"/>
      <c r="T540" s="498"/>
      <c r="U540" s="498"/>
      <c r="V540" s="498"/>
      <c r="W540" s="498"/>
      <c r="X540" s="498"/>
      <c r="Y540" s="498"/>
      <c r="Z540" s="498"/>
      <c r="AA540" s="498"/>
      <c r="AB540" s="498"/>
      <c r="AC540" s="498"/>
      <c r="AD540" s="542"/>
      <c r="AE540" s="498"/>
      <c r="AF540" s="498"/>
      <c r="AG540" s="498"/>
      <c r="AH540" s="507"/>
      <c r="AI540" s="498"/>
      <c r="AJ540" s="498"/>
      <c r="AK540" s="498"/>
      <c r="AL540" s="498"/>
      <c r="AM540" s="498"/>
      <c r="AN540" s="498"/>
      <c r="AO540" s="498"/>
      <c r="AP540" s="498"/>
      <c r="AQ540" s="498"/>
      <c r="AR540" s="498"/>
      <c r="AS540" s="498"/>
      <c r="AT540" s="498"/>
      <c r="AU540" s="498"/>
    </row>
    <row r="541" spans="1:47" s="2" customFormat="1">
      <c r="A541" s="589"/>
      <c r="C541" s="498"/>
      <c r="D541" s="498"/>
      <c r="E541" s="498"/>
      <c r="F541" s="498"/>
      <c r="G541" s="498"/>
      <c r="H541" s="498"/>
      <c r="I541" s="498"/>
      <c r="J541" s="498"/>
      <c r="K541" s="498"/>
      <c r="L541" s="498"/>
      <c r="M541" s="498"/>
      <c r="N541" s="498"/>
      <c r="O541" s="498"/>
      <c r="P541" s="498"/>
      <c r="Q541" s="498"/>
      <c r="R541" s="498"/>
      <c r="S541" s="498"/>
      <c r="T541" s="498"/>
      <c r="U541" s="498"/>
      <c r="V541" s="498"/>
      <c r="W541" s="498"/>
      <c r="X541" s="498"/>
      <c r="Y541" s="498"/>
      <c r="Z541" s="498"/>
      <c r="AA541" s="498"/>
      <c r="AB541" s="498"/>
      <c r="AC541" s="498"/>
      <c r="AD541" s="542"/>
      <c r="AE541" s="498"/>
      <c r="AF541" s="498"/>
      <c r="AG541" s="498"/>
      <c r="AI541" s="498"/>
      <c r="AJ541" s="498"/>
      <c r="AK541" s="498"/>
      <c r="AL541" s="498"/>
      <c r="AM541" s="498"/>
      <c r="AN541" s="498"/>
      <c r="AO541" s="498"/>
      <c r="AP541" s="498"/>
      <c r="AQ541" s="498"/>
      <c r="AR541" s="498"/>
      <c r="AS541" s="498"/>
      <c r="AT541" s="498"/>
      <c r="AU541" s="498"/>
    </row>
    <row r="542" spans="1:47" s="2" customFormat="1">
      <c r="A542" s="589"/>
      <c r="C542" s="498"/>
      <c r="D542" s="498"/>
      <c r="E542" s="498"/>
      <c r="F542" s="498"/>
      <c r="G542" s="498"/>
      <c r="H542" s="498"/>
      <c r="I542" s="498"/>
      <c r="J542" s="498"/>
      <c r="K542" s="498"/>
      <c r="L542" s="498"/>
      <c r="M542" s="498"/>
      <c r="N542" s="498"/>
      <c r="O542" s="498"/>
      <c r="P542" s="498"/>
      <c r="Q542" s="498"/>
      <c r="R542" s="498"/>
      <c r="S542" s="498"/>
      <c r="T542" s="498"/>
      <c r="U542" s="498"/>
      <c r="V542" s="498"/>
      <c r="W542" s="498"/>
      <c r="X542" s="498"/>
      <c r="Y542" s="498"/>
      <c r="Z542" s="498"/>
      <c r="AA542" s="498"/>
      <c r="AB542" s="498"/>
      <c r="AC542" s="498"/>
      <c r="AD542" s="542"/>
      <c r="AE542" s="498"/>
      <c r="AF542" s="498"/>
      <c r="AG542" s="498"/>
      <c r="AI542" s="498"/>
      <c r="AJ542" s="498"/>
      <c r="AK542" s="498"/>
      <c r="AL542" s="498"/>
      <c r="AM542" s="498"/>
      <c r="AN542" s="498"/>
      <c r="AO542" s="498"/>
      <c r="AP542" s="498"/>
      <c r="AQ542" s="498"/>
      <c r="AR542" s="498"/>
      <c r="AS542" s="498"/>
      <c r="AT542" s="498"/>
      <c r="AU542" s="498"/>
    </row>
    <row r="543" spans="1:47" s="2" customFormat="1">
      <c r="A543" s="589"/>
      <c r="C543" s="498"/>
      <c r="D543" s="498"/>
      <c r="E543" s="498"/>
      <c r="F543" s="498"/>
      <c r="G543" s="498"/>
      <c r="H543" s="498"/>
      <c r="I543" s="498"/>
      <c r="J543" s="498"/>
      <c r="K543" s="498"/>
      <c r="L543" s="498"/>
      <c r="M543" s="498"/>
      <c r="N543" s="498"/>
      <c r="O543" s="498"/>
      <c r="P543" s="498"/>
      <c r="Q543" s="498"/>
      <c r="R543" s="498"/>
      <c r="S543" s="498"/>
      <c r="T543" s="498"/>
      <c r="U543" s="498"/>
      <c r="V543" s="498"/>
      <c r="W543" s="498"/>
      <c r="X543" s="498"/>
      <c r="Y543" s="498"/>
      <c r="Z543" s="498"/>
      <c r="AA543" s="498"/>
      <c r="AB543" s="498"/>
      <c r="AC543" s="498"/>
      <c r="AD543" s="542"/>
      <c r="AE543" s="498"/>
      <c r="AF543" s="498"/>
      <c r="AG543" s="498"/>
      <c r="AI543" s="498"/>
      <c r="AJ543" s="498"/>
      <c r="AK543" s="498"/>
      <c r="AL543" s="498"/>
      <c r="AM543" s="498"/>
      <c r="AN543" s="498"/>
      <c r="AO543" s="498"/>
      <c r="AP543" s="498"/>
      <c r="AQ543" s="498"/>
      <c r="AR543" s="498"/>
      <c r="AS543" s="498"/>
      <c r="AT543" s="498"/>
      <c r="AU543" s="498"/>
    </row>
    <row r="544" spans="1:47" s="2" customFormat="1">
      <c r="A544" s="589"/>
      <c r="C544" s="498"/>
      <c r="D544" s="498"/>
      <c r="E544" s="498"/>
      <c r="F544" s="498"/>
      <c r="G544" s="498"/>
      <c r="H544" s="498"/>
      <c r="I544" s="498"/>
      <c r="J544" s="498"/>
      <c r="K544" s="498"/>
      <c r="L544" s="498"/>
      <c r="M544" s="498"/>
      <c r="N544" s="498"/>
      <c r="O544" s="498"/>
      <c r="P544" s="498"/>
      <c r="Q544" s="498"/>
      <c r="R544" s="498"/>
      <c r="S544" s="498"/>
      <c r="T544" s="498"/>
      <c r="U544" s="498"/>
      <c r="V544" s="498"/>
      <c r="W544" s="498"/>
      <c r="X544" s="498"/>
      <c r="Y544" s="498"/>
      <c r="Z544" s="498"/>
      <c r="AA544" s="498"/>
      <c r="AB544" s="498"/>
      <c r="AC544" s="498"/>
      <c r="AD544" s="542"/>
      <c r="AE544" s="498"/>
      <c r="AF544" s="498"/>
      <c r="AG544" s="498"/>
      <c r="AI544" s="498"/>
      <c r="AJ544" s="498"/>
      <c r="AK544" s="498"/>
      <c r="AL544" s="498"/>
      <c r="AM544" s="498"/>
      <c r="AN544" s="498"/>
      <c r="AO544" s="498"/>
      <c r="AP544" s="498"/>
      <c r="AQ544" s="498"/>
      <c r="AR544" s="498"/>
      <c r="AS544" s="498"/>
      <c r="AT544" s="498"/>
      <c r="AU544" s="498"/>
    </row>
    <row r="545" spans="1:47" s="2" customFormat="1">
      <c r="A545" s="589"/>
      <c r="C545" s="498"/>
      <c r="D545" s="498"/>
      <c r="E545" s="498"/>
      <c r="F545" s="498"/>
      <c r="G545" s="498"/>
      <c r="H545" s="498"/>
      <c r="I545" s="498"/>
      <c r="J545" s="498"/>
      <c r="K545" s="498"/>
      <c r="L545" s="498"/>
      <c r="M545" s="498"/>
      <c r="N545" s="498"/>
      <c r="O545" s="498"/>
      <c r="P545" s="498"/>
      <c r="Q545" s="498"/>
      <c r="R545" s="498"/>
      <c r="S545" s="498"/>
      <c r="T545" s="498"/>
      <c r="U545" s="498"/>
      <c r="V545" s="498"/>
      <c r="W545" s="498"/>
      <c r="X545" s="498"/>
      <c r="Y545" s="498"/>
      <c r="Z545" s="498"/>
      <c r="AA545" s="498"/>
      <c r="AB545" s="498"/>
      <c r="AC545" s="498"/>
      <c r="AD545" s="542"/>
      <c r="AE545" s="498"/>
      <c r="AF545" s="498"/>
      <c r="AG545" s="498"/>
      <c r="AI545" s="498"/>
      <c r="AJ545" s="498"/>
      <c r="AK545" s="498"/>
      <c r="AL545" s="498"/>
      <c r="AM545" s="498"/>
      <c r="AN545" s="498"/>
      <c r="AO545" s="498"/>
      <c r="AP545" s="498"/>
      <c r="AQ545" s="498"/>
      <c r="AR545" s="498"/>
      <c r="AS545" s="498"/>
      <c r="AT545" s="498"/>
      <c r="AU545" s="498"/>
    </row>
    <row r="546" spans="1:47" s="2" customFormat="1">
      <c r="A546" s="589"/>
      <c r="C546" s="498"/>
      <c r="D546" s="498"/>
      <c r="E546" s="498"/>
      <c r="F546" s="498"/>
      <c r="G546" s="498"/>
      <c r="H546" s="498"/>
      <c r="I546" s="498"/>
      <c r="J546" s="498"/>
      <c r="K546" s="498"/>
      <c r="L546" s="498"/>
      <c r="M546" s="498"/>
      <c r="N546" s="498"/>
      <c r="O546" s="498"/>
      <c r="P546" s="498"/>
      <c r="Q546" s="498"/>
      <c r="R546" s="498"/>
      <c r="S546" s="498"/>
      <c r="T546" s="498"/>
      <c r="U546" s="498"/>
      <c r="V546" s="498"/>
      <c r="W546" s="498"/>
      <c r="X546" s="498"/>
      <c r="Y546" s="498"/>
      <c r="Z546" s="498"/>
      <c r="AA546" s="498"/>
      <c r="AB546" s="498"/>
      <c r="AC546" s="498"/>
      <c r="AD546" s="542"/>
      <c r="AE546" s="498"/>
      <c r="AF546" s="498"/>
      <c r="AG546" s="498"/>
      <c r="AI546" s="498"/>
      <c r="AJ546" s="498"/>
      <c r="AK546" s="498"/>
      <c r="AL546" s="498"/>
      <c r="AM546" s="498"/>
      <c r="AN546" s="498"/>
      <c r="AO546" s="498"/>
      <c r="AP546" s="498"/>
      <c r="AQ546" s="498"/>
      <c r="AR546" s="498"/>
      <c r="AS546" s="498"/>
      <c r="AT546" s="498"/>
      <c r="AU546" s="498"/>
    </row>
    <row r="547" spans="1:47" s="2" customFormat="1">
      <c r="A547" s="589"/>
      <c r="C547" s="498"/>
      <c r="D547" s="498"/>
      <c r="E547" s="498"/>
      <c r="F547" s="498"/>
      <c r="G547" s="498"/>
      <c r="H547" s="498"/>
      <c r="I547" s="498"/>
      <c r="J547" s="498"/>
      <c r="K547" s="498"/>
      <c r="L547" s="498"/>
      <c r="M547" s="498"/>
      <c r="N547" s="498"/>
      <c r="O547" s="498"/>
      <c r="P547" s="498"/>
      <c r="Q547" s="498"/>
      <c r="R547" s="498"/>
      <c r="S547" s="498"/>
      <c r="T547" s="498"/>
      <c r="U547" s="498"/>
      <c r="V547" s="498"/>
      <c r="W547" s="498"/>
      <c r="X547" s="498"/>
      <c r="Y547" s="498"/>
      <c r="Z547" s="498"/>
      <c r="AA547" s="498"/>
      <c r="AB547" s="498"/>
      <c r="AC547" s="498"/>
      <c r="AD547" s="542"/>
      <c r="AE547" s="498"/>
      <c r="AF547" s="498"/>
      <c r="AG547" s="498"/>
      <c r="AI547" s="498"/>
      <c r="AJ547" s="498"/>
      <c r="AK547" s="498"/>
      <c r="AL547" s="498"/>
      <c r="AM547" s="498"/>
      <c r="AN547" s="498"/>
      <c r="AO547" s="498"/>
      <c r="AP547" s="498"/>
      <c r="AQ547" s="498"/>
      <c r="AR547" s="498"/>
      <c r="AS547" s="498"/>
      <c r="AT547" s="498"/>
      <c r="AU547" s="498"/>
    </row>
    <row r="548" spans="1:47" s="2" customFormat="1">
      <c r="A548" s="589"/>
      <c r="C548" s="498"/>
      <c r="D548" s="498"/>
      <c r="E548" s="498"/>
      <c r="F548" s="498"/>
      <c r="G548" s="498"/>
      <c r="H548" s="498"/>
      <c r="I548" s="498"/>
      <c r="J548" s="498"/>
      <c r="K548" s="498"/>
      <c r="L548" s="498"/>
      <c r="M548" s="498"/>
      <c r="N548" s="498"/>
      <c r="O548" s="498"/>
      <c r="P548" s="498"/>
      <c r="Q548" s="498"/>
      <c r="R548" s="498"/>
      <c r="S548" s="498"/>
      <c r="T548" s="498"/>
      <c r="U548" s="498"/>
      <c r="V548" s="498"/>
      <c r="W548" s="498"/>
      <c r="X548" s="498"/>
      <c r="Y548" s="498"/>
      <c r="Z548" s="498"/>
      <c r="AA548" s="498"/>
      <c r="AB548" s="498"/>
      <c r="AC548" s="498"/>
      <c r="AD548" s="542"/>
      <c r="AE548" s="498"/>
      <c r="AF548" s="498"/>
      <c r="AG548" s="498"/>
      <c r="AI548" s="498"/>
      <c r="AJ548" s="498"/>
      <c r="AK548" s="498"/>
      <c r="AL548" s="498"/>
      <c r="AM548" s="498"/>
      <c r="AN548" s="498"/>
      <c r="AO548" s="498"/>
      <c r="AP548" s="498"/>
      <c r="AQ548" s="498"/>
      <c r="AR548" s="498"/>
      <c r="AS548" s="498"/>
      <c r="AT548" s="498"/>
      <c r="AU548" s="498"/>
    </row>
    <row r="549" spans="1:47" s="2" customFormat="1">
      <c r="A549" s="597"/>
      <c r="C549" s="498"/>
      <c r="D549" s="498"/>
      <c r="E549" s="498"/>
      <c r="F549" s="498"/>
      <c r="G549" s="498"/>
      <c r="H549" s="498"/>
      <c r="I549" s="498"/>
      <c r="J549" s="498"/>
      <c r="K549" s="498"/>
      <c r="L549" s="498"/>
      <c r="M549" s="498"/>
      <c r="N549" s="498"/>
      <c r="O549" s="498"/>
      <c r="P549" s="498"/>
      <c r="Q549" s="498"/>
      <c r="R549" s="498"/>
      <c r="S549" s="498"/>
      <c r="T549" s="498"/>
      <c r="U549" s="498"/>
      <c r="V549" s="498"/>
      <c r="W549" s="498"/>
      <c r="X549" s="498"/>
      <c r="Y549" s="498"/>
      <c r="Z549" s="498"/>
      <c r="AA549" s="498"/>
      <c r="AB549" s="498"/>
      <c r="AC549" s="498"/>
      <c r="AD549" s="591"/>
      <c r="AF549" s="521"/>
      <c r="AG549" s="521"/>
      <c r="AI549" s="498"/>
      <c r="AJ549" s="498"/>
      <c r="AK549" s="498"/>
      <c r="AL549" s="498"/>
      <c r="AM549" s="498"/>
      <c r="AN549" s="498"/>
      <c r="AO549" s="498"/>
      <c r="AP549" s="498"/>
      <c r="AQ549" s="498"/>
      <c r="AR549" s="498"/>
      <c r="AS549" s="498"/>
      <c r="AT549" s="498"/>
      <c r="AU549" s="498"/>
    </row>
    <row r="550" spans="1:47" s="2" customFormat="1">
      <c r="A550" s="571"/>
      <c r="C550" s="498"/>
      <c r="D550" s="498"/>
      <c r="E550" s="498"/>
      <c r="F550" s="498"/>
      <c r="G550" s="498"/>
      <c r="H550" s="498"/>
      <c r="I550" s="498"/>
      <c r="J550" s="498"/>
      <c r="K550" s="498"/>
      <c r="L550" s="498"/>
      <c r="M550" s="498"/>
      <c r="N550" s="498"/>
      <c r="O550" s="498"/>
      <c r="P550" s="498"/>
      <c r="Q550" s="498"/>
      <c r="R550" s="498"/>
      <c r="S550" s="498"/>
      <c r="T550" s="498"/>
      <c r="U550" s="498"/>
      <c r="V550" s="498"/>
      <c r="W550" s="498"/>
      <c r="X550" s="498"/>
      <c r="Y550" s="498"/>
      <c r="Z550" s="498"/>
      <c r="AA550" s="498"/>
      <c r="AB550" s="498"/>
      <c r="AC550" s="498"/>
      <c r="AD550" s="542"/>
      <c r="AE550" s="498"/>
      <c r="AF550" s="498"/>
      <c r="AG550" s="498"/>
      <c r="AI550" s="498"/>
      <c r="AJ550" s="498"/>
      <c r="AK550" s="498"/>
      <c r="AL550" s="498"/>
      <c r="AM550" s="498"/>
      <c r="AN550" s="498"/>
      <c r="AO550" s="498"/>
      <c r="AP550" s="498"/>
      <c r="AQ550" s="498"/>
      <c r="AR550" s="498"/>
      <c r="AS550" s="498"/>
      <c r="AT550" s="498"/>
      <c r="AU550" s="498"/>
    </row>
    <row r="551" spans="1:47" s="2" customFormat="1">
      <c r="A551" s="589"/>
      <c r="C551" s="498"/>
      <c r="D551" s="498"/>
      <c r="E551" s="498"/>
      <c r="F551" s="498"/>
      <c r="G551" s="498"/>
      <c r="H551" s="498"/>
      <c r="I551" s="498"/>
      <c r="J551" s="498"/>
      <c r="K551" s="498"/>
      <c r="L551" s="498"/>
      <c r="M551" s="498"/>
      <c r="N551" s="498"/>
      <c r="O551" s="498"/>
      <c r="P551" s="498"/>
      <c r="Q551" s="498"/>
      <c r="R551" s="498"/>
      <c r="S551" s="498"/>
      <c r="T551" s="498"/>
      <c r="U551" s="498"/>
      <c r="V551" s="498"/>
      <c r="W551" s="498"/>
      <c r="X551" s="498"/>
      <c r="Y551" s="498"/>
      <c r="Z551" s="498"/>
      <c r="AA551" s="498"/>
      <c r="AB551" s="498"/>
      <c r="AC551" s="498"/>
      <c r="AD551" s="542"/>
      <c r="AE551" s="498"/>
      <c r="AF551" s="498"/>
      <c r="AG551" s="498"/>
      <c r="AI551" s="498"/>
      <c r="AJ551" s="498"/>
      <c r="AK551" s="498"/>
      <c r="AL551" s="498"/>
      <c r="AM551" s="498"/>
      <c r="AN551" s="498"/>
      <c r="AO551" s="498"/>
      <c r="AP551" s="498"/>
      <c r="AQ551" s="498"/>
      <c r="AR551" s="498"/>
      <c r="AS551" s="498"/>
      <c r="AT551" s="498"/>
      <c r="AU551" s="498"/>
    </row>
    <row r="552" spans="1:47" s="2" customFormat="1">
      <c r="A552" s="589"/>
      <c r="C552" s="498"/>
      <c r="D552" s="498"/>
      <c r="E552" s="498"/>
      <c r="F552" s="498"/>
      <c r="G552" s="498"/>
      <c r="H552" s="498"/>
      <c r="I552" s="498"/>
      <c r="J552" s="498"/>
      <c r="K552" s="498"/>
      <c r="L552" s="498"/>
      <c r="M552" s="498"/>
      <c r="N552" s="498"/>
      <c r="O552" s="498"/>
      <c r="P552" s="498"/>
      <c r="Q552" s="498"/>
      <c r="R552" s="498"/>
      <c r="S552" s="498"/>
      <c r="T552" s="498"/>
      <c r="U552" s="498"/>
      <c r="V552" s="498"/>
      <c r="W552" s="498"/>
      <c r="X552" s="498"/>
      <c r="Y552" s="498"/>
      <c r="Z552" s="498"/>
      <c r="AA552" s="498"/>
      <c r="AB552" s="498"/>
      <c r="AC552" s="498"/>
      <c r="AD552" s="542"/>
      <c r="AE552" s="498"/>
      <c r="AF552" s="498"/>
      <c r="AG552" s="498"/>
      <c r="AI552" s="498"/>
      <c r="AJ552" s="498"/>
      <c r="AK552" s="498"/>
      <c r="AL552" s="498"/>
      <c r="AM552" s="498"/>
      <c r="AN552" s="498"/>
      <c r="AO552" s="498"/>
      <c r="AP552" s="498"/>
      <c r="AQ552" s="498"/>
      <c r="AR552" s="498"/>
      <c r="AS552" s="498"/>
      <c r="AT552" s="498"/>
      <c r="AU552" s="498"/>
    </row>
    <row r="553" spans="1:47" s="2" customFormat="1">
      <c r="A553" s="589"/>
      <c r="C553" s="498"/>
      <c r="D553" s="498"/>
      <c r="E553" s="498"/>
      <c r="F553" s="498"/>
      <c r="G553" s="498"/>
      <c r="H553" s="498"/>
      <c r="I553" s="498"/>
      <c r="J553" s="498"/>
      <c r="K553" s="498"/>
      <c r="L553" s="498"/>
      <c r="M553" s="498"/>
      <c r="N553" s="498"/>
      <c r="O553" s="498"/>
      <c r="P553" s="498"/>
      <c r="Q553" s="498"/>
      <c r="R553" s="498"/>
      <c r="S553" s="498"/>
      <c r="T553" s="498"/>
      <c r="U553" s="498"/>
      <c r="V553" s="498"/>
      <c r="W553" s="498"/>
      <c r="X553" s="498"/>
      <c r="Y553" s="498"/>
      <c r="Z553" s="498"/>
      <c r="AA553" s="498"/>
      <c r="AB553" s="498"/>
      <c r="AC553" s="498"/>
      <c r="AD553" s="542"/>
      <c r="AE553" s="498"/>
      <c r="AF553" s="498"/>
      <c r="AG553" s="498"/>
      <c r="AI553" s="498"/>
      <c r="AJ553" s="498"/>
      <c r="AK553" s="498"/>
      <c r="AL553" s="498"/>
      <c r="AM553" s="498"/>
      <c r="AN553" s="498"/>
      <c r="AO553" s="498"/>
      <c r="AP553" s="498"/>
      <c r="AQ553" s="498"/>
      <c r="AR553" s="498"/>
      <c r="AS553" s="498"/>
      <c r="AT553" s="498"/>
      <c r="AU553" s="498"/>
    </row>
    <row r="554" spans="1:47" s="2" customFormat="1">
      <c r="A554" s="589"/>
      <c r="C554" s="498"/>
      <c r="D554" s="498"/>
      <c r="E554" s="498"/>
      <c r="F554" s="498"/>
      <c r="G554" s="498"/>
      <c r="H554" s="498"/>
      <c r="I554" s="498"/>
      <c r="J554" s="498"/>
      <c r="K554" s="498"/>
      <c r="L554" s="498"/>
      <c r="M554" s="498"/>
      <c r="N554" s="498"/>
      <c r="O554" s="498"/>
      <c r="P554" s="498"/>
      <c r="Q554" s="498"/>
      <c r="R554" s="498"/>
      <c r="S554" s="498"/>
      <c r="T554" s="498"/>
      <c r="U554" s="498"/>
      <c r="V554" s="498"/>
      <c r="W554" s="498"/>
      <c r="X554" s="498"/>
      <c r="Y554" s="498"/>
      <c r="Z554" s="498"/>
      <c r="AA554" s="498"/>
      <c r="AB554" s="498"/>
      <c r="AC554" s="498"/>
      <c r="AD554" s="542"/>
      <c r="AE554" s="498"/>
      <c r="AF554" s="498"/>
      <c r="AG554" s="498"/>
      <c r="AI554" s="498"/>
      <c r="AJ554" s="498"/>
      <c r="AK554" s="498"/>
      <c r="AL554" s="498"/>
      <c r="AM554" s="498"/>
      <c r="AN554" s="498"/>
      <c r="AO554" s="498"/>
      <c r="AP554" s="498"/>
      <c r="AQ554" s="498"/>
      <c r="AR554" s="498"/>
      <c r="AS554" s="498"/>
      <c r="AT554" s="498"/>
      <c r="AU554" s="498"/>
    </row>
    <row r="555" spans="1:47" s="2" customFormat="1">
      <c r="A555" s="589"/>
      <c r="C555" s="498"/>
      <c r="D555" s="498"/>
      <c r="E555" s="498"/>
      <c r="F555" s="498"/>
      <c r="G555" s="498"/>
      <c r="H555" s="498"/>
      <c r="I555" s="498"/>
      <c r="J555" s="498"/>
      <c r="K555" s="498"/>
      <c r="L555" s="498"/>
      <c r="M555" s="498"/>
      <c r="N555" s="498"/>
      <c r="O555" s="498"/>
      <c r="P555" s="498"/>
      <c r="Q555" s="498"/>
      <c r="R555" s="498"/>
      <c r="S555" s="498"/>
      <c r="T555" s="498"/>
      <c r="U555" s="498"/>
      <c r="V555" s="498"/>
      <c r="W555" s="498"/>
      <c r="X555" s="498"/>
      <c r="Y555" s="498"/>
      <c r="Z555" s="498"/>
      <c r="AA555" s="498"/>
      <c r="AB555" s="498"/>
      <c r="AC555" s="498"/>
      <c r="AD555" s="542"/>
      <c r="AE555" s="498"/>
      <c r="AF555" s="498"/>
      <c r="AG555" s="498"/>
      <c r="AI555" s="498"/>
      <c r="AJ555" s="498"/>
      <c r="AK555" s="498"/>
      <c r="AL555" s="498"/>
      <c r="AM555" s="498"/>
      <c r="AN555" s="498"/>
      <c r="AO555" s="498"/>
      <c r="AP555" s="498"/>
      <c r="AQ555" s="498"/>
      <c r="AR555" s="498"/>
      <c r="AS555" s="498"/>
      <c r="AT555" s="498"/>
      <c r="AU555" s="498"/>
    </row>
    <row r="556" spans="1:47" s="2" customFormat="1">
      <c r="A556" s="589"/>
      <c r="C556" s="498"/>
      <c r="D556" s="498"/>
      <c r="E556" s="498"/>
      <c r="F556" s="498"/>
      <c r="G556" s="498"/>
      <c r="H556" s="498"/>
      <c r="I556" s="498"/>
      <c r="J556" s="498"/>
      <c r="K556" s="498"/>
      <c r="L556" s="498"/>
      <c r="M556" s="498"/>
      <c r="N556" s="498"/>
      <c r="O556" s="498"/>
      <c r="P556" s="498"/>
      <c r="Q556" s="498"/>
      <c r="R556" s="498"/>
      <c r="S556" s="498"/>
      <c r="T556" s="498"/>
      <c r="U556" s="498"/>
      <c r="V556" s="498"/>
      <c r="W556" s="498"/>
      <c r="X556" s="498"/>
      <c r="Y556" s="498"/>
      <c r="Z556" s="498"/>
      <c r="AA556" s="498"/>
      <c r="AB556" s="498"/>
      <c r="AC556" s="498"/>
      <c r="AD556" s="542"/>
      <c r="AE556" s="498"/>
      <c r="AF556" s="498"/>
      <c r="AG556" s="498"/>
      <c r="AI556" s="498"/>
      <c r="AJ556" s="498"/>
      <c r="AK556" s="498"/>
      <c r="AL556" s="498"/>
      <c r="AM556" s="498"/>
      <c r="AN556" s="498"/>
      <c r="AO556" s="498"/>
      <c r="AP556" s="498"/>
      <c r="AQ556" s="498"/>
      <c r="AR556" s="498"/>
      <c r="AS556" s="498"/>
      <c r="AT556" s="498"/>
      <c r="AU556" s="498"/>
    </row>
    <row r="557" spans="1:47" s="2" customFormat="1">
      <c r="A557" s="589"/>
      <c r="C557" s="498"/>
      <c r="D557" s="498"/>
      <c r="E557" s="498"/>
      <c r="F557" s="498"/>
      <c r="G557" s="498"/>
      <c r="H557" s="498"/>
      <c r="I557" s="498"/>
      <c r="J557" s="498"/>
      <c r="K557" s="498"/>
      <c r="L557" s="498"/>
      <c r="M557" s="498"/>
      <c r="N557" s="498"/>
      <c r="O557" s="498"/>
      <c r="P557" s="498"/>
      <c r="Q557" s="498"/>
      <c r="R557" s="498"/>
      <c r="S557" s="498"/>
      <c r="T557" s="498"/>
      <c r="U557" s="498"/>
      <c r="V557" s="498"/>
      <c r="W557" s="498"/>
      <c r="X557" s="498"/>
      <c r="Y557" s="498"/>
      <c r="Z557" s="498"/>
      <c r="AA557" s="498"/>
      <c r="AB557" s="498"/>
      <c r="AC557" s="498"/>
      <c r="AD557" s="542"/>
      <c r="AE557" s="498"/>
      <c r="AF557" s="498"/>
      <c r="AG557" s="498"/>
      <c r="AI557" s="498"/>
      <c r="AJ557" s="498"/>
      <c r="AK557" s="498"/>
      <c r="AL557" s="498"/>
      <c r="AM557" s="498"/>
      <c r="AN557" s="498"/>
      <c r="AO557" s="498"/>
      <c r="AP557" s="498"/>
      <c r="AQ557" s="498"/>
      <c r="AR557" s="498"/>
      <c r="AS557" s="498"/>
      <c r="AT557" s="498"/>
      <c r="AU557" s="498"/>
    </row>
    <row r="558" spans="1:47" s="2" customFormat="1">
      <c r="A558" s="589"/>
      <c r="C558" s="498"/>
      <c r="D558" s="498"/>
      <c r="E558" s="498"/>
      <c r="F558" s="498"/>
      <c r="G558" s="498"/>
      <c r="H558" s="498"/>
      <c r="I558" s="498"/>
      <c r="J558" s="498"/>
      <c r="K558" s="498"/>
      <c r="L558" s="498"/>
      <c r="M558" s="498"/>
      <c r="N558" s="498"/>
      <c r="O558" s="498"/>
      <c r="P558" s="498"/>
      <c r="Q558" s="498"/>
      <c r="R558" s="498"/>
      <c r="S558" s="498"/>
      <c r="T558" s="498"/>
      <c r="U558" s="498"/>
      <c r="V558" s="498"/>
      <c r="W558" s="498"/>
      <c r="X558" s="498"/>
      <c r="Y558" s="498"/>
      <c r="Z558" s="498"/>
      <c r="AA558" s="498"/>
      <c r="AB558" s="498"/>
      <c r="AC558" s="498"/>
      <c r="AD558" s="542"/>
      <c r="AE558" s="498"/>
      <c r="AF558" s="498"/>
      <c r="AG558" s="498"/>
      <c r="AI558" s="498"/>
      <c r="AJ558" s="498"/>
      <c r="AK558" s="498"/>
      <c r="AL558" s="498"/>
      <c r="AM558" s="498"/>
      <c r="AN558" s="498"/>
      <c r="AO558" s="498"/>
      <c r="AP558" s="498"/>
      <c r="AQ558" s="498"/>
      <c r="AR558" s="498"/>
      <c r="AS558" s="498"/>
      <c r="AT558" s="498"/>
      <c r="AU558" s="498"/>
    </row>
    <row r="559" spans="1:47" s="2" customFormat="1">
      <c r="A559" s="597"/>
      <c r="B559" s="558"/>
      <c r="C559" s="498"/>
      <c r="D559" s="498"/>
      <c r="E559" s="498"/>
      <c r="F559" s="498"/>
      <c r="G559" s="498"/>
      <c r="H559" s="498"/>
      <c r="I559" s="498"/>
      <c r="J559" s="498"/>
      <c r="K559" s="498"/>
      <c r="L559" s="498"/>
      <c r="M559" s="498"/>
      <c r="N559" s="498"/>
      <c r="O559" s="498"/>
      <c r="P559" s="498"/>
      <c r="Q559" s="498"/>
      <c r="R559" s="498"/>
      <c r="S559" s="498"/>
      <c r="T559" s="498"/>
      <c r="U559" s="498"/>
      <c r="V559" s="498"/>
      <c r="W559" s="498"/>
      <c r="X559" s="498"/>
      <c r="Y559" s="498"/>
      <c r="Z559" s="498"/>
      <c r="AA559" s="498"/>
      <c r="AB559" s="498"/>
      <c r="AC559" s="498"/>
      <c r="AD559" s="603"/>
      <c r="AE559" s="144"/>
      <c r="AF559" s="604"/>
      <c r="AG559" s="604"/>
    </row>
    <row r="560" spans="1:47" s="2" customFormat="1">
      <c r="A560" s="597"/>
      <c r="C560" s="498"/>
      <c r="D560" s="498"/>
      <c r="E560" s="498"/>
      <c r="F560" s="498"/>
      <c r="G560" s="498"/>
      <c r="H560" s="498"/>
      <c r="I560" s="498"/>
      <c r="J560" s="498"/>
      <c r="K560" s="498"/>
      <c r="L560" s="498"/>
      <c r="M560" s="498"/>
      <c r="N560" s="498"/>
      <c r="O560" s="498"/>
      <c r="P560" s="498"/>
      <c r="Q560" s="498"/>
      <c r="R560" s="498"/>
      <c r="S560" s="498"/>
      <c r="T560" s="498"/>
      <c r="U560" s="498"/>
      <c r="V560" s="498"/>
      <c r="W560" s="498"/>
      <c r="X560" s="498"/>
      <c r="Y560" s="498"/>
      <c r="Z560" s="498"/>
      <c r="AA560" s="498"/>
      <c r="AB560" s="498"/>
      <c r="AC560" s="498"/>
      <c r="AD560" s="605"/>
      <c r="AE560" s="144"/>
      <c r="AF560" s="604"/>
      <c r="AG560" s="604"/>
    </row>
    <row r="561" spans="1:47" s="2" customFormat="1">
      <c r="A561" s="571"/>
      <c r="C561" s="498"/>
      <c r="D561" s="498"/>
      <c r="E561" s="498"/>
      <c r="F561" s="498"/>
      <c r="G561" s="498"/>
      <c r="H561" s="498"/>
      <c r="I561" s="498"/>
      <c r="J561" s="498"/>
      <c r="K561" s="498"/>
      <c r="L561" s="498"/>
      <c r="M561" s="498"/>
      <c r="N561" s="498"/>
      <c r="O561" s="498"/>
      <c r="P561" s="498"/>
      <c r="Q561" s="498"/>
      <c r="R561" s="498"/>
      <c r="S561" s="498"/>
      <c r="T561" s="498"/>
      <c r="U561" s="498"/>
      <c r="V561" s="498"/>
      <c r="W561" s="498"/>
      <c r="X561" s="498"/>
      <c r="Y561" s="498"/>
      <c r="Z561" s="498"/>
      <c r="AA561" s="498"/>
      <c r="AB561" s="498"/>
      <c r="AC561" s="498"/>
      <c r="AD561" s="540"/>
      <c r="AE561" s="498"/>
      <c r="AF561" s="514"/>
      <c r="AG561" s="509"/>
      <c r="AH561" s="507"/>
      <c r="AI561" s="498"/>
      <c r="AJ561" s="507"/>
      <c r="AK561" s="507"/>
      <c r="AL561" s="507"/>
      <c r="AM561" s="507"/>
      <c r="AN561" s="507"/>
      <c r="AO561" s="498"/>
      <c r="AP561" s="498"/>
      <c r="AQ561" s="507"/>
      <c r="AR561" s="507"/>
      <c r="AS561" s="507"/>
      <c r="AT561" s="507"/>
      <c r="AU561" s="507"/>
    </row>
    <row r="562" spans="1:47" s="2" customFormat="1">
      <c r="A562" s="589"/>
      <c r="C562" s="498"/>
      <c r="D562" s="498"/>
      <c r="E562" s="498"/>
      <c r="F562" s="498"/>
      <c r="G562" s="498"/>
      <c r="H562" s="498"/>
      <c r="I562" s="498"/>
      <c r="J562" s="498"/>
      <c r="K562" s="498"/>
      <c r="L562" s="498"/>
      <c r="M562" s="498"/>
      <c r="N562" s="498"/>
      <c r="O562" s="498"/>
      <c r="P562" s="498"/>
      <c r="Q562" s="498"/>
      <c r="R562" s="498"/>
      <c r="S562" s="498"/>
      <c r="T562" s="498"/>
      <c r="U562" s="498"/>
      <c r="V562" s="498"/>
      <c r="W562" s="498"/>
      <c r="X562" s="498"/>
      <c r="Y562" s="498"/>
      <c r="Z562" s="498"/>
      <c r="AA562" s="498"/>
      <c r="AB562" s="498"/>
      <c r="AC562" s="498"/>
      <c r="AD562" s="542"/>
      <c r="AE562" s="498"/>
      <c r="AF562" s="521"/>
      <c r="AG562" s="572"/>
      <c r="AH562" s="521"/>
      <c r="AI562" s="521"/>
      <c r="AJ562" s="521"/>
      <c r="AK562" s="521"/>
      <c r="AL562" s="521"/>
      <c r="AM562" s="521"/>
      <c r="AN562" s="521"/>
      <c r="AO562" s="498"/>
      <c r="AP562" s="498"/>
      <c r="AQ562" s="521"/>
      <c r="AR562" s="521"/>
      <c r="AS562" s="521"/>
      <c r="AT562" s="521"/>
      <c r="AU562" s="521"/>
    </row>
    <row r="563" spans="1:47" s="2" customFormat="1">
      <c r="A563" s="589"/>
      <c r="C563" s="498"/>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540"/>
      <c r="AE563" s="498"/>
      <c r="AF563" s="521"/>
      <c r="AG563" s="509"/>
      <c r="AH563" s="507"/>
      <c r="AI563" s="498"/>
      <c r="AJ563" s="507"/>
      <c r="AK563" s="507"/>
      <c r="AL563" s="507"/>
      <c r="AM563" s="507"/>
      <c r="AN563" s="507"/>
      <c r="AO563" s="498"/>
      <c r="AP563" s="498"/>
      <c r="AQ563" s="507"/>
      <c r="AR563" s="507"/>
      <c r="AS563" s="507"/>
      <c r="AT563" s="507"/>
      <c r="AU563" s="507"/>
    </row>
    <row r="564" spans="1:47" s="2" customFormat="1">
      <c r="A564" s="589"/>
      <c r="C564" s="498"/>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540"/>
      <c r="AE564" s="498"/>
      <c r="AF564" s="514"/>
      <c r="AG564" s="509"/>
      <c r="AH564" s="507"/>
      <c r="AI564" s="498"/>
      <c r="AJ564" s="507"/>
      <c r="AK564" s="507"/>
      <c r="AL564" s="507"/>
      <c r="AM564" s="507"/>
      <c r="AN564" s="507"/>
      <c r="AO564" s="498"/>
      <c r="AP564" s="498"/>
      <c r="AQ564" s="507"/>
      <c r="AR564" s="507"/>
      <c r="AS564" s="507"/>
      <c r="AT564" s="507"/>
      <c r="AU564" s="507"/>
    </row>
    <row r="565" spans="1:47" s="2" customFormat="1">
      <c r="A565" s="589"/>
      <c r="C565" s="498"/>
      <c r="D565" s="498"/>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540"/>
      <c r="AE565" s="498"/>
      <c r="AF565" s="521"/>
      <c r="AG565" s="509"/>
      <c r="AH565" s="507"/>
      <c r="AI565" s="498"/>
      <c r="AJ565" s="507"/>
      <c r="AK565" s="507"/>
      <c r="AL565" s="507"/>
      <c r="AM565" s="507"/>
      <c r="AN565" s="507"/>
      <c r="AO565" s="498"/>
      <c r="AP565" s="498"/>
      <c r="AQ565" s="507"/>
      <c r="AR565" s="507"/>
      <c r="AS565" s="507"/>
      <c r="AT565" s="507"/>
      <c r="AU565" s="507"/>
    </row>
    <row r="566" spans="1:47" s="2" customFormat="1">
      <c r="A566" s="589"/>
      <c r="C566" s="498"/>
      <c r="D566" s="498"/>
      <c r="E566" s="498"/>
      <c r="F566" s="498"/>
      <c r="G566" s="498"/>
      <c r="H566" s="498"/>
      <c r="I566" s="498"/>
      <c r="J566" s="498"/>
      <c r="K566" s="498"/>
      <c r="L566" s="498"/>
      <c r="M566" s="498"/>
      <c r="N566" s="498"/>
      <c r="O566" s="498"/>
      <c r="P566" s="498"/>
      <c r="Q566" s="498"/>
      <c r="R566" s="498"/>
      <c r="S566" s="498"/>
      <c r="T566" s="498"/>
      <c r="U566" s="498"/>
      <c r="V566" s="498"/>
      <c r="W566" s="498"/>
      <c r="X566" s="498"/>
      <c r="Y566" s="498"/>
      <c r="Z566" s="498"/>
      <c r="AA566" s="498"/>
      <c r="AB566" s="498"/>
      <c r="AC566" s="498"/>
      <c r="AD566" s="540"/>
      <c r="AE566" s="498"/>
      <c r="AF566" s="521"/>
      <c r="AG566" s="509"/>
      <c r="AH566" s="507"/>
      <c r="AI566" s="498"/>
      <c r="AJ566" s="507"/>
      <c r="AK566" s="507"/>
      <c r="AL566" s="507"/>
      <c r="AM566" s="507"/>
      <c r="AN566" s="507"/>
      <c r="AO566" s="498"/>
      <c r="AP566" s="498"/>
      <c r="AQ566" s="507"/>
      <c r="AR566" s="507"/>
      <c r="AS566" s="507"/>
      <c r="AT566" s="507"/>
      <c r="AU566" s="507"/>
    </row>
    <row r="567" spans="1:47" s="2" customFormat="1">
      <c r="A567" s="589"/>
      <c r="C567" s="498"/>
      <c r="D567" s="498"/>
      <c r="E567" s="498"/>
      <c r="F567" s="498"/>
      <c r="G567" s="498"/>
      <c r="H567" s="498"/>
      <c r="I567" s="498"/>
      <c r="J567" s="498"/>
      <c r="K567" s="498"/>
      <c r="L567" s="498"/>
      <c r="M567" s="498"/>
      <c r="N567" s="498"/>
      <c r="O567" s="498"/>
      <c r="P567" s="498"/>
      <c r="Q567" s="498"/>
      <c r="R567" s="498"/>
      <c r="S567" s="498"/>
      <c r="T567" s="498"/>
      <c r="U567" s="498"/>
      <c r="V567" s="498"/>
      <c r="W567" s="498"/>
      <c r="X567" s="498"/>
      <c r="Y567" s="498"/>
      <c r="Z567" s="498"/>
      <c r="AA567" s="498"/>
      <c r="AB567" s="498"/>
      <c r="AC567" s="498"/>
      <c r="AD567" s="540"/>
      <c r="AE567" s="498"/>
      <c r="AF567" s="521"/>
      <c r="AG567" s="509"/>
      <c r="AH567" s="507"/>
      <c r="AI567" s="498"/>
      <c r="AJ567" s="507"/>
      <c r="AK567" s="507"/>
      <c r="AL567" s="507"/>
      <c r="AM567" s="507"/>
      <c r="AN567" s="507"/>
      <c r="AO567" s="498"/>
      <c r="AP567" s="498"/>
      <c r="AQ567" s="507"/>
      <c r="AR567" s="507"/>
      <c r="AS567" s="507"/>
      <c r="AT567" s="507"/>
      <c r="AU567" s="507"/>
    </row>
    <row r="568" spans="1:47" s="2" customFormat="1">
      <c r="A568" s="589"/>
      <c r="C568" s="498"/>
      <c r="D568" s="498"/>
      <c r="E568" s="498"/>
      <c r="F568" s="498"/>
      <c r="G568" s="498"/>
      <c r="H568" s="498"/>
      <c r="I568" s="498"/>
      <c r="J568" s="498"/>
      <c r="K568" s="498"/>
      <c r="L568" s="498"/>
      <c r="M568" s="498"/>
      <c r="N568" s="498"/>
      <c r="O568" s="498"/>
      <c r="P568" s="498"/>
      <c r="Q568" s="498"/>
      <c r="R568" s="498"/>
      <c r="S568" s="498"/>
      <c r="T568" s="498"/>
      <c r="U568" s="498"/>
      <c r="V568" s="498"/>
      <c r="W568" s="498"/>
      <c r="X568" s="498"/>
      <c r="Y568" s="498"/>
      <c r="Z568" s="498"/>
      <c r="AA568" s="498"/>
      <c r="AB568" s="498"/>
      <c r="AC568" s="498"/>
      <c r="AD568" s="540"/>
      <c r="AE568" s="498"/>
      <c r="AF568" s="521"/>
      <c r="AG568" s="509"/>
      <c r="AH568" s="507"/>
      <c r="AI568" s="498"/>
      <c r="AJ568" s="507"/>
      <c r="AK568" s="507"/>
      <c r="AL568" s="507"/>
      <c r="AM568" s="507"/>
      <c r="AN568" s="507"/>
      <c r="AO568" s="498"/>
      <c r="AP568" s="498"/>
      <c r="AQ568" s="507"/>
      <c r="AR568" s="507"/>
      <c r="AS568" s="507"/>
      <c r="AT568" s="507"/>
      <c r="AU568" s="507"/>
    </row>
    <row r="569" spans="1:47" s="2" customFormat="1">
      <c r="A569" s="589"/>
      <c r="C569" s="498"/>
      <c r="D569" s="498"/>
      <c r="E569" s="498"/>
      <c r="F569" s="498"/>
      <c r="G569" s="498"/>
      <c r="H569" s="498"/>
      <c r="I569" s="498"/>
      <c r="J569" s="498"/>
      <c r="K569" s="498"/>
      <c r="L569" s="498"/>
      <c r="M569" s="498"/>
      <c r="N569" s="498"/>
      <c r="O569" s="498"/>
      <c r="P569" s="498"/>
      <c r="Q569" s="498"/>
      <c r="R569" s="498"/>
      <c r="S569" s="498"/>
      <c r="T569" s="498"/>
      <c r="U569" s="498"/>
      <c r="V569" s="498"/>
      <c r="W569" s="498"/>
      <c r="X569" s="498"/>
      <c r="Y569" s="498"/>
      <c r="Z569" s="498"/>
      <c r="AA569" s="498"/>
      <c r="AB569" s="498"/>
      <c r="AC569" s="498"/>
      <c r="AD569" s="540"/>
      <c r="AE569" s="498"/>
      <c r="AF569" s="521"/>
      <c r="AG569" s="509"/>
      <c r="AH569" s="507"/>
      <c r="AI569" s="498"/>
      <c r="AJ569" s="507"/>
      <c r="AK569" s="507"/>
      <c r="AL569" s="507"/>
      <c r="AM569" s="507"/>
      <c r="AN569" s="507"/>
      <c r="AO569" s="498"/>
      <c r="AP569" s="498"/>
      <c r="AQ569" s="507"/>
      <c r="AR569" s="507"/>
      <c r="AS569" s="507"/>
      <c r="AT569" s="507"/>
      <c r="AU569" s="507"/>
    </row>
    <row r="570" spans="1:47" s="2" customFormat="1">
      <c r="A570" s="597"/>
      <c r="C570" s="498"/>
      <c r="D570" s="498"/>
      <c r="E570" s="498"/>
      <c r="F570" s="498"/>
      <c r="G570" s="498"/>
      <c r="H570" s="498"/>
      <c r="I570" s="498"/>
      <c r="J570" s="498"/>
      <c r="K570" s="498"/>
      <c r="L570" s="498"/>
      <c r="M570" s="498"/>
      <c r="N570" s="498"/>
      <c r="O570" s="498"/>
      <c r="P570" s="498"/>
      <c r="Q570" s="498"/>
      <c r="R570" s="498"/>
      <c r="S570" s="498"/>
      <c r="T570" s="498"/>
      <c r="U570" s="498"/>
      <c r="V570" s="498"/>
      <c r="W570" s="498"/>
      <c r="X570" s="498"/>
      <c r="Y570" s="498"/>
      <c r="Z570" s="498"/>
      <c r="AA570" s="498"/>
      <c r="AB570" s="498"/>
      <c r="AC570" s="498"/>
      <c r="AD570" s="540"/>
      <c r="AF570" s="521"/>
      <c r="AG570" s="521"/>
    </row>
    <row r="571" spans="1:47" s="2" customFormat="1">
      <c r="A571" s="571"/>
      <c r="C571" s="498"/>
      <c r="D571" s="498"/>
      <c r="E571" s="498"/>
      <c r="F571" s="498"/>
      <c r="G571" s="498"/>
      <c r="H571" s="498"/>
      <c r="I571" s="498"/>
      <c r="J571" s="498"/>
      <c r="K571" s="498"/>
      <c r="L571" s="498"/>
      <c r="M571" s="498"/>
      <c r="N571" s="498"/>
      <c r="O571" s="498"/>
      <c r="P571" s="498"/>
      <c r="Q571" s="498"/>
      <c r="R571" s="498"/>
      <c r="S571" s="498"/>
      <c r="T571" s="498"/>
      <c r="U571" s="498"/>
      <c r="V571" s="498"/>
      <c r="W571" s="498"/>
      <c r="X571" s="498"/>
      <c r="Y571" s="498"/>
      <c r="Z571" s="498"/>
      <c r="AA571" s="498"/>
      <c r="AB571" s="498"/>
      <c r="AC571" s="498"/>
      <c r="AD571" s="540"/>
      <c r="AE571" s="498"/>
      <c r="AF571" s="514"/>
      <c r="AG571" s="509"/>
      <c r="AH571" s="507"/>
      <c r="AI571" s="498"/>
      <c r="AJ571" s="507"/>
      <c r="AK571" s="507"/>
      <c r="AL571" s="507"/>
      <c r="AM571" s="507"/>
      <c r="AN571" s="507"/>
      <c r="AO571" s="498"/>
      <c r="AP571" s="498"/>
      <c r="AQ571" s="507"/>
      <c r="AR571" s="507"/>
      <c r="AS571" s="507"/>
      <c r="AT571" s="507"/>
      <c r="AU571" s="507"/>
    </row>
    <row r="572" spans="1:47" s="2" customFormat="1">
      <c r="A572" s="589"/>
      <c r="C572" s="498"/>
      <c r="D572" s="498"/>
      <c r="E572" s="498"/>
      <c r="F572" s="498"/>
      <c r="G572" s="498"/>
      <c r="H572" s="498"/>
      <c r="I572" s="498"/>
      <c r="J572" s="498"/>
      <c r="K572" s="498"/>
      <c r="L572" s="498"/>
      <c r="M572" s="498"/>
      <c r="N572" s="498"/>
      <c r="O572" s="498"/>
      <c r="P572" s="498"/>
      <c r="Q572" s="498"/>
      <c r="R572" s="498"/>
      <c r="S572" s="498"/>
      <c r="T572" s="498"/>
      <c r="U572" s="498"/>
      <c r="V572" s="498"/>
      <c r="W572" s="498"/>
      <c r="X572" s="498"/>
      <c r="Y572" s="498"/>
      <c r="Z572" s="498"/>
      <c r="AA572" s="498"/>
      <c r="AB572" s="498"/>
      <c r="AC572" s="498"/>
      <c r="AD572" s="542"/>
      <c r="AE572" s="498"/>
      <c r="AF572" s="521"/>
      <c r="AG572" s="521"/>
      <c r="AH572" s="514"/>
      <c r="AI572" s="514"/>
      <c r="AJ572" s="514"/>
      <c r="AK572" s="514"/>
      <c r="AL572" s="514"/>
      <c r="AM572" s="514"/>
      <c r="AN572" s="514"/>
      <c r="AO572" s="498"/>
      <c r="AP572" s="498"/>
      <c r="AQ572" s="514"/>
      <c r="AR572" s="514"/>
      <c r="AS572" s="514"/>
      <c r="AT572" s="514"/>
      <c r="AU572" s="514"/>
    </row>
    <row r="573" spans="1:47" s="2" customFormat="1">
      <c r="A573" s="589"/>
      <c r="C573" s="498"/>
      <c r="D573" s="498"/>
      <c r="E573" s="498"/>
      <c r="F573" s="498"/>
      <c r="G573" s="498"/>
      <c r="H573" s="498"/>
      <c r="I573" s="498"/>
      <c r="J573" s="498"/>
      <c r="K573" s="498"/>
      <c r="L573" s="498"/>
      <c r="M573" s="498"/>
      <c r="N573" s="498"/>
      <c r="O573" s="498"/>
      <c r="P573" s="498"/>
      <c r="Q573" s="498"/>
      <c r="R573" s="498"/>
      <c r="S573" s="498"/>
      <c r="T573" s="498"/>
      <c r="U573" s="498"/>
      <c r="V573" s="498"/>
      <c r="W573" s="498"/>
      <c r="X573" s="498"/>
      <c r="Y573" s="498"/>
      <c r="Z573" s="498"/>
      <c r="AA573" s="498"/>
      <c r="AB573" s="498"/>
      <c r="AC573" s="498"/>
      <c r="AD573" s="540"/>
      <c r="AE573" s="498"/>
      <c r="AF573" s="521"/>
      <c r="AG573" s="509"/>
      <c r="AH573" s="507"/>
      <c r="AI573" s="498"/>
      <c r="AJ573" s="507"/>
      <c r="AK573" s="507"/>
      <c r="AL573" s="507"/>
      <c r="AM573" s="507"/>
      <c r="AN573" s="507"/>
      <c r="AO573" s="498"/>
      <c r="AP573" s="498"/>
      <c r="AQ573" s="507"/>
      <c r="AR573" s="507"/>
      <c r="AS573" s="507"/>
      <c r="AT573" s="507"/>
      <c r="AU573" s="507"/>
    </row>
    <row r="574" spans="1:47" s="2" customFormat="1">
      <c r="A574" s="589"/>
      <c r="C574" s="498"/>
      <c r="D574" s="498"/>
      <c r="E574" s="498"/>
      <c r="F574" s="498"/>
      <c r="G574" s="498"/>
      <c r="H574" s="498"/>
      <c r="I574" s="498"/>
      <c r="J574" s="498"/>
      <c r="K574" s="498"/>
      <c r="L574" s="498"/>
      <c r="M574" s="498"/>
      <c r="N574" s="498"/>
      <c r="O574" s="498"/>
      <c r="P574" s="498"/>
      <c r="Q574" s="498"/>
      <c r="R574" s="498"/>
      <c r="S574" s="498"/>
      <c r="T574" s="498"/>
      <c r="U574" s="498"/>
      <c r="V574" s="498"/>
      <c r="W574" s="498"/>
      <c r="X574" s="498"/>
      <c r="Y574" s="498"/>
      <c r="Z574" s="498"/>
      <c r="AA574" s="498"/>
      <c r="AB574" s="498"/>
      <c r="AC574" s="498"/>
      <c r="AD574" s="540"/>
      <c r="AE574" s="498"/>
      <c r="AF574" s="514"/>
      <c r="AG574" s="509"/>
      <c r="AH574" s="507"/>
      <c r="AI574" s="498"/>
      <c r="AJ574" s="507"/>
      <c r="AK574" s="507"/>
      <c r="AL574" s="507"/>
      <c r="AM574" s="507"/>
      <c r="AN574" s="507"/>
      <c r="AO574" s="498"/>
      <c r="AP574" s="498"/>
      <c r="AQ574" s="507"/>
      <c r="AR574" s="507"/>
      <c r="AS574" s="507"/>
      <c r="AT574" s="507"/>
      <c r="AU574" s="507"/>
    </row>
    <row r="575" spans="1:47" s="2" customFormat="1">
      <c r="A575" s="589"/>
      <c r="C575" s="498"/>
      <c r="D575" s="498"/>
      <c r="E575" s="498"/>
      <c r="F575" s="498"/>
      <c r="G575" s="498"/>
      <c r="H575" s="498"/>
      <c r="I575" s="498"/>
      <c r="J575" s="498"/>
      <c r="K575" s="498"/>
      <c r="L575" s="498"/>
      <c r="M575" s="498"/>
      <c r="N575" s="498"/>
      <c r="O575" s="498"/>
      <c r="P575" s="498"/>
      <c r="Q575" s="498"/>
      <c r="R575" s="498"/>
      <c r="S575" s="498"/>
      <c r="T575" s="498"/>
      <c r="U575" s="498"/>
      <c r="V575" s="498"/>
      <c r="W575" s="498"/>
      <c r="X575" s="498"/>
      <c r="Y575" s="498"/>
      <c r="Z575" s="498"/>
      <c r="AA575" s="498"/>
      <c r="AB575" s="498"/>
      <c r="AC575" s="498"/>
      <c r="AD575" s="540"/>
      <c r="AE575" s="498"/>
      <c r="AF575" s="521"/>
      <c r="AG575" s="509"/>
      <c r="AH575" s="507"/>
      <c r="AI575" s="498"/>
      <c r="AJ575" s="507"/>
      <c r="AK575" s="507"/>
      <c r="AL575" s="507"/>
      <c r="AM575" s="507"/>
      <c r="AN575" s="507"/>
      <c r="AO575" s="498"/>
      <c r="AP575" s="498"/>
      <c r="AQ575" s="507"/>
      <c r="AR575" s="507"/>
      <c r="AS575" s="507"/>
      <c r="AT575" s="507"/>
      <c r="AU575" s="507"/>
    </row>
    <row r="576" spans="1:47" s="2" customFormat="1">
      <c r="A576" s="589"/>
      <c r="C576" s="498"/>
      <c r="D576" s="498"/>
      <c r="E576" s="498"/>
      <c r="F576" s="498"/>
      <c r="G576" s="498"/>
      <c r="H576" s="498"/>
      <c r="I576" s="498"/>
      <c r="J576" s="498"/>
      <c r="K576" s="498"/>
      <c r="L576" s="498"/>
      <c r="M576" s="498"/>
      <c r="N576" s="498"/>
      <c r="O576" s="498"/>
      <c r="P576" s="498"/>
      <c r="Q576" s="498"/>
      <c r="R576" s="498"/>
      <c r="S576" s="498"/>
      <c r="T576" s="498"/>
      <c r="U576" s="498"/>
      <c r="V576" s="498"/>
      <c r="W576" s="498"/>
      <c r="X576" s="498"/>
      <c r="Y576" s="498"/>
      <c r="Z576" s="498"/>
      <c r="AA576" s="498"/>
      <c r="AB576" s="498"/>
      <c r="AC576" s="498"/>
      <c r="AD576" s="540"/>
      <c r="AE576" s="498"/>
      <c r="AF576" s="514"/>
      <c r="AG576" s="509"/>
      <c r="AH576" s="507"/>
      <c r="AI576" s="498"/>
      <c r="AJ576" s="507"/>
      <c r="AK576" s="507"/>
      <c r="AL576" s="507"/>
      <c r="AM576" s="507"/>
      <c r="AN576" s="507"/>
      <c r="AO576" s="498"/>
      <c r="AP576" s="498"/>
      <c r="AQ576" s="507"/>
      <c r="AR576" s="507"/>
      <c r="AS576" s="507"/>
      <c r="AT576" s="507"/>
      <c r="AU576" s="507"/>
    </row>
    <row r="577" spans="1:47" s="2" customFormat="1">
      <c r="A577" s="589"/>
      <c r="C577" s="498"/>
      <c r="D577" s="498"/>
      <c r="E577" s="498"/>
      <c r="F577" s="498"/>
      <c r="G577" s="498"/>
      <c r="H577" s="498"/>
      <c r="I577" s="498"/>
      <c r="J577" s="498"/>
      <c r="K577" s="498"/>
      <c r="L577" s="498"/>
      <c r="M577" s="498"/>
      <c r="N577" s="498"/>
      <c r="O577" s="498"/>
      <c r="P577" s="498"/>
      <c r="Q577" s="498"/>
      <c r="R577" s="498"/>
      <c r="S577" s="498"/>
      <c r="T577" s="498"/>
      <c r="U577" s="498"/>
      <c r="V577" s="498"/>
      <c r="W577" s="498"/>
      <c r="X577" s="498"/>
      <c r="Y577" s="498"/>
      <c r="Z577" s="498"/>
      <c r="AA577" s="498"/>
      <c r="AB577" s="498"/>
      <c r="AC577" s="498"/>
      <c r="AD577" s="540"/>
      <c r="AE577" s="498"/>
      <c r="AF577" s="521"/>
      <c r="AG577" s="509"/>
      <c r="AH577" s="507"/>
      <c r="AI577" s="498"/>
      <c r="AJ577" s="507"/>
      <c r="AK577" s="507"/>
      <c r="AL577" s="507"/>
      <c r="AM577" s="507"/>
      <c r="AN577" s="507"/>
      <c r="AO577" s="498"/>
      <c r="AP577" s="498"/>
      <c r="AQ577" s="507"/>
      <c r="AR577" s="507"/>
      <c r="AS577" s="507"/>
      <c r="AT577" s="507"/>
      <c r="AU577" s="507"/>
    </row>
    <row r="578" spans="1:47" s="2" customFormat="1">
      <c r="A578" s="589"/>
      <c r="C578" s="498"/>
      <c r="D578" s="498"/>
      <c r="E578" s="498"/>
      <c r="F578" s="498"/>
      <c r="G578" s="498"/>
      <c r="H578" s="498"/>
      <c r="I578" s="498"/>
      <c r="J578" s="498"/>
      <c r="K578" s="498"/>
      <c r="L578" s="498"/>
      <c r="M578" s="498"/>
      <c r="N578" s="498"/>
      <c r="O578" s="498"/>
      <c r="P578" s="498"/>
      <c r="Q578" s="498"/>
      <c r="R578" s="498"/>
      <c r="S578" s="498"/>
      <c r="T578" s="498"/>
      <c r="U578" s="498"/>
      <c r="V578" s="498"/>
      <c r="W578" s="498"/>
      <c r="X578" s="498"/>
      <c r="Y578" s="498"/>
      <c r="Z578" s="498"/>
      <c r="AA578" s="498"/>
      <c r="AB578" s="498"/>
      <c r="AC578" s="498"/>
      <c r="AD578" s="540"/>
      <c r="AE578" s="498"/>
      <c r="AF578" s="521"/>
      <c r="AG578" s="509"/>
      <c r="AH578" s="507"/>
      <c r="AI578" s="498"/>
      <c r="AJ578" s="507"/>
      <c r="AK578" s="507"/>
      <c r="AL578" s="507"/>
      <c r="AM578" s="507"/>
      <c r="AN578" s="507"/>
      <c r="AO578" s="498"/>
      <c r="AP578" s="498"/>
      <c r="AQ578" s="507"/>
      <c r="AR578" s="507"/>
      <c r="AS578" s="507"/>
      <c r="AT578" s="507"/>
      <c r="AU578" s="507"/>
    </row>
    <row r="579" spans="1:47" s="2" customFormat="1">
      <c r="A579" s="589"/>
      <c r="C579" s="498"/>
      <c r="D579" s="498"/>
      <c r="E579" s="498"/>
      <c r="F579" s="498"/>
      <c r="G579" s="498"/>
      <c r="H579" s="498"/>
      <c r="I579" s="498"/>
      <c r="J579" s="498"/>
      <c r="K579" s="498"/>
      <c r="L579" s="498"/>
      <c r="M579" s="498"/>
      <c r="N579" s="498"/>
      <c r="O579" s="498"/>
      <c r="P579" s="498"/>
      <c r="Q579" s="498"/>
      <c r="R579" s="498"/>
      <c r="S579" s="498"/>
      <c r="T579" s="498"/>
      <c r="U579" s="498"/>
      <c r="V579" s="498"/>
      <c r="W579" s="498"/>
      <c r="X579" s="498"/>
      <c r="Y579" s="498"/>
      <c r="Z579" s="498"/>
      <c r="AA579" s="498"/>
      <c r="AB579" s="498"/>
      <c r="AC579" s="498"/>
      <c r="AD579" s="540"/>
      <c r="AE579" s="498"/>
      <c r="AF579" s="521"/>
      <c r="AG579" s="509"/>
      <c r="AH579" s="507"/>
      <c r="AI579" s="498"/>
      <c r="AJ579" s="507"/>
      <c r="AK579" s="507"/>
      <c r="AL579" s="507"/>
      <c r="AM579" s="507"/>
      <c r="AN579" s="507"/>
      <c r="AO579" s="498"/>
      <c r="AP579" s="498"/>
      <c r="AQ579" s="507"/>
      <c r="AR579" s="507"/>
      <c r="AS579" s="507"/>
      <c r="AT579" s="507"/>
      <c r="AU579" s="507"/>
    </row>
    <row r="580" spans="1:47" s="2" customFormat="1">
      <c r="A580" s="597"/>
      <c r="C580" s="498"/>
      <c r="D580" s="498"/>
      <c r="E580" s="498"/>
      <c r="F580" s="498"/>
      <c r="G580" s="498"/>
      <c r="H580" s="498"/>
      <c r="I580" s="498"/>
      <c r="J580" s="498"/>
      <c r="K580" s="498"/>
      <c r="L580" s="498"/>
      <c r="M580" s="498"/>
      <c r="N580" s="498"/>
      <c r="O580" s="498"/>
      <c r="P580" s="498"/>
      <c r="Q580" s="498"/>
      <c r="R580" s="498"/>
      <c r="S580" s="498"/>
      <c r="T580" s="498"/>
      <c r="U580" s="498"/>
      <c r="V580" s="498"/>
      <c r="W580" s="498"/>
      <c r="X580" s="498"/>
      <c r="Y580" s="498"/>
      <c r="Z580" s="498"/>
      <c r="AA580" s="498"/>
      <c r="AB580" s="498"/>
      <c r="AC580" s="498"/>
      <c r="AD580" s="540"/>
      <c r="AF580" s="521"/>
      <c r="AG580" s="521"/>
    </row>
    <row r="581" spans="1:47" s="2" customFormat="1">
      <c r="A581" s="571"/>
      <c r="C581" s="498"/>
      <c r="D581" s="498"/>
      <c r="E581" s="498"/>
      <c r="F581" s="498"/>
      <c r="G581" s="498"/>
      <c r="H581" s="498"/>
      <c r="I581" s="498"/>
      <c r="J581" s="498"/>
      <c r="K581" s="498"/>
      <c r="L581" s="498"/>
      <c r="M581" s="498"/>
      <c r="N581" s="498"/>
      <c r="O581" s="498"/>
      <c r="P581" s="498"/>
      <c r="Q581" s="498"/>
      <c r="R581" s="498"/>
      <c r="S581" s="498"/>
      <c r="T581" s="498"/>
      <c r="U581" s="498"/>
      <c r="V581" s="498"/>
      <c r="W581" s="498"/>
      <c r="X581" s="498"/>
      <c r="Y581" s="498"/>
      <c r="Z581" s="498"/>
      <c r="AA581" s="498"/>
      <c r="AB581" s="498"/>
      <c r="AC581" s="498"/>
      <c r="AD581" s="540"/>
      <c r="AE581" s="498"/>
      <c r="AF581" s="521"/>
      <c r="AG581" s="509"/>
      <c r="AH581" s="507"/>
      <c r="AI581" s="498"/>
      <c r="AJ581" s="507"/>
      <c r="AK581" s="507"/>
      <c r="AL581" s="507"/>
      <c r="AM581" s="507"/>
      <c r="AN581" s="507"/>
      <c r="AO581" s="498"/>
      <c r="AP581" s="498"/>
      <c r="AQ581" s="507"/>
      <c r="AR581" s="507"/>
      <c r="AS581" s="507"/>
      <c r="AT581" s="507"/>
      <c r="AU581" s="507"/>
    </row>
    <row r="582" spans="1:47" s="2" customFormat="1">
      <c r="A582" s="589"/>
      <c r="C582" s="498"/>
      <c r="D582" s="498"/>
      <c r="E582" s="498"/>
      <c r="F582" s="498"/>
      <c r="G582" s="498"/>
      <c r="H582" s="498"/>
      <c r="I582" s="498"/>
      <c r="J582" s="498"/>
      <c r="K582" s="498"/>
      <c r="L582" s="498"/>
      <c r="M582" s="498"/>
      <c r="N582" s="498"/>
      <c r="O582" s="498"/>
      <c r="P582" s="498"/>
      <c r="Q582" s="498"/>
      <c r="R582" s="498"/>
      <c r="S582" s="498"/>
      <c r="T582" s="498"/>
      <c r="U582" s="498"/>
      <c r="V582" s="498"/>
      <c r="W582" s="498"/>
      <c r="X582" s="498"/>
      <c r="Y582" s="498"/>
      <c r="Z582" s="498"/>
      <c r="AA582" s="498"/>
      <c r="AB582" s="498"/>
      <c r="AC582" s="498"/>
      <c r="AD582" s="542"/>
      <c r="AE582" s="498"/>
      <c r="AF582" s="521"/>
      <c r="AG582" s="521"/>
      <c r="AH582" s="514"/>
      <c r="AI582" s="514"/>
      <c r="AJ582" s="514"/>
      <c r="AK582" s="514"/>
      <c r="AL582" s="514"/>
      <c r="AM582" s="514"/>
      <c r="AN582" s="514"/>
      <c r="AO582" s="498"/>
      <c r="AP582" s="498"/>
      <c r="AQ582" s="514"/>
      <c r="AR582" s="514"/>
      <c r="AS582" s="514"/>
      <c r="AT582" s="514"/>
      <c r="AU582" s="514"/>
    </row>
    <row r="583" spans="1:47" s="2" customFormat="1">
      <c r="A583" s="589"/>
      <c r="C583" s="498"/>
      <c r="D583" s="498"/>
      <c r="E583" s="498"/>
      <c r="F583" s="498"/>
      <c r="G583" s="498"/>
      <c r="H583" s="498"/>
      <c r="I583" s="498"/>
      <c r="J583" s="498"/>
      <c r="K583" s="498"/>
      <c r="L583" s="498"/>
      <c r="M583" s="498"/>
      <c r="N583" s="498"/>
      <c r="O583" s="498"/>
      <c r="P583" s="498"/>
      <c r="Q583" s="498"/>
      <c r="R583" s="498"/>
      <c r="S583" s="498"/>
      <c r="T583" s="498"/>
      <c r="U583" s="498"/>
      <c r="V583" s="498"/>
      <c r="W583" s="498"/>
      <c r="X583" s="498"/>
      <c r="Y583" s="498"/>
      <c r="Z583" s="498"/>
      <c r="AA583" s="498"/>
      <c r="AB583" s="498"/>
      <c r="AC583" s="498"/>
      <c r="AD583" s="542"/>
      <c r="AE583" s="498"/>
      <c r="AF583" s="521"/>
      <c r="AG583" s="521"/>
      <c r="AH583" s="507"/>
      <c r="AI583" s="498"/>
      <c r="AJ583" s="507"/>
      <c r="AK583" s="507"/>
      <c r="AL583" s="507"/>
      <c r="AM583" s="507"/>
      <c r="AN583" s="507"/>
      <c r="AO583" s="498"/>
      <c r="AP583" s="498"/>
      <c r="AQ583" s="507"/>
      <c r="AR583" s="507"/>
      <c r="AS583" s="507"/>
      <c r="AT583" s="507"/>
      <c r="AU583" s="507"/>
    </row>
    <row r="584" spans="1:47" s="2" customFormat="1">
      <c r="A584" s="589"/>
      <c r="C584" s="498"/>
      <c r="D584" s="498"/>
      <c r="E584" s="498"/>
      <c r="F584" s="498"/>
      <c r="G584" s="498"/>
      <c r="H584" s="498"/>
      <c r="I584" s="498"/>
      <c r="J584" s="498"/>
      <c r="K584" s="498"/>
      <c r="L584" s="498"/>
      <c r="M584" s="498"/>
      <c r="N584" s="498"/>
      <c r="O584" s="498"/>
      <c r="P584" s="498"/>
      <c r="Q584" s="498"/>
      <c r="R584" s="498"/>
      <c r="S584" s="498"/>
      <c r="T584" s="498"/>
      <c r="U584" s="498"/>
      <c r="V584" s="498"/>
      <c r="W584" s="498"/>
      <c r="X584" s="498"/>
      <c r="Y584" s="498"/>
      <c r="Z584" s="498"/>
      <c r="AA584" s="498"/>
      <c r="AB584" s="498"/>
      <c r="AC584" s="498"/>
      <c r="AD584" s="542"/>
      <c r="AE584" s="498"/>
      <c r="AF584" s="521"/>
      <c r="AG584" s="521"/>
      <c r="AH584" s="514"/>
      <c r="AI584" s="514"/>
      <c r="AJ584" s="514"/>
      <c r="AK584" s="514"/>
      <c r="AL584" s="514"/>
      <c r="AM584" s="514"/>
      <c r="AN584" s="514"/>
      <c r="AO584" s="498"/>
      <c r="AP584" s="498"/>
      <c r="AQ584" s="514"/>
      <c r="AR584" s="514"/>
      <c r="AS584" s="514"/>
      <c r="AT584" s="514"/>
      <c r="AU584" s="514"/>
    </row>
    <row r="585" spans="1:47" s="2" customFormat="1">
      <c r="A585" s="589"/>
      <c r="C585" s="498"/>
      <c r="D585" s="498"/>
      <c r="E585" s="498"/>
      <c r="F585" s="498"/>
      <c r="G585" s="498"/>
      <c r="H585" s="498"/>
      <c r="I585" s="498"/>
      <c r="J585" s="498"/>
      <c r="K585" s="498"/>
      <c r="L585" s="498"/>
      <c r="M585" s="498"/>
      <c r="N585" s="498"/>
      <c r="O585" s="498"/>
      <c r="P585" s="498"/>
      <c r="Q585" s="498"/>
      <c r="R585" s="498"/>
      <c r="S585" s="498"/>
      <c r="T585" s="498"/>
      <c r="U585" s="498"/>
      <c r="V585" s="498"/>
      <c r="W585" s="498"/>
      <c r="X585" s="498"/>
      <c r="Y585" s="498"/>
      <c r="Z585" s="498"/>
      <c r="AA585" s="498"/>
      <c r="AB585" s="498"/>
      <c r="AC585" s="498"/>
      <c r="AD585" s="542"/>
      <c r="AE585" s="498"/>
      <c r="AF585" s="521"/>
      <c r="AG585" s="521"/>
      <c r="AH585" s="507"/>
      <c r="AI585" s="498"/>
      <c r="AJ585" s="507"/>
      <c r="AK585" s="507"/>
      <c r="AL585" s="507"/>
      <c r="AM585" s="507"/>
      <c r="AN585" s="507"/>
      <c r="AO585" s="498"/>
      <c r="AP585" s="498"/>
      <c r="AQ585" s="507"/>
      <c r="AR585" s="507"/>
      <c r="AS585" s="507"/>
      <c r="AT585" s="507"/>
      <c r="AU585" s="507"/>
    </row>
    <row r="586" spans="1:47" s="2" customFormat="1">
      <c r="A586" s="589"/>
      <c r="C586" s="498"/>
      <c r="D586" s="498"/>
      <c r="E586" s="498"/>
      <c r="F586" s="498"/>
      <c r="G586" s="498"/>
      <c r="H586" s="498"/>
      <c r="I586" s="498"/>
      <c r="J586" s="498"/>
      <c r="K586" s="498"/>
      <c r="L586" s="498"/>
      <c r="M586" s="498"/>
      <c r="N586" s="498"/>
      <c r="O586" s="498"/>
      <c r="P586" s="498"/>
      <c r="Q586" s="498"/>
      <c r="R586" s="498"/>
      <c r="S586" s="498"/>
      <c r="T586" s="498"/>
      <c r="U586" s="498"/>
      <c r="V586" s="498"/>
      <c r="W586" s="498"/>
      <c r="X586" s="498"/>
      <c r="Y586" s="498"/>
      <c r="Z586" s="498"/>
      <c r="AA586" s="498"/>
      <c r="AB586" s="498"/>
      <c r="AC586" s="498"/>
      <c r="AD586" s="542"/>
      <c r="AE586" s="498"/>
      <c r="AF586" s="521"/>
      <c r="AG586" s="514"/>
      <c r="AH586" s="514"/>
      <c r="AI586" s="514"/>
      <c r="AJ586" s="514"/>
      <c r="AK586" s="514"/>
      <c r="AL586" s="514"/>
      <c r="AM586" s="514"/>
      <c r="AN586" s="514"/>
      <c r="AO586" s="498"/>
      <c r="AP586" s="498"/>
      <c r="AQ586" s="514"/>
      <c r="AR586" s="514"/>
      <c r="AS586" s="514"/>
      <c r="AT586" s="514"/>
      <c r="AU586" s="514"/>
    </row>
    <row r="587" spans="1:47" s="2" customFormat="1">
      <c r="A587" s="589"/>
      <c r="C587" s="498"/>
      <c r="D587" s="498"/>
      <c r="E587" s="498"/>
      <c r="F587" s="498"/>
      <c r="G587" s="498"/>
      <c r="H587" s="498"/>
      <c r="I587" s="498"/>
      <c r="J587" s="498"/>
      <c r="K587" s="498"/>
      <c r="L587" s="498"/>
      <c r="M587" s="498"/>
      <c r="N587" s="498"/>
      <c r="O587" s="498"/>
      <c r="P587" s="498"/>
      <c r="Q587" s="498"/>
      <c r="R587" s="498"/>
      <c r="S587" s="498"/>
      <c r="T587" s="498"/>
      <c r="U587" s="498"/>
      <c r="V587" s="498"/>
      <c r="W587" s="498"/>
      <c r="X587" s="498"/>
      <c r="Y587" s="498"/>
      <c r="Z587" s="498"/>
      <c r="AA587" s="498"/>
      <c r="AB587" s="498"/>
      <c r="AC587" s="498"/>
      <c r="AD587" s="540"/>
      <c r="AE587" s="498"/>
      <c r="AF587" s="514"/>
      <c r="AG587" s="509"/>
      <c r="AH587" s="507"/>
      <c r="AI587" s="498"/>
      <c r="AJ587" s="507"/>
      <c r="AK587" s="507"/>
      <c r="AL587" s="507"/>
      <c r="AM587" s="507"/>
      <c r="AN587" s="507"/>
      <c r="AO587" s="498"/>
      <c r="AP587" s="498"/>
      <c r="AQ587" s="507"/>
      <c r="AR587" s="507"/>
      <c r="AS587" s="507"/>
      <c r="AT587" s="507"/>
      <c r="AU587" s="507"/>
    </row>
    <row r="588" spans="1:47" s="2" customFormat="1">
      <c r="A588" s="589"/>
      <c r="C588" s="498"/>
      <c r="D588" s="498"/>
      <c r="E588" s="498"/>
      <c r="F588" s="498"/>
      <c r="G588" s="498"/>
      <c r="H588" s="498"/>
      <c r="I588" s="498"/>
      <c r="J588" s="498"/>
      <c r="K588" s="498"/>
      <c r="L588" s="498"/>
      <c r="M588" s="498"/>
      <c r="N588" s="498"/>
      <c r="O588" s="498"/>
      <c r="P588" s="498"/>
      <c r="Q588" s="498"/>
      <c r="R588" s="498"/>
      <c r="S588" s="498"/>
      <c r="T588" s="498"/>
      <c r="U588" s="498"/>
      <c r="V588" s="498"/>
      <c r="W588" s="498"/>
      <c r="X588" s="498"/>
      <c r="Y588" s="498"/>
      <c r="Z588" s="498"/>
      <c r="AA588" s="498"/>
      <c r="AB588" s="498"/>
      <c r="AC588" s="498"/>
      <c r="AD588" s="540"/>
      <c r="AE588" s="498"/>
      <c r="AF588" s="514"/>
      <c r="AG588" s="514"/>
      <c r="AH588" s="507"/>
      <c r="AI588" s="498"/>
      <c r="AJ588" s="507"/>
      <c r="AK588" s="507"/>
      <c r="AL588" s="507"/>
      <c r="AM588" s="507"/>
      <c r="AN588" s="507"/>
      <c r="AO588" s="498"/>
      <c r="AP588" s="498"/>
      <c r="AQ588" s="507"/>
      <c r="AR588" s="507"/>
      <c r="AS588" s="507"/>
      <c r="AT588" s="507"/>
      <c r="AU588" s="507"/>
    </row>
    <row r="589" spans="1:47" s="2" customFormat="1">
      <c r="A589" s="589"/>
      <c r="C589" s="498"/>
      <c r="D589" s="498"/>
      <c r="E589" s="498"/>
      <c r="F589" s="498"/>
      <c r="G589" s="498"/>
      <c r="H589" s="498"/>
      <c r="I589" s="498"/>
      <c r="J589" s="498"/>
      <c r="K589" s="498"/>
      <c r="L589" s="498"/>
      <c r="M589" s="498"/>
      <c r="N589" s="498"/>
      <c r="O589" s="498"/>
      <c r="P589" s="498"/>
      <c r="Q589" s="498"/>
      <c r="R589" s="498"/>
      <c r="S589" s="498"/>
      <c r="T589" s="498"/>
      <c r="U589" s="498"/>
      <c r="V589" s="498"/>
      <c r="W589" s="498"/>
      <c r="X589" s="498"/>
      <c r="Y589" s="498"/>
      <c r="Z589" s="498"/>
      <c r="AA589" s="498"/>
      <c r="AB589" s="498"/>
      <c r="AC589" s="498"/>
      <c r="AD589" s="542"/>
      <c r="AE589" s="498"/>
      <c r="AF589" s="521"/>
      <c r="AG589" s="521"/>
      <c r="AH589" s="521"/>
      <c r="AI589" s="521"/>
      <c r="AJ589" s="521"/>
      <c r="AK589" s="521"/>
      <c r="AL589" s="521"/>
      <c r="AM589" s="521"/>
      <c r="AN589" s="521"/>
      <c r="AO589" s="498"/>
      <c r="AP589" s="498"/>
      <c r="AQ589" s="521"/>
      <c r="AR589" s="521"/>
      <c r="AS589" s="521"/>
      <c r="AT589" s="521"/>
      <c r="AU589" s="521"/>
    </row>
    <row r="590" spans="1:47" s="2" customFormat="1">
      <c r="A590" s="597"/>
      <c r="C590" s="498"/>
      <c r="D590" s="498"/>
      <c r="E590" s="498"/>
      <c r="F590" s="498"/>
      <c r="G590" s="498"/>
      <c r="H590" s="498"/>
      <c r="I590" s="498"/>
      <c r="J590" s="498"/>
      <c r="K590" s="498"/>
      <c r="L590" s="498"/>
      <c r="M590" s="498"/>
      <c r="N590" s="498"/>
      <c r="O590" s="498"/>
      <c r="P590" s="498"/>
      <c r="Q590" s="498"/>
      <c r="R590" s="498"/>
      <c r="S590" s="498"/>
      <c r="T590" s="498"/>
      <c r="U590" s="498"/>
      <c r="V590" s="498"/>
      <c r="W590" s="498"/>
      <c r="X590" s="498"/>
      <c r="Y590" s="498"/>
      <c r="Z590" s="498"/>
      <c r="AA590" s="498"/>
      <c r="AB590" s="498"/>
      <c r="AC590" s="498"/>
      <c r="AD590" s="540"/>
      <c r="AF590" s="521"/>
      <c r="AG590" s="521"/>
    </row>
    <row r="591" spans="1:47" s="2" customFormat="1">
      <c r="A591" s="571"/>
      <c r="C591" s="498"/>
      <c r="D591" s="498"/>
      <c r="E591" s="498"/>
      <c r="F591" s="498"/>
      <c r="G591" s="498"/>
      <c r="H591" s="498"/>
      <c r="I591" s="498"/>
      <c r="J591" s="498"/>
      <c r="K591" s="498"/>
      <c r="L591" s="498"/>
      <c r="M591" s="498"/>
      <c r="N591" s="498"/>
      <c r="O591" s="498"/>
      <c r="P591" s="498"/>
      <c r="Q591" s="498"/>
      <c r="R591" s="498"/>
      <c r="S591" s="498"/>
      <c r="T591" s="498"/>
      <c r="U591" s="498"/>
      <c r="V591" s="498"/>
      <c r="W591" s="498"/>
      <c r="X591" s="498"/>
      <c r="Y591" s="498"/>
      <c r="Z591" s="498"/>
      <c r="AA591" s="498"/>
      <c r="AB591" s="498"/>
      <c r="AC591" s="498"/>
      <c r="AD591" s="540"/>
      <c r="AE591" s="498"/>
      <c r="AF591" s="521"/>
      <c r="AG591" s="509"/>
      <c r="AH591" s="507"/>
      <c r="AI591" s="498"/>
      <c r="AJ591" s="507"/>
      <c r="AK591" s="507"/>
      <c r="AL591" s="507"/>
      <c r="AM591" s="507"/>
      <c r="AN591" s="507"/>
      <c r="AO591" s="498"/>
      <c r="AP591" s="498"/>
      <c r="AQ591" s="507"/>
      <c r="AR591" s="507"/>
      <c r="AS591" s="507"/>
      <c r="AT591" s="507"/>
      <c r="AU591" s="507"/>
    </row>
    <row r="592" spans="1:47" s="2" customFormat="1">
      <c r="A592" s="589"/>
      <c r="C592" s="498"/>
      <c r="D592" s="498"/>
      <c r="E592" s="498"/>
      <c r="F592" s="498"/>
      <c r="G592" s="498"/>
      <c r="H592" s="498"/>
      <c r="I592" s="498"/>
      <c r="J592" s="498"/>
      <c r="K592" s="498"/>
      <c r="L592" s="498"/>
      <c r="M592" s="498"/>
      <c r="N592" s="498"/>
      <c r="O592" s="498"/>
      <c r="P592" s="498"/>
      <c r="Q592" s="498"/>
      <c r="R592" s="498"/>
      <c r="S592" s="498"/>
      <c r="T592" s="498"/>
      <c r="U592" s="498"/>
      <c r="V592" s="498"/>
      <c r="W592" s="498"/>
      <c r="X592" s="498"/>
      <c r="Y592" s="498"/>
      <c r="Z592" s="498"/>
      <c r="AA592" s="498"/>
      <c r="AB592" s="498"/>
      <c r="AC592" s="498"/>
      <c r="AD592" s="542"/>
      <c r="AE592" s="498"/>
      <c r="AF592" s="521"/>
      <c r="AG592" s="521"/>
      <c r="AH592" s="514"/>
      <c r="AI592" s="514"/>
      <c r="AJ592" s="514"/>
      <c r="AK592" s="514"/>
      <c r="AL592" s="514"/>
      <c r="AM592" s="514"/>
      <c r="AN592" s="514"/>
      <c r="AO592" s="498"/>
      <c r="AP592" s="498"/>
      <c r="AQ592" s="514"/>
      <c r="AR592" s="514"/>
      <c r="AS592" s="514"/>
      <c r="AT592" s="514"/>
      <c r="AU592" s="514"/>
    </row>
    <row r="593" spans="1:47" s="2" customFormat="1">
      <c r="A593" s="589"/>
      <c r="C593" s="498"/>
      <c r="D593" s="498"/>
      <c r="E593" s="498"/>
      <c r="F593" s="498"/>
      <c r="G593" s="498"/>
      <c r="H593" s="498"/>
      <c r="I593" s="498"/>
      <c r="J593" s="498"/>
      <c r="K593" s="498"/>
      <c r="L593" s="498"/>
      <c r="M593" s="498"/>
      <c r="N593" s="498"/>
      <c r="O593" s="498"/>
      <c r="P593" s="498"/>
      <c r="Q593" s="498"/>
      <c r="R593" s="498"/>
      <c r="S593" s="498"/>
      <c r="T593" s="498"/>
      <c r="U593" s="498"/>
      <c r="V593" s="498"/>
      <c r="W593" s="498"/>
      <c r="X593" s="498"/>
      <c r="Y593" s="498"/>
      <c r="Z593" s="498"/>
      <c r="AA593" s="498"/>
      <c r="AB593" s="498"/>
      <c r="AC593" s="498"/>
      <c r="AD593" s="540"/>
      <c r="AE593" s="498"/>
      <c r="AF593" s="521"/>
      <c r="AG593" s="509"/>
      <c r="AH593" s="507"/>
      <c r="AI593" s="498"/>
      <c r="AJ593" s="507"/>
      <c r="AK593" s="507"/>
      <c r="AL593" s="507"/>
      <c r="AM593" s="507"/>
      <c r="AN593" s="507"/>
      <c r="AO593" s="498"/>
      <c r="AP593" s="498"/>
      <c r="AQ593" s="507"/>
      <c r="AR593" s="507"/>
      <c r="AS593" s="507"/>
      <c r="AT593" s="507"/>
      <c r="AU593" s="507"/>
    </row>
    <row r="594" spans="1:47" s="2" customFormat="1">
      <c r="A594" s="589"/>
      <c r="C594" s="498"/>
      <c r="D594" s="498"/>
      <c r="E594" s="498"/>
      <c r="F594" s="498"/>
      <c r="G594" s="498"/>
      <c r="H594" s="498"/>
      <c r="I594" s="498"/>
      <c r="J594" s="498"/>
      <c r="K594" s="498"/>
      <c r="L594" s="498"/>
      <c r="M594" s="498"/>
      <c r="N594" s="498"/>
      <c r="O594" s="498"/>
      <c r="P594" s="498"/>
      <c r="Q594" s="498"/>
      <c r="R594" s="498"/>
      <c r="S594" s="498"/>
      <c r="T594" s="498"/>
      <c r="U594" s="498"/>
      <c r="V594" s="498"/>
      <c r="W594" s="498"/>
      <c r="X594" s="498"/>
      <c r="Y594" s="498"/>
      <c r="Z594" s="498"/>
      <c r="AA594" s="498"/>
      <c r="AB594" s="498"/>
      <c r="AC594" s="498"/>
      <c r="AD594" s="542"/>
      <c r="AE594" s="498"/>
      <c r="AF594" s="521"/>
      <c r="AG594" s="521"/>
      <c r="AH594" s="514"/>
      <c r="AI594" s="514"/>
      <c r="AJ594" s="514"/>
      <c r="AK594" s="514"/>
      <c r="AL594" s="514"/>
      <c r="AM594" s="514"/>
      <c r="AN594" s="514"/>
      <c r="AO594" s="498"/>
      <c r="AP594" s="514"/>
      <c r="AQ594" s="514"/>
      <c r="AR594" s="514"/>
      <c r="AS594" s="514"/>
      <c r="AT594" s="514"/>
      <c r="AU594" s="514"/>
    </row>
    <row r="595" spans="1:47" s="2" customFormat="1">
      <c r="A595" s="589"/>
      <c r="C595" s="498"/>
      <c r="D595" s="498"/>
      <c r="E595" s="498"/>
      <c r="F595" s="498"/>
      <c r="G595" s="498"/>
      <c r="H595" s="498"/>
      <c r="I595" s="498"/>
      <c r="J595" s="498"/>
      <c r="K595" s="498"/>
      <c r="L595" s="498"/>
      <c r="M595" s="498"/>
      <c r="N595" s="498"/>
      <c r="O595" s="498"/>
      <c r="P595" s="498"/>
      <c r="Q595" s="498"/>
      <c r="R595" s="498"/>
      <c r="S595" s="498"/>
      <c r="T595" s="498"/>
      <c r="U595" s="498"/>
      <c r="V595" s="498"/>
      <c r="W595" s="498"/>
      <c r="X595" s="498"/>
      <c r="Y595" s="498"/>
      <c r="Z595" s="498"/>
      <c r="AA595" s="498"/>
      <c r="AB595" s="498"/>
      <c r="AC595" s="498"/>
      <c r="AD595" s="540"/>
      <c r="AE595" s="498"/>
      <c r="AF595" s="521"/>
      <c r="AG595" s="509"/>
      <c r="AH595" s="507"/>
      <c r="AI595" s="498"/>
      <c r="AJ595" s="507"/>
      <c r="AK595" s="507"/>
      <c r="AL595" s="507"/>
      <c r="AM595" s="507"/>
      <c r="AN595" s="507"/>
      <c r="AO595" s="498"/>
      <c r="AP595" s="498"/>
      <c r="AQ595" s="507"/>
      <c r="AR595" s="507"/>
      <c r="AS595" s="507"/>
      <c r="AT595" s="507"/>
      <c r="AU595" s="507"/>
    </row>
    <row r="596" spans="1:47" s="2" customFormat="1">
      <c r="A596" s="589"/>
      <c r="C596" s="498"/>
      <c r="D596" s="498"/>
      <c r="E596" s="498"/>
      <c r="F596" s="498"/>
      <c r="G596" s="498"/>
      <c r="H596" s="498"/>
      <c r="I596" s="498"/>
      <c r="J596" s="498"/>
      <c r="K596" s="498"/>
      <c r="L596" s="498"/>
      <c r="M596" s="498"/>
      <c r="N596" s="498"/>
      <c r="O596" s="498"/>
      <c r="P596" s="498"/>
      <c r="Q596" s="498"/>
      <c r="R596" s="498"/>
      <c r="S596" s="498"/>
      <c r="T596" s="498"/>
      <c r="U596" s="498"/>
      <c r="V596" s="498"/>
      <c r="W596" s="498"/>
      <c r="X596" s="498"/>
      <c r="Y596" s="498"/>
      <c r="Z596" s="498"/>
      <c r="AA596" s="498"/>
      <c r="AB596" s="498"/>
      <c r="AC596" s="498"/>
      <c r="AD596" s="540"/>
      <c r="AE596" s="498"/>
      <c r="AF596" s="521"/>
      <c r="AG596" s="509"/>
      <c r="AH596" s="507"/>
      <c r="AI596" s="498"/>
      <c r="AJ596" s="507"/>
      <c r="AK596" s="507"/>
      <c r="AL596" s="507"/>
      <c r="AM596" s="507"/>
      <c r="AN596" s="507"/>
      <c r="AO596" s="498"/>
      <c r="AP596" s="498"/>
      <c r="AQ596" s="507"/>
      <c r="AR596" s="507"/>
      <c r="AS596" s="507"/>
      <c r="AT596" s="507"/>
      <c r="AU596" s="507"/>
    </row>
    <row r="597" spans="1:47" s="2" customFormat="1">
      <c r="A597" s="589"/>
      <c r="C597" s="498"/>
      <c r="D597" s="498"/>
      <c r="E597" s="498"/>
      <c r="F597" s="498"/>
      <c r="G597" s="498"/>
      <c r="H597" s="498"/>
      <c r="I597" s="498"/>
      <c r="J597" s="498"/>
      <c r="K597" s="498"/>
      <c r="L597" s="498"/>
      <c r="M597" s="498"/>
      <c r="N597" s="498"/>
      <c r="O597" s="498"/>
      <c r="P597" s="498"/>
      <c r="Q597" s="498"/>
      <c r="R597" s="498"/>
      <c r="S597" s="498"/>
      <c r="T597" s="498"/>
      <c r="U597" s="498"/>
      <c r="V597" s="498"/>
      <c r="W597" s="498"/>
      <c r="X597" s="498"/>
      <c r="Y597" s="498"/>
      <c r="Z597" s="498"/>
      <c r="AA597" s="498"/>
      <c r="AB597" s="498"/>
      <c r="AC597" s="498"/>
      <c r="AD597" s="540"/>
      <c r="AE597" s="498"/>
      <c r="AF597" s="521"/>
      <c r="AG597" s="509"/>
      <c r="AH597" s="507"/>
      <c r="AI597" s="498"/>
      <c r="AJ597" s="507"/>
      <c r="AK597" s="507"/>
      <c r="AL597" s="507"/>
      <c r="AM597" s="507"/>
      <c r="AN597" s="507"/>
      <c r="AO597" s="498"/>
      <c r="AP597" s="498"/>
      <c r="AQ597" s="507"/>
      <c r="AR597" s="507"/>
      <c r="AS597" s="507"/>
      <c r="AT597" s="507"/>
      <c r="AU597" s="507"/>
    </row>
    <row r="598" spans="1:47" s="2" customFormat="1">
      <c r="A598" s="589"/>
      <c r="C598" s="498"/>
      <c r="D598" s="498"/>
      <c r="E598" s="498"/>
      <c r="F598" s="498"/>
      <c r="G598" s="498"/>
      <c r="H598" s="498"/>
      <c r="I598" s="498"/>
      <c r="J598" s="498"/>
      <c r="K598" s="498"/>
      <c r="L598" s="498"/>
      <c r="M598" s="498"/>
      <c r="N598" s="498"/>
      <c r="O598" s="498"/>
      <c r="P598" s="498"/>
      <c r="Q598" s="498"/>
      <c r="R598" s="498"/>
      <c r="S598" s="498"/>
      <c r="T598" s="498"/>
      <c r="U598" s="498"/>
      <c r="V598" s="498"/>
      <c r="W598" s="498"/>
      <c r="X598" s="498"/>
      <c r="Y598" s="498"/>
      <c r="Z598" s="498"/>
      <c r="AA598" s="498"/>
      <c r="AB598" s="498"/>
      <c r="AC598" s="498"/>
      <c r="AD598" s="540"/>
      <c r="AE598" s="498"/>
      <c r="AF598" s="521"/>
      <c r="AG598" s="509"/>
      <c r="AH598" s="507"/>
      <c r="AI598" s="498"/>
      <c r="AJ598" s="507"/>
      <c r="AK598" s="507"/>
      <c r="AL598" s="507"/>
      <c r="AM598" s="507"/>
      <c r="AN598" s="507"/>
      <c r="AO598" s="498"/>
      <c r="AP598" s="498"/>
      <c r="AQ598" s="507"/>
      <c r="AR598" s="507"/>
      <c r="AS598" s="507"/>
      <c r="AT598" s="507"/>
      <c r="AU598" s="507"/>
    </row>
    <row r="599" spans="1:47" s="2" customFormat="1">
      <c r="A599" s="589"/>
      <c r="C599" s="498"/>
      <c r="D599" s="498"/>
      <c r="E599" s="498"/>
      <c r="F599" s="498"/>
      <c r="G599" s="498"/>
      <c r="H599" s="498"/>
      <c r="I599" s="498"/>
      <c r="J599" s="498"/>
      <c r="K599" s="498"/>
      <c r="L599" s="498"/>
      <c r="M599" s="498"/>
      <c r="N599" s="498"/>
      <c r="O599" s="498"/>
      <c r="P599" s="498"/>
      <c r="Q599" s="498"/>
      <c r="R599" s="498"/>
      <c r="S599" s="498"/>
      <c r="T599" s="498"/>
      <c r="U599" s="498"/>
      <c r="V599" s="498"/>
      <c r="W599" s="498"/>
      <c r="X599" s="498"/>
      <c r="Y599" s="498"/>
      <c r="Z599" s="498"/>
      <c r="AA599" s="498"/>
      <c r="AB599" s="498"/>
      <c r="AC599" s="498"/>
      <c r="AD599" s="540"/>
      <c r="AE599" s="498"/>
      <c r="AF599" s="514"/>
      <c r="AG599" s="509"/>
      <c r="AH599" s="507"/>
      <c r="AI599" s="498"/>
      <c r="AJ599" s="507"/>
      <c r="AK599" s="507"/>
      <c r="AL599" s="507"/>
      <c r="AM599" s="507"/>
      <c r="AN599" s="507"/>
      <c r="AO599" s="498"/>
      <c r="AP599" s="498"/>
      <c r="AQ599" s="507"/>
      <c r="AR599" s="507"/>
      <c r="AS599" s="507"/>
      <c r="AT599" s="507"/>
      <c r="AU599" s="507"/>
    </row>
    <row r="600" spans="1:47" s="2" customFormat="1">
      <c r="A600" s="597"/>
      <c r="B600" s="558"/>
      <c r="C600" s="498"/>
      <c r="D600" s="498"/>
      <c r="E600" s="498"/>
      <c r="F600" s="498"/>
      <c r="G600" s="498"/>
      <c r="H600" s="498"/>
      <c r="I600" s="498"/>
      <c r="J600" s="498"/>
      <c r="K600" s="498"/>
      <c r="L600" s="498"/>
      <c r="M600" s="498"/>
      <c r="N600" s="498"/>
      <c r="O600" s="498"/>
      <c r="P600" s="498"/>
      <c r="Q600" s="498"/>
      <c r="R600" s="498"/>
      <c r="S600" s="498"/>
      <c r="T600" s="498"/>
      <c r="U600" s="498"/>
      <c r="V600" s="498"/>
      <c r="W600" s="498"/>
      <c r="X600" s="498"/>
      <c r="Y600" s="498"/>
      <c r="Z600" s="498"/>
      <c r="AA600" s="498"/>
      <c r="AB600" s="498"/>
      <c r="AC600" s="498"/>
      <c r="AD600" s="540"/>
      <c r="AF600" s="521"/>
      <c r="AG600" s="521"/>
    </row>
    <row r="601" spans="1:47" s="2" customFormat="1">
      <c r="A601" s="571"/>
      <c r="C601" s="498"/>
      <c r="D601" s="498"/>
      <c r="E601" s="498"/>
      <c r="F601" s="498"/>
      <c r="G601" s="498"/>
      <c r="H601" s="498"/>
      <c r="I601" s="498"/>
      <c r="J601" s="498"/>
      <c r="K601" s="498"/>
      <c r="L601" s="498"/>
      <c r="M601" s="498"/>
      <c r="N601" s="498"/>
      <c r="O601" s="498"/>
      <c r="P601" s="498"/>
      <c r="Q601" s="498"/>
      <c r="R601" s="498"/>
      <c r="S601" s="498"/>
      <c r="T601" s="498"/>
      <c r="U601" s="498"/>
      <c r="V601" s="498"/>
      <c r="W601" s="498"/>
      <c r="X601" s="498"/>
      <c r="Y601" s="498"/>
      <c r="Z601" s="498"/>
      <c r="AA601" s="498"/>
      <c r="AB601" s="498"/>
      <c r="AC601" s="498"/>
      <c r="AD601" s="540"/>
      <c r="AE601" s="498"/>
      <c r="AF601" s="514"/>
      <c r="AG601" s="509"/>
      <c r="AH601" s="507"/>
      <c r="AI601" s="498"/>
      <c r="AJ601" s="507"/>
      <c r="AK601" s="507"/>
      <c r="AL601" s="507"/>
      <c r="AM601" s="507"/>
      <c r="AN601" s="507"/>
      <c r="AO601" s="498"/>
      <c r="AP601" s="498"/>
      <c r="AQ601" s="507"/>
      <c r="AR601" s="507"/>
      <c r="AS601" s="507"/>
      <c r="AT601" s="507"/>
      <c r="AU601" s="507"/>
    </row>
    <row r="602" spans="1:47" s="2" customFormat="1">
      <c r="A602" s="589"/>
      <c r="C602" s="498"/>
      <c r="D602" s="498"/>
      <c r="E602" s="498"/>
      <c r="F602" s="498"/>
      <c r="G602" s="498"/>
      <c r="H602" s="498"/>
      <c r="I602" s="498"/>
      <c r="J602" s="498"/>
      <c r="K602" s="498"/>
      <c r="L602" s="498"/>
      <c r="M602" s="498"/>
      <c r="N602" s="498"/>
      <c r="O602" s="498"/>
      <c r="P602" s="498"/>
      <c r="Q602" s="498"/>
      <c r="R602" s="498"/>
      <c r="S602" s="498"/>
      <c r="T602" s="498"/>
      <c r="U602" s="498"/>
      <c r="V602" s="498"/>
      <c r="W602" s="498"/>
      <c r="X602" s="498"/>
      <c r="Y602" s="498"/>
      <c r="Z602" s="498"/>
      <c r="AA602" s="498"/>
      <c r="AB602" s="498"/>
      <c r="AC602" s="498"/>
      <c r="AD602" s="540"/>
      <c r="AE602" s="498"/>
      <c r="AF602" s="514"/>
      <c r="AG602" s="509"/>
      <c r="AH602" s="514"/>
      <c r="AI602" s="514"/>
      <c r="AJ602" s="514"/>
      <c r="AK602" s="514"/>
      <c r="AL602" s="514"/>
      <c r="AM602" s="514"/>
      <c r="AN602" s="514"/>
      <c r="AO602" s="498"/>
      <c r="AP602" s="498"/>
      <c r="AQ602" s="514"/>
      <c r="AR602" s="514"/>
      <c r="AS602" s="514"/>
      <c r="AT602" s="514"/>
      <c r="AU602" s="514"/>
    </row>
    <row r="603" spans="1:47" s="2" customFormat="1">
      <c r="A603" s="589"/>
      <c r="C603" s="498"/>
      <c r="D603" s="498"/>
      <c r="E603" s="498"/>
      <c r="F603" s="498"/>
      <c r="G603" s="498"/>
      <c r="H603" s="498"/>
      <c r="I603" s="498"/>
      <c r="J603" s="498"/>
      <c r="K603" s="498"/>
      <c r="L603" s="498"/>
      <c r="M603" s="498"/>
      <c r="N603" s="498"/>
      <c r="O603" s="498"/>
      <c r="P603" s="498"/>
      <c r="Q603" s="498"/>
      <c r="R603" s="498"/>
      <c r="S603" s="498"/>
      <c r="T603" s="498"/>
      <c r="U603" s="498"/>
      <c r="V603" s="498"/>
      <c r="W603" s="498"/>
      <c r="X603" s="498"/>
      <c r="Y603" s="498"/>
      <c r="Z603" s="498"/>
      <c r="AA603" s="498"/>
      <c r="AB603" s="498"/>
      <c r="AC603" s="498"/>
      <c r="AD603" s="540"/>
      <c r="AE603" s="498"/>
      <c r="AF603" s="514"/>
      <c r="AG603" s="509"/>
      <c r="AH603" s="507"/>
      <c r="AI603" s="498"/>
      <c r="AJ603" s="507"/>
      <c r="AK603" s="507"/>
      <c r="AL603" s="507"/>
      <c r="AM603" s="507"/>
      <c r="AN603" s="507"/>
      <c r="AO603" s="498"/>
      <c r="AP603" s="498"/>
      <c r="AQ603" s="507"/>
      <c r="AR603" s="507"/>
      <c r="AS603" s="507"/>
      <c r="AT603" s="507"/>
      <c r="AU603" s="507"/>
    </row>
    <row r="604" spans="1:47" s="2" customFormat="1">
      <c r="A604" s="589"/>
      <c r="C604" s="498"/>
      <c r="D604" s="498"/>
      <c r="E604" s="498"/>
      <c r="F604" s="498"/>
      <c r="G604" s="498"/>
      <c r="H604" s="498"/>
      <c r="I604" s="498"/>
      <c r="J604" s="498"/>
      <c r="K604" s="498"/>
      <c r="L604" s="498"/>
      <c r="M604" s="498"/>
      <c r="N604" s="498"/>
      <c r="O604" s="498"/>
      <c r="P604" s="498"/>
      <c r="Q604" s="498"/>
      <c r="R604" s="498"/>
      <c r="S604" s="498"/>
      <c r="T604" s="498"/>
      <c r="U604" s="498"/>
      <c r="V604" s="498"/>
      <c r="W604" s="498"/>
      <c r="X604" s="498"/>
      <c r="Y604" s="498"/>
      <c r="Z604" s="498"/>
      <c r="AA604" s="498"/>
      <c r="AB604" s="498"/>
      <c r="AC604" s="498"/>
      <c r="AD604" s="540"/>
      <c r="AE604" s="498"/>
      <c r="AF604" s="514"/>
      <c r="AG604" s="509"/>
      <c r="AH604" s="507"/>
      <c r="AI604" s="498"/>
      <c r="AJ604" s="507"/>
      <c r="AK604" s="507"/>
      <c r="AL604" s="507"/>
      <c r="AM604" s="507"/>
      <c r="AN604" s="507"/>
      <c r="AO604" s="498"/>
      <c r="AP604" s="498"/>
      <c r="AQ604" s="507"/>
      <c r="AR604" s="507"/>
      <c r="AS604" s="507"/>
      <c r="AT604" s="507"/>
      <c r="AU604" s="507"/>
    </row>
    <row r="605" spans="1:47" s="2" customFormat="1">
      <c r="A605" s="589"/>
      <c r="C605" s="498"/>
      <c r="D605" s="498"/>
      <c r="E605" s="498"/>
      <c r="F605" s="498"/>
      <c r="G605" s="498"/>
      <c r="H605" s="498"/>
      <c r="I605" s="498"/>
      <c r="J605" s="498"/>
      <c r="K605" s="498"/>
      <c r="L605" s="498"/>
      <c r="M605" s="498"/>
      <c r="N605" s="498"/>
      <c r="O605" s="498"/>
      <c r="P605" s="498"/>
      <c r="Q605" s="498"/>
      <c r="R605" s="498"/>
      <c r="S605" s="498"/>
      <c r="T605" s="498"/>
      <c r="U605" s="498"/>
      <c r="V605" s="498"/>
      <c r="W605" s="498"/>
      <c r="X605" s="498"/>
      <c r="Y605" s="498"/>
      <c r="Z605" s="498"/>
      <c r="AA605" s="498"/>
      <c r="AB605" s="498"/>
      <c r="AC605" s="498"/>
      <c r="AD605" s="540"/>
      <c r="AE605" s="498"/>
      <c r="AF605" s="514"/>
      <c r="AG605" s="509"/>
      <c r="AH605" s="507"/>
      <c r="AI605" s="498"/>
      <c r="AJ605" s="507"/>
      <c r="AK605" s="507"/>
      <c r="AL605" s="507"/>
      <c r="AM605" s="507"/>
      <c r="AN605" s="507"/>
      <c r="AO605" s="498"/>
      <c r="AP605" s="498"/>
      <c r="AQ605" s="507"/>
      <c r="AR605" s="507"/>
      <c r="AS605" s="507"/>
      <c r="AT605" s="507"/>
      <c r="AU605" s="507"/>
    </row>
    <row r="606" spans="1:47" s="2" customFormat="1">
      <c r="A606" s="589"/>
      <c r="C606" s="498"/>
      <c r="D606" s="498"/>
      <c r="E606" s="498"/>
      <c r="F606" s="498"/>
      <c r="G606" s="498"/>
      <c r="H606" s="498"/>
      <c r="I606" s="498"/>
      <c r="J606" s="498"/>
      <c r="K606" s="498"/>
      <c r="L606" s="498"/>
      <c r="M606" s="498"/>
      <c r="N606" s="498"/>
      <c r="O606" s="498"/>
      <c r="P606" s="498"/>
      <c r="Q606" s="498"/>
      <c r="R606" s="498"/>
      <c r="S606" s="498"/>
      <c r="T606" s="498"/>
      <c r="U606" s="498"/>
      <c r="V606" s="498"/>
      <c r="W606" s="498"/>
      <c r="X606" s="498"/>
      <c r="Y606" s="498"/>
      <c r="Z606" s="498"/>
      <c r="AA606" s="498"/>
      <c r="AB606" s="498"/>
      <c r="AC606" s="498"/>
      <c r="AD606" s="540"/>
      <c r="AE606" s="498"/>
      <c r="AF606" s="514"/>
      <c r="AG606" s="509"/>
      <c r="AH606" s="507"/>
      <c r="AI606" s="498"/>
      <c r="AJ606" s="507"/>
      <c r="AK606" s="507"/>
      <c r="AL606" s="507"/>
      <c r="AM606" s="507"/>
      <c r="AN606" s="507"/>
      <c r="AO606" s="498"/>
      <c r="AP606" s="498"/>
      <c r="AQ606" s="507"/>
      <c r="AR606" s="507"/>
      <c r="AS606" s="507"/>
      <c r="AT606" s="507"/>
      <c r="AU606" s="507"/>
    </row>
    <row r="607" spans="1:47" s="2" customFormat="1">
      <c r="A607" s="589"/>
      <c r="C607" s="498"/>
      <c r="D607" s="498"/>
      <c r="E607" s="498"/>
      <c r="F607" s="498"/>
      <c r="G607" s="498"/>
      <c r="H607" s="498"/>
      <c r="I607" s="498"/>
      <c r="J607" s="498"/>
      <c r="K607" s="498"/>
      <c r="L607" s="498"/>
      <c r="M607" s="498"/>
      <c r="N607" s="498"/>
      <c r="O607" s="498"/>
      <c r="P607" s="498"/>
      <c r="Q607" s="498"/>
      <c r="R607" s="498"/>
      <c r="S607" s="498"/>
      <c r="T607" s="498"/>
      <c r="U607" s="498"/>
      <c r="V607" s="498"/>
      <c r="W607" s="498"/>
      <c r="X607" s="498"/>
      <c r="Y607" s="498"/>
      <c r="Z607" s="498"/>
      <c r="AA607" s="498"/>
      <c r="AB607" s="498"/>
      <c r="AC607" s="498"/>
      <c r="AD607" s="540"/>
      <c r="AE607" s="498"/>
      <c r="AF607" s="514"/>
      <c r="AG607" s="509"/>
      <c r="AH607" s="507"/>
      <c r="AI607" s="498"/>
      <c r="AJ607" s="507"/>
      <c r="AK607" s="507"/>
      <c r="AL607" s="507"/>
      <c r="AM607" s="507"/>
      <c r="AN607" s="507"/>
      <c r="AO607" s="498"/>
      <c r="AP607" s="498"/>
      <c r="AQ607" s="507"/>
      <c r="AR607" s="507"/>
      <c r="AS607" s="507"/>
      <c r="AT607" s="507"/>
      <c r="AU607" s="507"/>
    </row>
    <row r="608" spans="1:47" s="2" customFormat="1">
      <c r="A608" s="589"/>
      <c r="C608" s="498"/>
      <c r="D608" s="498"/>
      <c r="E608" s="498"/>
      <c r="F608" s="498"/>
      <c r="G608" s="498"/>
      <c r="H608" s="498"/>
      <c r="I608" s="498"/>
      <c r="J608" s="498"/>
      <c r="K608" s="498"/>
      <c r="L608" s="498"/>
      <c r="M608" s="498"/>
      <c r="N608" s="498"/>
      <c r="O608" s="498"/>
      <c r="P608" s="498"/>
      <c r="Q608" s="498"/>
      <c r="R608" s="498"/>
      <c r="S608" s="498"/>
      <c r="T608" s="498"/>
      <c r="U608" s="498"/>
      <c r="V608" s="498"/>
      <c r="W608" s="498"/>
      <c r="X608" s="498"/>
      <c r="Y608" s="498"/>
      <c r="Z608" s="498"/>
      <c r="AA608" s="498"/>
      <c r="AB608" s="498"/>
      <c r="AC608" s="498"/>
      <c r="AD608" s="540"/>
      <c r="AE608" s="498"/>
      <c r="AF608" s="514"/>
      <c r="AG608" s="509"/>
      <c r="AH608" s="507"/>
      <c r="AI608" s="498"/>
      <c r="AJ608" s="507"/>
      <c r="AK608" s="507"/>
      <c r="AL608" s="507"/>
      <c r="AM608" s="507"/>
      <c r="AN608" s="507"/>
      <c r="AO608" s="498"/>
      <c r="AP608" s="498"/>
      <c r="AQ608" s="507"/>
      <c r="AR608" s="507"/>
      <c r="AS608" s="507"/>
      <c r="AT608" s="507"/>
      <c r="AU608" s="507"/>
    </row>
    <row r="609" spans="1:168" s="2" customFormat="1">
      <c r="A609" s="589"/>
      <c r="C609" s="498"/>
      <c r="D609" s="498"/>
      <c r="E609" s="498"/>
      <c r="F609" s="498"/>
      <c r="G609" s="498"/>
      <c r="H609" s="498"/>
      <c r="I609" s="498"/>
      <c r="J609" s="498"/>
      <c r="K609" s="498"/>
      <c r="L609" s="498"/>
      <c r="M609" s="498"/>
      <c r="N609" s="498"/>
      <c r="O609" s="498"/>
      <c r="P609" s="498"/>
      <c r="Q609" s="498"/>
      <c r="R609" s="498"/>
      <c r="S609" s="498"/>
      <c r="T609" s="498"/>
      <c r="U609" s="498"/>
      <c r="V609" s="498"/>
      <c r="W609" s="498"/>
      <c r="X609" s="498"/>
      <c r="Y609" s="498"/>
      <c r="Z609" s="498"/>
      <c r="AA609" s="498"/>
      <c r="AB609" s="498"/>
      <c r="AC609" s="498"/>
      <c r="AD609" s="540"/>
      <c r="AE609" s="498"/>
      <c r="AF609" s="514"/>
      <c r="AG609" s="509"/>
      <c r="AH609" s="507"/>
      <c r="AI609" s="498"/>
      <c r="AJ609" s="507"/>
      <c r="AK609" s="507"/>
      <c r="AL609" s="507"/>
      <c r="AM609" s="507"/>
      <c r="AN609" s="507"/>
      <c r="AO609" s="498"/>
      <c r="AP609" s="498"/>
      <c r="AQ609" s="507"/>
      <c r="AR609" s="507"/>
      <c r="AS609" s="507"/>
      <c r="AT609" s="507"/>
      <c r="AU609" s="507"/>
    </row>
    <row r="610" spans="1:168" s="2" customFormat="1" ht="33" customHeight="1">
      <c r="A610" s="568"/>
      <c r="B610" s="568"/>
      <c r="C610" s="568"/>
      <c r="D610" s="568"/>
      <c r="E610" s="568"/>
      <c r="F610" s="568"/>
      <c r="G610" s="568"/>
      <c r="H610" s="568"/>
      <c r="I610" s="568"/>
      <c r="J610" s="568"/>
      <c r="K610" s="568"/>
      <c r="L610" s="568"/>
      <c r="M610" s="568"/>
      <c r="N610" s="568"/>
      <c r="O610" s="568"/>
      <c r="P610" s="568"/>
      <c r="Q610" s="568"/>
      <c r="R610" s="568"/>
      <c r="S610" s="568"/>
      <c r="T610" s="568"/>
      <c r="U610" s="568"/>
      <c r="V610" s="568"/>
      <c r="W610" s="568"/>
      <c r="X610" s="568"/>
      <c r="Y610" s="568"/>
      <c r="Z610" s="568"/>
      <c r="AA610" s="568"/>
      <c r="AB610" s="568"/>
      <c r="AC610" s="568"/>
      <c r="AD610" s="568"/>
      <c r="AE610" s="568"/>
      <c r="AM610" s="535"/>
      <c r="AS610" s="535"/>
      <c r="AT610" s="535"/>
      <c r="AV610" s="535"/>
      <c r="AW610" s="535"/>
      <c r="AX610" s="535"/>
      <c r="AY610" s="535"/>
      <c r="AZ610" s="535"/>
      <c r="BA610" s="535"/>
      <c r="BB610" s="535"/>
      <c r="BC610" s="535"/>
      <c r="BD610" s="535"/>
      <c r="BE610" s="535"/>
      <c r="BF610" s="535"/>
      <c r="BG610" s="535"/>
      <c r="BH610" s="535"/>
      <c r="BI610" s="535"/>
      <c r="BJ610" s="535"/>
      <c r="BK610" s="535"/>
      <c r="BL610" s="535"/>
      <c r="BM610" s="535"/>
      <c r="BN610" s="535"/>
      <c r="BO610" s="535"/>
      <c r="BP610" s="535"/>
      <c r="BQ610" s="535"/>
      <c r="BR610" s="535"/>
      <c r="BS610" s="535"/>
      <c r="BT610" s="535"/>
      <c r="BU610" s="535"/>
      <c r="BV610" s="535"/>
      <c r="BW610" s="535"/>
      <c r="BX610" s="535"/>
      <c r="BY610" s="535"/>
      <c r="BZ610" s="535"/>
      <c r="CA610" s="535"/>
      <c r="CB610" s="535"/>
      <c r="CC610" s="535"/>
      <c r="CD610" s="535"/>
      <c r="CE610" s="535"/>
      <c r="CF610" s="535"/>
      <c r="CG610" s="535"/>
      <c r="CH610" s="535"/>
      <c r="CI610" s="535"/>
      <c r="CJ610" s="535"/>
      <c r="CK610" s="535"/>
      <c r="CL610" s="535"/>
      <c r="CM610" s="535"/>
      <c r="CN610" s="535"/>
      <c r="CO610" s="535"/>
      <c r="CP610" s="535"/>
      <c r="CQ610" s="535"/>
      <c r="CR610" s="535"/>
      <c r="CS610" s="535"/>
      <c r="CT610" s="535"/>
      <c r="CU610" s="535"/>
      <c r="CV610" s="535"/>
      <c r="CW610" s="535"/>
      <c r="CX610" s="535"/>
      <c r="CY610" s="535"/>
      <c r="CZ610" s="535"/>
      <c r="DA610" s="535"/>
      <c r="DB610" s="535"/>
      <c r="DC610" s="535"/>
      <c r="DD610" s="535"/>
      <c r="DE610" s="535"/>
      <c r="DF610" s="535"/>
      <c r="DG610" s="535"/>
      <c r="DH610" s="535"/>
      <c r="DI610" s="535"/>
      <c r="DJ610" s="535"/>
      <c r="DK610" s="535"/>
      <c r="DL610" s="535"/>
      <c r="DM610" s="535"/>
      <c r="DN610" s="535"/>
      <c r="DO610" s="535"/>
      <c r="DP610" s="535"/>
      <c r="DQ610" s="535"/>
      <c r="DR610" s="535"/>
      <c r="DS610" s="535"/>
      <c r="DT610" s="535"/>
      <c r="DU610" s="535"/>
      <c r="DV610" s="535"/>
      <c r="DW610" s="535"/>
      <c r="DX610" s="535"/>
      <c r="DY610" s="535"/>
      <c r="DZ610" s="535"/>
      <c r="EA610" s="535"/>
      <c r="EB610" s="535"/>
      <c r="EC610" s="535"/>
      <c r="ED610" s="535"/>
      <c r="EE610" s="535"/>
      <c r="EF610" s="535"/>
      <c r="EG610" s="535"/>
      <c r="EH610" s="535"/>
      <c r="EI610" s="535"/>
      <c r="EJ610" s="535"/>
      <c r="EK610" s="535"/>
      <c r="EL610" s="535"/>
      <c r="EM610" s="535"/>
      <c r="EN610" s="535"/>
      <c r="EO610" s="535"/>
      <c r="EP610" s="535"/>
      <c r="EQ610" s="535"/>
      <c r="ER610" s="535"/>
      <c r="ES610" s="535"/>
      <c r="ET610" s="535"/>
      <c r="EU610" s="535"/>
      <c r="EV610" s="535"/>
      <c r="EW610" s="535"/>
      <c r="EX610" s="535"/>
      <c r="EY610" s="535"/>
      <c r="EZ610" s="535"/>
    </row>
    <row r="611" spans="1:168" s="2" customFormat="1" ht="54" customHeight="1">
      <c r="A611" s="568"/>
      <c r="B611" s="568"/>
      <c r="C611" s="568"/>
      <c r="D611" s="568"/>
      <c r="E611" s="568"/>
      <c r="F611" s="568"/>
      <c r="G611" s="568"/>
      <c r="H611" s="568"/>
      <c r="I611" s="568"/>
      <c r="J611" s="568"/>
      <c r="K611" s="568"/>
      <c r="L611" s="568"/>
      <c r="M611" s="568"/>
      <c r="N611" s="568"/>
      <c r="O611" s="568"/>
      <c r="P611" s="568"/>
      <c r="Q611" s="568"/>
      <c r="R611" s="568"/>
      <c r="S611" s="568"/>
      <c r="T611" s="568"/>
      <c r="U611" s="568"/>
      <c r="V611" s="568"/>
      <c r="W611" s="568"/>
      <c r="X611" s="568"/>
      <c r="Y611" s="568"/>
      <c r="Z611" s="568"/>
      <c r="AA611" s="568"/>
      <c r="AB611" s="568"/>
      <c r="AC611" s="568"/>
      <c r="AD611" s="568"/>
      <c r="AE611" s="568"/>
      <c r="AM611" s="606"/>
      <c r="AS611" s="606"/>
      <c r="AT611" s="606"/>
      <c r="AV611" s="606"/>
      <c r="AW611" s="606"/>
      <c r="AX611" s="606"/>
      <c r="AY611" s="606"/>
      <c r="AZ611" s="606"/>
      <c r="BA611" s="606"/>
      <c r="BB611" s="606"/>
      <c r="BC611" s="606"/>
      <c r="BD611" s="606"/>
      <c r="BE611" s="606"/>
      <c r="BF611" s="606"/>
      <c r="BG611" s="606"/>
      <c r="BH611" s="606"/>
      <c r="BI611" s="606"/>
      <c r="BJ611" s="606"/>
      <c r="BK611" s="606"/>
      <c r="BL611" s="606"/>
      <c r="BM611" s="606"/>
      <c r="BN611" s="606"/>
      <c r="BO611" s="606"/>
      <c r="BP611" s="606"/>
      <c r="BQ611" s="606"/>
      <c r="BR611" s="606"/>
      <c r="BS611" s="606"/>
      <c r="BT611" s="606"/>
      <c r="BU611" s="606"/>
      <c r="BV611" s="606"/>
      <c r="BW611" s="606"/>
      <c r="BX611" s="606"/>
      <c r="BY611" s="606"/>
      <c r="BZ611" s="606"/>
      <c r="CA611" s="606"/>
      <c r="CB611" s="606"/>
      <c r="CC611" s="606"/>
      <c r="CD611" s="606"/>
      <c r="CE611" s="606"/>
      <c r="CF611" s="606"/>
      <c r="CG611" s="606"/>
      <c r="CH611" s="606"/>
      <c r="CI611" s="606"/>
      <c r="CJ611" s="606"/>
      <c r="CK611" s="606"/>
      <c r="CL611" s="606"/>
      <c r="CM611" s="606"/>
      <c r="CN611" s="606"/>
      <c r="CO611" s="606"/>
      <c r="CP611" s="606"/>
      <c r="CQ611" s="606"/>
      <c r="CR611" s="606"/>
      <c r="CS611" s="606"/>
      <c r="CT611" s="606"/>
      <c r="CU611" s="606"/>
      <c r="CV611" s="606"/>
      <c r="CW611" s="606"/>
      <c r="CX611" s="606"/>
      <c r="CY611" s="606"/>
      <c r="CZ611" s="606"/>
      <c r="DA611" s="606"/>
      <c r="DB611" s="606"/>
      <c r="DC611" s="606"/>
      <c r="DD611" s="606"/>
      <c r="DE611" s="606"/>
      <c r="DF611" s="606"/>
      <c r="DG611" s="606"/>
      <c r="DH611" s="606"/>
      <c r="DI611" s="606"/>
      <c r="DJ611" s="606"/>
      <c r="DK611" s="606"/>
      <c r="DL611" s="606"/>
      <c r="DM611" s="606"/>
      <c r="DN611" s="606"/>
      <c r="DO611" s="606"/>
      <c r="DP611" s="606"/>
      <c r="DQ611" s="606"/>
      <c r="DR611" s="606"/>
      <c r="DS611" s="606"/>
      <c r="DT611" s="606"/>
      <c r="DU611" s="606"/>
      <c r="DV611" s="606"/>
      <c r="DW611" s="606"/>
      <c r="DX611" s="606"/>
      <c r="DY611" s="606"/>
      <c r="DZ611" s="606"/>
      <c r="EA611" s="606"/>
      <c r="EB611" s="606"/>
      <c r="EC611" s="606"/>
      <c r="ED611" s="606"/>
      <c r="EE611" s="606"/>
      <c r="EF611" s="606"/>
      <c r="EG611" s="606"/>
      <c r="EH611" s="606"/>
      <c r="EI611" s="606"/>
      <c r="EJ611" s="606"/>
      <c r="EK611" s="606"/>
      <c r="EL611" s="606"/>
      <c r="EM611" s="606"/>
      <c r="EN611" s="606"/>
      <c r="EO611" s="606"/>
      <c r="EP611" s="606"/>
      <c r="EQ611" s="606"/>
      <c r="ER611" s="606"/>
      <c r="ES611" s="606"/>
      <c r="ET611" s="606"/>
      <c r="EU611" s="606"/>
      <c r="EV611" s="606"/>
      <c r="EW611" s="606"/>
      <c r="EX611" s="606"/>
      <c r="EY611" s="606"/>
      <c r="EZ611" s="606"/>
    </row>
    <row r="612" spans="1:168" s="532" customFormat="1" ht="31.5" customHeight="1">
      <c r="A612" s="545"/>
      <c r="B612" s="568"/>
      <c r="C612" s="568"/>
      <c r="D612" s="568"/>
      <c r="E612" s="568"/>
      <c r="F612" s="568"/>
      <c r="G612" s="568"/>
      <c r="H612" s="568"/>
      <c r="I612" s="568"/>
      <c r="J612" s="568"/>
      <c r="K612" s="568"/>
      <c r="L612" s="568"/>
      <c r="M612" s="568"/>
      <c r="N612" s="568"/>
      <c r="O612" s="568"/>
      <c r="P612" s="568"/>
      <c r="Q612" s="568"/>
      <c r="R612" s="568"/>
      <c r="S612" s="568"/>
      <c r="T612" s="568"/>
      <c r="U612" s="568"/>
      <c r="V612" s="568"/>
      <c r="W612" s="568"/>
      <c r="X612" s="568"/>
      <c r="Y612" s="568"/>
      <c r="Z612" s="568"/>
      <c r="AA612" s="568"/>
      <c r="AB612" s="568"/>
      <c r="AC612" s="568"/>
      <c r="AD612" s="568"/>
      <c r="AE612" s="568"/>
    </row>
    <row r="613" spans="1:168" s="584" customFormat="1" ht="16.5" customHeight="1">
      <c r="A613" s="568"/>
      <c r="B613" s="568"/>
      <c r="C613" s="568"/>
      <c r="D613" s="568"/>
      <c r="E613" s="568"/>
      <c r="F613" s="568"/>
      <c r="G613" s="568"/>
      <c r="H613" s="568"/>
      <c r="I613" s="568"/>
      <c r="J613" s="568"/>
      <c r="K613" s="568"/>
      <c r="L613" s="568"/>
      <c r="M613" s="568"/>
      <c r="N613" s="568"/>
      <c r="O613" s="568"/>
      <c r="P613" s="568"/>
      <c r="Q613" s="568"/>
      <c r="R613" s="568"/>
      <c r="S613" s="568"/>
      <c r="T613" s="568"/>
      <c r="U613" s="568"/>
      <c r="V613" s="568"/>
      <c r="W613" s="568"/>
      <c r="X613" s="568"/>
      <c r="Y613" s="568"/>
      <c r="Z613" s="568"/>
      <c r="AA613" s="568"/>
      <c r="AB613" s="568"/>
      <c r="AC613" s="568"/>
      <c r="AD613" s="568"/>
      <c r="AE613" s="568"/>
      <c r="AF613" s="606"/>
      <c r="AG613" s="606"/>
      <c r="AH613" s="606"/>
      <c r="AM613" s="606"/>
      <c r="AS613" s="606"/>
      <c r="AT613" s="606"/>
      <c r="AV613" s="606"/>
      <c r="AW613" s="606"/>
      <c r="AX613" s="606"/>
      <c r="AY613" s="606"/>
      <c r="AZ613" s="606"/>
      <c r="BA613" s="606"/>
      <c r="BB613" s="606"/>
      <c r="BC613" s="606"/>
      <c r="BD613" s="606"/>
      <c r="BE613" s="606"/>
      <c r="BF613" s="606"/>
      <c r="BG613" s="606"/>
      <c r="BH613" s="606"/>
      <c r="BI613" s="606"/>
      <c r="BJ613" s="606"/>
      <c r="BK613" s="606"/>
      <c r="BL613" s="606"/>
      <c r="BM613" s="606"/>
      <c r="BN613" s="606"/>
      <c r="BO613" s="606"/>
      <c r="BP613" s="606"/>
      <c r="BQ613" s="606"/>
      <c r="BR613" s="606"/>
      <c r="BS613" s="606"/>
      <c r="BT613" s="606"/>
      <c r="BU613" s="606"/>
      <c r="BV613" s="606"/>
      <c r="BW613" s="606"/>
      <c r="BX613" s="606"/>
      <c r="BY613" s="606"/>
      <c r="BZ613" s="606"/>
      <c r="CA613" s="606"/>
      <c r="CB613" s="606"/>
      <c r="CC613" s="606"/>
      <c r="CD613" s="606"/>
      <c r="CE613" s="606"/>
      <c r="CF613" s="606"/>
      <c r="CG613" s="606"/>
      <c r="CH613" s="606"/>
      <c r="CI613" s="606"/>
      <c r="CJ613" s="606"/>
      <c r="CK613" s="606"/>
      <c r="CL613" s="606"/>
      <c r="CM613" s="606"/>
      <c r="CN613" s="606"/>
      <c r="CO613" s="606"/>
      <c r="CP613" s="606"/>
      <c r="CQ613" s="606"/>
      <c r="CR613" s="606"/>
      <c r="CS613" s="606"/>
      <c r="CT613" s="606"/>
      <c r="CU613" s="606"/>
      <c r="CV613" s="606"/>
      <c r="CW613" s="606"/>
      <c r="CX613" s="606"/>
      <c r="CY613" s="606"/>
      <c r="CZ613" s="606"/>
      <c r="DA613" s="606"/>
      <c r="DB613" s="606"/>
      <c r="DC613" s="606"/>
      <c r="DD613" s="606"/>
      <c r="DE613" s="606"/>
      <c r="DF613" s="606"/>
      <c r="DG613" s="606"/>
      <c r="DH613" s="606"/>
      <c r="DI613" s="606"/>
      <c r="DJ613" s="606"/>
      <c r="DK613" s="606"/>
      <c r="DL613" s="606"/>
      <c r="DM613" s="606"/>
      <c r="DN613" s="606"/>
      <c r="DO613" s="606"/>
      <c r="DP613" s="606"/>
      <c r="DQ613" s="606"/>
      <c r="DR613" s="606"/>
      <c r="DS613" s="606"/>
      <c r="DT613" s="606"/>
      <c r="DU613" s="606"/>
      <c r="DV613" s="606"/>
      <c r="DW613" s="606"/>
      <c r="DX613" s="606"/>
      <c r="DY613" s="606"/>
      <c r="DZ613" s="606"/>
      <c r="EA613" s="606"/>
      <c r="EB613" s="606"/>
      <c r="EC613" s="606"/>
      <c r="ED613" s="606"/>
      <c r="EE613" s="606"/>
      <c r="EF613" s="606"/>
      <c r="EG613" s="606"/>
      <c r="EH613" s="606"/>
      <c r="EI613" s="606"/>
      <c r="EJ613" s="606"/>
      <c r="EK613" s="606"/>
      <c r="EL613" s="606"/>
      <c r="EM613" s="606"/>
      <c r="EN613" s="606"/>
      <c r="EO613" s="606"/>
      <c r="EP613" s="606"/>
      <c r="EQ613" s="606"/>
      <c r="ER613" s="606"/>
      <c r="ES613" s="606"/>
      <c r="ET613" s="606"/>
      <c r="EU613" s="606"/>
      <c r="EV613" s="606"/>
      <c r="EW613" s="606"/>
      <c r="EX613" s="606"/>
      <c r="EY613" s="606"/>
      <c r="EZ613" s="606"/>
      <c r="FA613" s="553"/>
      <c r="FB613" s="516"/>
      <c r="FC613" s="516"/>
      <c r="FD613" s="516"/>
      <c r="FE613" s="553"/>
      <c r="FF613" s="516"/>
      <c r="FG613" s="516"/>
      <c r="FH613" s="516"/>
      <c r="FI613" s="553"/>
      <c r="FJ613" s="516"/>
      <c r="FK613" s="516"/>
      <c r="FL613" s="516"/>
    </row>
    <row r="614" spans="1:168" s="2" customFormat="1" ht="38.25" customHeight="1">
      <c r="A614" s="577"/>
      <c r="B614" s="578"/>
      <c r="C614" s="578"/>
      <c r="D614" s="578"/>
      <c r="E614" s="578"/>
      <c r="F614" s="578"/>
      <c r="G614" s="578"/>
      <c r="H614" s="578"/>
      <c r="I614" s="578"/>
      <c r="J614" s="578"/>
      <c r="K614" s="578"/>
      <c r="L614" s="578"/>
      <c r="M614" s="578"/>
      <c r="N614" s="578"/>
      <c r="O614" s="578"/>
      <c r="P614" s="578"/>
      <c r="Q614" s="578"/>
      <c r="R614" s="578"/>
      <c r="S614" s="578"/>
      <c r="T614" s="578"/>
      <c r="U614" s="578"/>
      <c r="V614" s="578"/>
      <c r="W614" s="578"/>
      <c r="X614" s="578"/>
      <c r="Y614" s="578"/>
      <c r="Z614" s="578"/>
      <c r="AA614" s="578"/>
      <c r="AB614" s="578"/>
      <c r="AC614" s="578"/>
      <c r="AD614" s="578"/>
      <c r="AE614" s="578"/>
      <c r="AF614" s="601"/>
      <c r="AG614" s="578"/>
      <c r="AH614" s="578"/>
      <c r="AI614" s="578"/>
      <c r="AJ614" s="578"/>
      <c r="AK614" s="578"/>
      <c r="AL614" s="578"/>
      <c r="AM614" s="578"/>
      <c r="AN614" s="578"/>
      <c r="AO614" s="578"/>
      <c r="AP614" s="578"/>
      <c r="AQ614" s="578"/>
      <c r="AR614" s="578"/>
      <c r="AS614" s="578"/>
      <c r="AT614" s="578"/>
      <c r="AU614" s="580"/>
      <c r="AV614" s="578"/>
    </row>
    <row r="615" spans="1:168" s="2" customFormat="1">
      <c r="A615" s="559"/>
      <c r="B615" s="586"/>
      <c r="C615" s="498"/>
      <c r="D615" s="498"/>
      <c r="E615" s="498"/>
      <c r="F615" s="498"/>
      <c r="G615" s="498"/>
      <c r="H615" s="498"/>
      <c r="I615" s="498"/>
      <c r="J615" s="498"/>
      <c r="K615" s="498"/>
      <c r="L615" s="498"/>
      <c r="M615" s="498"/>
      <c r="N615" s="498"/>
      <c r="O615" s="498"/>
      <c r="P615" s="498"/>
      <c r="Q615" s="498"/>
      <c r="R615" s="498"/>
      <c r="S615" s="498"/>
      <c r="T615" s="498"/>
      <c r="U615" s="498"/>
      <c r="V615" s="498"/>
      <c r="W615" s="498"/>
      <c r="X615" s="498"/>
      <c r="Y615" s="498"/>
      <c r="Z615" s="498"/>
      <c r="AA615" s="498"/>
      <c r="AB615" s="606"/>
      <c r="AC615" s="606"/>
      <c r="AD615" s="606"/>
      <c r="AE615" s="606"/>
      <c r="AF615" s="607"/>
    </row>
    <row r="616" spans="1:168" s="2" customFormat="1">
      <c r="A616" s="608"/>
      <c r="C616" s="498"/>
      <c r="D616" s="498"/>
      <c r="E616" s="498"/>
      <c r="F616" s="498"/>
      <c r="G616" s="498"/>
      <c r="H616" s="498"/>
      <c r="I616" s="498"/>
      <c r="J616" s="498"/>
      <c r="K616" s="498"/>
      <c r="L616" s="498"/>
      <c r="M616" s="498"/>
      <c r="N616" s="498"/>
      <c r="O616" s="498"/>
      <c r="P616" s="498"/>
      <c r="Q616" s="498"/>
      <c r="R616" s="498"/>
      <c r="S616" s="498"/>
      <c r="T616" s="498"/>
      <c r="U616" s="498"/>
      <c r="V616" s="498"/>
      <c r="W616" s="498"/>
      <c r="X616" s="498"/>
      <c r="Y616" s="498"/>
      <c r="Z616" s="498"/>
      <c r="AA616" s="498"/>
      <c r="AB616" s="498"/>
      <c r="AC616" s="498"/>
      <c r="AD616" s="498"/>
      <c r="AE616" s="572"/>
      <c r="AF616" s="525"/>
      <c r="AG616" s="525"/>
      <c r="AH616" s="525"/>
      <c r="AI616" s="526"/>
      <c r="AJ616" s="526"/>
      <c r="AK616" s="609"/>
      <c r="AL616" s="609"/>
      <c r="AM616" s="609"/>
      <c r="AN616" s="609"/>
      <c r="AO616" s="609"/>
      <c r="AP616" s="609"/>
      <c r="AQ616" s="609"/>
      <c r="AR616" s="610"/>
      <c r="AS616" s="610"/>
      <c r="AT616" s="610"/>
      <c r="AU616" s="526"/>
      <c r="AV616" s="609"/>
    </row>
    <row r="617" spans="1:168" s="2" customFormat="1">
      <c r="A617" s="589"/>
      <c r="C617" s="498"/>
      <c r="D617" s="498"/>
      <c r="E617" s="498"/>
      <c r="F617" s="498"/>
      <c r="G617" s="498"/>
      <c r="H617" s="498"/>
      <c r="I617" s="498"/>
      <c r="J617" s="498"/>
      <c r="K617" s="498"/>
      <c r="L617" s="498"/>
      <c r="M617" s="498"/>
      <c r="N617" s="498"/>
      <c r="O617" s="498"/>
      <c r="P617" s="498"/>
      <c r="Q617" s="498"/>
      <c r="R617" s="498"/>
      <c r="S617" s="498"/>
      <c r="T617" s="498"/>
      <c r="U617" s="498"/>
      <c r="V617" s="498"/>
      <c r="W617" s="498"/>
      <c r="X617" s="498"/>
      <c r="Y617" s="498"/>
      <c r="Z617" s="498"/>
      <c r="AA617" s="498"/>
      <c r="AB617" s="498"/>
      <c r="AC617" s="498"/>
      <c r="AD617" s="498"/>
      <c r="AE617" s="572"/>
      <c r="AF617" s="525"/>
      <c r="AG617" s="525"/>
      <c r="AH617" s="525"/>
      <c r="AI617" s="526"/>
      <c r="AJ617" s="526"/>
      <c r="AK617" s="609"/>
      <c r="AL617" s="609"/>
      <c r="AM617" s="609"/>
      <c r="AN617" s="609"/>
      <c r="AO617" s="609"/>
      <c r="AP617" s="609"/>
      <c r="AQ617" s="609"/>
      <c r="AR617" s="610"/>
      <c r="AS617" s="610"/>
      <c r="AT617" s="610"/>
      <c r="AU617" s="526"/>
      <c r="AV617" s="609"/>
    </row>
    <row r="618" spans="1:168" s="2" customFormat="1">
      <c r="A618" s="589"/>
      <c r="C618" s="498"/>
      <c r="D618" s="498"/>
      <c r="E618" s="498"/>
      <c r="F618" s="498"/>
      <c r="G618" s="498"/>
      <c r="H618" s="498"/>
      <c r="I618" s="498"/>
      <c r="J618" s="498"/>
      <c r="K618" s="498"/>
      <c r="L618" s="498"/>
      <c r="M618" s="498"/>
      <c r="N618" s="498"/>
      <c r="O618" s="498"/>
      <c r="P618" s="498"/>
      <c r="Q618" s="498"/>
      <c r="R618" s="498"/>
      <c r="S618" s="498"/>
      <c r="T618" s="498"/>
      <c r="U618" s="498"/>
      <c r="V618" s="498"/>
      <c r="W618" s="498"/>
      <c r="X618" s="498"/>
      <c r="Y618" s="498"/>
      <c r="Z618" s="498"/>
      <c r="AA618" s="498"/>
      <c r="AB618" s="498"/>
      <c r="AC618" s="498"/>
      <c r="AD618" s="498"/>
      <c r="AE618" s="572"/>
      <c r="AF618" s="525"/>
      <c r="AG618" s="525"/>
      <c r="AH618" s="525"/>
      <c r="AI618" s="526"/>
      <c r="AJ618" s="526"/>
      <c r="AK618" s="609"/>
      <c r="AL618" s="609"/>
      <c r="AM618" s="609"/>
      <c r="AN618" s="609"/>
      <c r="AO618" s="609"/>
      <c r="AP618" s="609"/>
      <c r="AQ618" s="609"/>
      <c r="AR618" s="610"/>
      <c r="AS618" s="610"/>
      <c r="AT618" s="610"/>
      <c r="AU618" s="526"/>
      <c r="AV618" s="609"/>
    </row>
    <row r="619" spans="1:168" s="2" customFormat="1">
      <c r="A619" s="589"/>
      <c r="C619" s="498"/>
      <c r="D619" s="498"/>
      <c r="E619" s="498"/>
      <c r="F619" s="498"/>
      <c r="G619" s="498"/>
      <c r="H619" s="498"/>
      <c r="I619" s="498"/>
      <c r="J619" s="498"/>
      <c r="K619" s="498"/>
      <c r="L619" s="498"/>
      <c r="M619" s="498"/>
      <c r="N619" s="498"/>
      <c r="O619" s="498"/>
      <c r="P619" s="498"/>
      <c r="Q619" s="498"/>
      <c r="R619" s="498"/>
      <c r="S619" s="498"/>
      <c r="T619" s="498"/>
      <c r="U619" s="498"/>
      <c r="V619" s="498"/>
      <c r="W619" s="498"/>
      <c r="X619" s="498"/>
      <c r="Y619" s="498"/>
      <c r="Z619" s="498"/>
      <c r="AA619" s="498"/>
      <c r="AB619" s="498"/>
      <c r="AC619" s="498"/>
      <c r="AD619" s="498"/>
      <c r="AE619" s="572"/>
      <c r="AF619" s="525"/>
      <c r="AG619" s="525"/>
      <c r="AH619" s="525"/>
      <c r="AI619" s="526"/>
      <c r="AJ619" s="526"/>
      <c r="AK619" s="609"/>
      <c r="AL619" s="609"/>
      <c r="AM619" s="609"/>
      <c r="AN619" s="609"/>
      <c r="AO619" s="609"/>
      <c r="AP619" s="609"/>
      <c r="AQ619" s="609"/>
      <c r="AR619" s="610"/>
      <c r="AS619" s="610"/>
      <c r="AT619" s="610"/>
      <c r="AU619" s="526"/>
      <c r="AV619" s="609"/>
    </row>
    <row r="620" spans="1:168" s="2" customFormat="1">
      <c r="A620" s="589"/>
      <c r="C620" s="498"/>
      <c r="D620" s="498"/>
      <c r="E620" s="498"/>
      <c r="F620" s="498"/>
      <c r="G620" s="498"/>
      <c r="H620" s="498"/>
      <c r="I620" s="498"/>
      <c r="J620" s="498"/>
      <c r="K620" s="498"/>
      <c r="L620" s="498"/>
      <c r="M620" s="498"/>
      <c r="N620" s="498"/>
      <c r="O620" s="498"/>
      <c r="P620" s="498"/>
      <c r="Q620" s="498"/>
      <c r="R620" s="498"/>
      <c r="S620" s="498"/>
      <c r="T620" s="498"/>
      <c r="U620" s="498"/>
      <c r="V620" s="498"/>
      <c r="W620" s="498"/>
      <c r="X620" s="498"/>
      <c r="Y620" s="498"/>
      <c r="Z620" s="498"/>
      <c r="AA620" s="498"/>
      <c r="AB620" s="498"/>
      <c r="AC620" s="498"/>
      <c r="AD620" s="498"/>
      <c r="AE620" s="572"/>
      <c r="AF620" s="525"/>
      <c r="AG620" s="525"/>
      <c r="AH620" s="525"/>
      <c r="AI620" s="526"/>
      <c r="AJ620" s="526"/>
      <c r="AK620" s="609"/>
      <c r="AL620" s="609"/>
      <c r="AM620" s="609"/>
      <c r="AN620" s="609"/>
      <c r="AO620" s="609"/>
      <c r="AP620" s="609"/>
      <c r="AQ620" s="609"/>
      <c r="AR620" s="610"/>
      <c r="AS620" s="610"/>
      <c r="AT620" s="610"/>
      <c r="AU620" s="526"/>
      <c r="AV620" s="609"/>
    </row>
    <row r="621" spans="1:168" s="2" customFormat="1">
      <c r="A621" s="589"/>
      <c r="C621" s="498"/>
      <c r="D621" s="498"/>
      <c r="E621" s="498"/>
      <c r="F621" s="498"/>
      <c r="G621" s="498"/>
      <c r="H621" s="498"/>
      <c r="I621" s="498"/>
      <c r="J621" s="498"/>
      <c r="K621" s="498"/>
      <c r="L621" s="498"/>
      <c r="M621" s="498"/>
      <c r="N621" s="498"/>
      <c r="O621" s="498"/>
      <c r="P621" s="498"/>
      <c r="Q621" s="498"/>
      <c r="R621" s="498"/>
      <c r="S621" s="498"/>
      <c r="T621" s="498"/>
      <c r="U621" s="498"/>
      <c r="V621" s="498"/>
      <c r="W621" s="498"/>
      <c r="X621" s="498"/>
      <c r="Y621" s="498"/>
      <c r="Z621" s="498"/>
      <c r="AA621" s="498"/>
      <c r="AB621" s="498"/>
      <c r="AC621" s="498"/>
      <c r="AD621" s="498"/>
      <c r="AE621" s="572"/>
      <c r="AF621" s="525"/>
      <c r="AG621" s="525"/>
      <c r="AH621" s="525"/>
      <c r="AI621" s="526"/>
      <c r="AJ621" s="526"/>
      <c r="AK621" s="609"/>
      <c r="AL621" s="609"/>
      <c r="AM621" s="609"/>
      <c r="AN621" s="609"/>
      <c r="AO621" s="609"/>
      <c r="AP621" s="609"/>
      <c r="AQ621" s="609"/>
      <c r="AR621" s="610"/>
      <c r="AS621" s="610"/>
      <c r="AT621" s="610"/>
      <c r="AU621" s="526"/>
      <c r="AV621" s="609"/>
    </row>
    <row r="622" spans="1:168" s="2" customFormat="1">
      <c r="A622" s="589"/>
      <c r="C622" s="498"/>
      <c r="D622" s="498"/>
      <c r="E622" s="498"/>
      <c r="F622" s="498"/>
      <c r="G622" s="498"/>
      <c r="H622" s="498"/>
      <c r="I622" s="498"/>
      <c r="J622" s="498"/>
      <c r="K622" s="498"/>
      <c r="L622" s="498"/>
      <c r="M622" s="498"/>
      <c r="N622" s="498"/>
      <c r="O622" s="498"/>
      <c r="P622" s="498"/>
      <c r="Q622" s="498"/>
      <c r="R622" s="498"/>
      <c r="S622" s="498"/>
      <c r="T622" s="498"/>
      <c r="U622" s="498"/>
      <c r="V622" s="498"/>
      <c r="W622" s="498"/>
      <c r="X622" s="498"/>
      <c r="Y622" s="498"/>
      <c r="Z622" s="498"/>
      <c r="AA622" s="498"/>
      <c r="AB622" s="498"/>
      <c r="AC622" s="498"/>
      <c r="AD622" s="498"/>
      <c r="AE622" s="572"/>
      <c r="AF622" s="525"/>
      <c r="AG622" s="525"/>
      <c r="AH622" s="525"/>
      <c r="AI622" s="526"/>
      <c r="AJ622" s="526"/>
      <c r="AK622" s="609"/>
      <c r="AL622" s="609"/>
      <c r="AM622" s="609"/>
      <c r="AN622" s="609"/>
      <c r="AO622" s="609"/>
      <c r="AP622" s="609"/>
      <c r="AQ622" s="609"/>
      <c r="AR622" s="610"/>
      <c r="AS622" s="610"/>
      <c r="AT622" s="610"/>
      <c r="AU622" s="526"/>
      <c r="AV622" s="609"/>
    </row>
    <row r="623" spans="1:168" s="2" customFormat="1">
      <c r="A623" s="589"/>
      <c r="C623" s="498"/>
      <c r="D623" s="498"/>
      <c r="E623" s="498"/>
      <c r="F623" s="498"/>
      <c r="G623" s="498"/>
      <c r="H623" s="498"/>
      <c r="I623" s="498"/>
      <c r="J623" s="498"/>
      <c r="K623" s="498"/>
      <c r="L623" s="498"/>
      <c r="M623" s="498"/>
      <c r="N623" s="498"/>
      <c r="O623" s="498"/>
      <c r="P623" s="498"/>
      <c r="Q623" s="498"/>
      <c r="R623" s="498"/>
      <c r="S623" s="498"/>
      <c r="T623" s="498"/>
      <c r="U623" s="498"/>
      <c r="V623" s="498"/>
      <c r="W623" s="498"/>
      <c r="X623" s="498"/>
      <c r="Y623" s="498"/>
      <c r="Z623" s="498"/>
      <c r="AA623" s="498"/>
      <c r="AB623" s="498"/>
      <c r="AC623" s="498"/>
      <c r="AD623" s="498"/>
      <c r="AE623" s="572"/>
      <c r="AF623" s="525"/>
      <c r="AG623" s="525"/>
      <c r="AH623" s="525"/>
      <c r="AI623" s="526"/>
      <c r="AJ623" s="526"/>
      <c r="AK623" s="609"/>
      <c r="AL623" s="609"/>
      <c r="AM623" s="609"/>
      <c r="AN623" s="609"/>
      <c r="AO623" s="609"/>
      <c r="AP623" s="609"/>
      <c r="AQ623" s="609"/>
      <c r="AR623" s="610"/>
      <c r="AS623" s="610"/>
      <c r="AT623" s="610"/>
      <c r="AU623" s="526"/>
      <c r="AV623" s="609"/>
    </row>
    <row r="624" spans="1:168" s="2" customFormat="1">
      <c r="A624" s="589"/>
      <c r="C624" s="498"/>
      <c r="D624" s="498"/>
      <c r="E624" s="498"/>
      <c r="F624" s="498"/>
      <c r="G624" s="498"/>
      <c r="H624" s="498"/>
      <c r="I624" s="498"/>
      <c r="J624" s="498"/>
      <c r="K624" s="498"/>
      <c r="L624" s="498"/>
      <c r="M624" s="498"/>
      <c r="N624" s="498"/>
      <c r="O624" s="498"/>
      <c r="P624" s="498"/>
      <c r="Q624" s="498"/>
      <c r="R624" s="498"/>
      <c r="S624" s="498"/>
      <c r="T624" s="498"/>
      <c r="U624" s="498"/>
      <c r="V624" s="498"/>
      <c r="W624" s="498"/>
      <c r="X624" s="498"/>
      <c r="Y624" s="498"/>
      <c r="Z624" s="498"/>
      <c r="AA624" s="498"/>
      <c r="AB624" s="498"/>
      <c r="AC624" s="498"/>
      <c r="AD624" s="498"/>
      <c r="AE624" s="572"/>
      <c r="AF624" s="525"/>
      <c r="AG624" s="525"/>
      <c r="AH624" s="525"/>
      <c r="AI624" s="526"/>
      <c r="AJ624" s="526"/>
      <c r="AK624" s="609"/>
      <c r="AL624" s="609"/>
      <c r="AM624" s="609"/>
      <c r="AN624" s="609"/>
      <c r="AO624" s="609"/>
      <c r="AP624" s="609"/>
      <c r="AQ624" s="609"/>
      <c r="AR624" s="610"/>
      <c r="AS624" s="610"/>
      <c r="AT624" s="610"/>
      <c r="AU624" s="526"/>
      <c r="AV624" s="609"/>
    </row>
    <row r="625" spans="1:48" s="2" customFormat="1">
      <c r="A625" s="597"/>
      <c r="B625" s="586"/>
      <c r="C625" s="498"/>
      <c r="D625" s="498"/>
      <c r="E625" s="498"/>
      <c r="F625" s="498"/>
      <c r="G625" s="498"/>
      <c r="H625" s="498"/>
      <c r="I625" s="498"/>
      <c r="J625" s="498"/>
      <c r="K625" s="498"/>
      <c r="L625" s="498"/>
      <c r="M625" s="498"/>
      <c r="N625" s="498"/>
      <c r="O625" s="498"/>
      <c r="P625" s="498"/>
      <c r="Q625" s="498"/>
      <c r="R625" s="498"/>
      <c r="S625" s="498"/>
      <c r="T625" s="498"/>
      <c r="U625" s="498"/>
      <c r="V625" s="498"/>
      <c r="W625" s="498"/>
      <c r="X625" s="498"/>
      <c r="Y625" s="498"/>
      <c r="Z625" s="498"/>
      <c r="AA625" s="498"/>
      <c r="AB625" s="498"/>
      <c r="AC625" s="606"/>
      <c r="AD625" s="611"/>
      <c r="AE625" s="606"/>
      <c r="AI625" s="492"/>
      <c r="AO625" s="576"/>
      <c r="AP625" s="576"/>
      <c r="AS625" s="144"/>
    </row>
    <row r="626" spans="1:48" s="2" customFormat="1">
      <c r="A626" s="608"/>
      <c r="C626" s="498"/>
      <c r="D626" s="498"/>
      <c r="E626" s="498"/>
      <c r="F626" s="498"/>
      <c r="G626" s="498"/>
      <c r="H626" s="498"/>
      <c r="I626" s="498"/>
      <c r="J626" s="498"/>
      <c r="K626" s="498"/>
      <c r="L626" s="498"/>
      <c r="M626" s="498"/>
      <c r="N626" s="498"/>
      <c r="O626" s="498"/>
      <c r="P626" s="498"/>
      <c r="Q626" s="498"/>
      <c r="R626" s="498"/>
      <c r="S626" s="498"/>
      <c r="T626" s="498"/>
      <c r="U626" s="498"/>
      <c r="V626" s="498"/>
      <c r="W626" s="498"/>
      <c r="X626" s="498"/>
      <c r="Y626" s="498"/>
      <c r="Z626" s="498"/>
      <c r="AA626" s="498"/>
      <c r="AB626" s="498"/>
      <c r="AC626" s="498"/>
      <c r="AD626" s="611"/>
      <c r="AE626" s="573"/>
      <c r="AF626" s="612"/>
      <c r="AG626" s="612"/>
      <c r="AH626" s="573"/>
      <c r="AK626" s="507"/>
      <c r="AL626" s="507"/>
      <c r="AP626" s="507"/>
      <c r="AQ626" s="507"/>
      <c r="AR626" s="573"/>
      <c r="AS626" s="308"/>
      <c r="AT626" s="308"/>
      <c r="AU626" s="308"/>
      <c r="AV626" s="308"/>
    </row>
    <row r="627" spans="1:48" s="2" customFormat="1">
      <c r="A627" s="589"/>
      <c r="C627" s="498"/>
      <c r="D627" s="498"/>
      <c r="E627" s="498"/>
      <c r="F627" s="498"/>
      <c r="G627" s="498"/>
      <c r="H627" s="498"/>
      <c r="I627" s="498"/>
      <c r="J627" s="498"/>
      <c r="K627" s="498"/>
      <c r="L627" s="498"/>
      <c r="M627" s="498"/>
      <c r="N627" s="498"/>
      <c r="O627" s="498"/>
      <c r="P627" s="498"/>
      <c r="Q627" s="498"/>
      <c r="R627" s="498"/>
      <c r="S627" s="498"/>
      <c r="T627" s="498"/>
      <c r="U627" s="498"/>
      <c r="V627" s="498"/>
      <c r="W627" s="498"/>
      <c r="X627" s="498"/>
      <c r="Y627" s="498"/>
      <c r="Z627" s="498"/>
      <c r="AA627" s="498"/>
      <c r="AB627" s="498"/>
      <c r="AC627" s="498"/>
      <c r="AD627" s="611"/>
      <c r="AE627" s="573"/>
      <c r="AF627" s="612"/>
      <c r="AG627" s="612"/>
      <c r="AH627" s="573"/>
      <c r="AL627" s="507"/>
      <c r="AP627" s="507"/>
      <c r="AQ627" s="507"/>
      <c r="AR627" s="573"/>
      <c r="AS627" s="308"/>
      <c r="AT627" s="308"/>
      <c r="AU627" s="308"/>
      <c r="AV627" s="308"/>
    </row>
    <row r="628" spans="1:48" s="2" customFormat="1">
      <c r="A628" s="589"/>
      <c r="C628" s="498"/>
      <c r="D628" s="498"/>
      <c r="E628" s="498"/>
      <c r="F628" s="498"/>
      <c r="G628" s="498"/>
      <c r="H628" s="498"/>
      <c r="I628" s="498"/>
      <c r="J628" s="498"/>
      <c r="K628" s="498"/>
      <c r="L628" s="498"/>
      <c r="M628" s="498"/>
      <c r="N628" s="498"/>
      <c r="O628" s="498"/>
      <c r="P628" s="498"/>
      <c r="Q628" s="498"/>
      <c r="R628" s="498"/>
      <c r="S628" s="498"/>
      <c r="T628" s="498"/>
      <c r="U628" s="498"/>
      <c r="V628" s="498"/>
      <c r="W628" s="498"/>
      <c r="X628" s="498"/>
      <c r="Y628" s="498"/>
      <c r="Z628" s="498"/>
      <c r="AA628" s="498"/>
      <c r="AB628" s="498"/>
      <c r="AC628" s="498"/>
      <c r="AD628" s="611"/>
      <c r="AE628" s="573"/>
      <c r="AF628" s="612"/>
      <c r="AG628" s="607"/>
      <c r="AH628" s="573"/>
      <c r="AK628" s="524"/>
      <c r="AL628" s="507"/>
      <c r="AM628" s="509"/>
      <c r="AN628" s="507"/>
      <c r="AP628" s="507"/>
      <c r="AQ628" s="507"/>
      <c r="AR628" s="573"/>
      <c r="AS628" s="308"/>
      <c r="AT628" s="308"/>
      <c r="AU628" s="308"/>
      <c r="AV628" s="308"/>
    </row>
    <row r="629" spans="1:48" s="2" customFormat="1">
      <c r="A629" s="589"/>
      <c r="C629" s="498"/>
      <c r="D629" s="498"/>
      <c r="E629" s="498"/>
      <c r="F629" s="498"/>
      <c r="G629" s="498"/>
      <c r="H629" s="498"/>
      <c r="I629" s="498"/>
      <c r="J629" s="498"/>
      <c r="K629" s="498"/>
      <c r="L629" s="498"/>
      <c r="M629" s="498"/>
      <c r="N629" s="498"/>
      <c r="O629" s="498"/>
      <c r="P629" s="498"/>
      <c r="Q629" s="498"/>
      <c r="R629" s="498"/>
      <c r="S629" s="498"/>
      <c r="T629" s="498"/>
      <c r="U629" s="498"/>
      <c r="V629" s="498"/>
      <c r="W629" s="498"/>
      <c r="X629" s="498"/>
      <c r="Y629" s="498"/>
      <c r="Z629" s="498"/>
      <c r="AA629" s="498"/>
      <c r="AB629" s="498"/>
      <c r="AC629" s="498"/>
      <c r="AD629" s="611"/>
      <c r="AE629" s="573"/>
      <c r="AF629" s="612"/>
      <c r="AG629" s="607"/>
      <c r="AH629" s="573"/>
      <c r="AL629" s="507"/>
      <c r="AP629" s="507"/>
      <c r="AQ629" s="507"/>
      <c r="AR629" s="573"/>
      <c r="AS629" s="308"/>
      <c r="AT629" s="308"/>
      <c r="AU629" s="308"/>
      <c r="AV629" s="308"/>
    </row>
    <row r="630" spans="1:48" s="2" customFormat="1">
      <c r="A630" s="589"/>
      <c r="C630" s="498"/>
      <c r="D630" s="498"/>
      <c r="E630" s="498"/>
      <c r="F630" s="498"/>
      <c r="G630" s="498"/>
      <c r="H630" s="498"/>
      <c r="I630" s="498"/>
      <c r="J630" s="498"/>
      <c r="K630" s="498"/>
      <c r="L630" s="498"/>
      <c r="M630" s="498"/>
      <c r="N630" s="498"/>
      <c r="O630" s="498"/>
      <c r="P630" s="498"/>
      <c r="Q630" s="498"/>
      <c r="R630" s="498"/>
      <c r="S630" s="498"/>
      <c r="T630" s="498"/>
      <c r="U630" s="498"/>
      <c r="V630" s="498"/>
      <c r="W630" s="498"/>
      <c r="X630" s="498"/>
      <c r="Y630" s="498"/>
      <c r="Z630" s="498"/>
      <c r="AA630" s="498"/>
      <c r="AB630" s="498"/>
      <c r="AC630" s="498"/>
      <c r="AD630" s="611"/>
      <c r="AE630" s="573"/>
      <c r="AF630" s="612"/>
      <c r="AG630" s="607"/>
      <c r="AH630" s="573"/>
      <c r="AL630" s="507"/>
      <c r="AP630" s="507"/>
      <c r="AQ630" s="507"/>
      <c r="AR630" s="573"/>
      <c r="AS630" s="308"/>
      <c r="AT630" s="308"/>
      <c r="AU630" s="308"/>
      <c r="AV630" s="308"/>
    </row>
    <row r="631" spans="1:48" s="2" customFormat="1">
      <c r="A631" s="589"/>
      <c r="C631" s="498"/>
      <c r="D631" s="498"/>
      <c r="E631" s="498"/>
      <c r="F631" s="498"/>
      <c r="G631" s="498"/>
      <c r="H631" s="498"/>
      <c r="I631" s="498"/>
      <c r="J631" s="498"/>
      <c r="K631" s="498"/>
      <c r="L631" s="498"/>
      <c r="M631" s="498"/>
      <c r="N631" s="498"/>
      <c r="O631" s="498"/>
      <c r="P631" s="498"/>
      <c r="Q631" s="498"/>
      <c r="R631" s="498"/>
      <c r="S631" s="498"/>
      <c r="T631" s="498"/>
      <c r="U631" s="498"/>
      <c r="V631" s="498"/>
      <c r="W631" s="498"/>
      <c r="X631" s="498"/>
      <c r="Y631" s="498"/>
      <c r="Z631" s="498"/>
      <c r="AA631" s="498"/>
      <c r="AB631" s="498"/>
      <c r="AC631" s="498"/>
      <c r="AD631" s="611"/>
      <c r="AE631" s="573"/>
      <c r="AF631" s="509"/>
      <c r="AG631" s="509"/>
      <c r="AH631" s="573"/>
      <c r="AL631" s="507"/>
      <c r="AP631" s="507"/>
      <c r="AQ631" s="507"/>
      <c r="AR631" s="573"/>
      <c r="AS631" s="308"/>
      <c r="AT631" s="308"/>
      <c r="AU631" s="308"/>
      <c r="AV631" s="308"/>
    </row>
    <row r="632" spans="1:48" s="2" customFormat="1">
      <c r="A632" s="589"/>
      <c r="C632" s="498"/>
      <c r="D632" s="498"/>
      <c r="E632" s="498"/>
      <c r="F632" s="498"/>
      <c r="G632" s="498"/>
      <c r="H632" s="498"/>
      <c r="I632" s="498"/>
      <c r="J632" s="498"/>
      <c r="K632" s="498"/>
      <c r="L632" s="498"/>
      <c r="M632" s="498"/>
      <c r="N632" s="498"/>
      <c r="O632" s="498"/>
      <c r="P632" s="498"/>
      <c r="Q632" s="498"/>
      <c r="R632" s="498"/>
      <c r="S632" s="498"/>
      <c r="T632" s="498"/>
      <c r="U632" s="498"/>
      <c r="V632" s="498"/>
      <c r="W632" s="498"/>
      <c r="X632" s="498"/>
      <c r="Y632" s="498"/>
      <c r="Z632" s="498"/>
      <c r="AA632" s="498"/>
      <c r="AB632" s="498"/>
      <c r="AC632" s="498"/>
      <c r="AD632" s="611"/>
      <c r="AE632" s="573"/>
      <c r="AF632" s="509"/>
      <c r="AG632" s="613"/>
      <c r="AH632" s="573"/>
      <c r="AL632" s="507"/>
      <c r="AP632" s="507"/>
      <c r="AQ632" s="507"/>
      <c r="AR632" s="573"/>
      <c r="AS632" s="308"/>
      <c r="AT632" s="308"/>
      <c r="AU632" s="308"/>
      <c r="AV632" s="308"/>
    </row>
    <row r="633" spans="1:48" s="2" customFormat="1">
      <c r="A633" s="589"/>
      <c r="C633" s="498"/>
      <c r="D633" s="498"/>
      <c r="E633" s="498"/>
      <c r="F633" s="498"/>
      <c r="G633" s="498"/>
      <c r="H633" s="498"/>
      <c r="I633" s="498"/>
      <c r="J633" s="498"/>
      <c r="K633" s="498"/>
      <c r="L633" s="498"/>
      <c r="M633" s="498"/>
      <c r="N633" s="498"/>
      <c r="O633" s="498"/>
      <c r="P633" s="498"/>
      <c r="Q633" s="498"/>
      <c r="R633" s="498"/>
      <c r="S633" s="498"/>
      <c r="T633" s="498"/>
      <c r="U633" s="498"/>
      <c r="V633" s="498"/>
      <c r="W633" s="498"/>
      <c r="X633" s="498"/>
      <c r="Y633" s="498"/>
      <c r="Z633" s="498"/>
      <c r="AA633" s="498"/>
      <c r="AB633" s="498"/>
      <c r="AC633" s="498"/>
      <c r="AD633" s="611"/>
      <c r="AE633" s="573"/>
      <c r="AF633" s="509"/>
      <c r="AG633" s="509"/>
      <c r="AH633" s="573"/>
      <c r="AL633" s="507"/>
      <c r="AP633" s="507"/>
      <c r="AQ633" s="507"/>
      <c r="AR633" s="573"/>
      <c r="AS633" s="308"/>
      <c r="AT633" s="308"/>
      <c r="AU633" s="308"/>
      <c r="AV633" s="308"/>
    </row>
    <row r="634" spans="1:48" s="2" customFormat="1">
      <c r="A634" s="589"/>
      <c r="C634" s="498"/>
      <c r="D634" s="498"/>
      <c r="E634" s="498"/>
      <c r="F634" s="498"/>
      <c r="G634" s="498"/>
      <c r="H634" s="498"/>
      <c r="I634" s="498"/>
      <c r="J634" s="498"/>
      <c r="K634" s="498"/>
      <c r="L634" s="498"/>
      <c r="M634" s="498"/>
      <c r="N634" s="498"/>
      <c r="O634" s="498"/>
      <c r="P634" s="498"/>
      <c r="Q634" s="498"/>
      <c r="R634" s="498"/>
      <c r="S634" s="498"/>
      <c r="T634" s="498"/>
      <c r="U634" s="498"/>
      <c r="V634" s="498"/>
      <c r="W634" s="498"/>
      <c r="X634" s="498"/>
      <c r="Y634" s="498"/>
      <c r="Z634" s="498"/>
      <c r="AA634" s="498"/>
      <c r="AB634" s="498"/>
      <c r="AC634" s="498"/>
      <c r="AD634" s="611"/>
      <c r="AE634" s="573"/>
      <c r="AF634" s="509"/>
      <c r="AG634" s="613"/>
      <c r="AH634" s="573"/>
      <c r="AL634" s="507"/>
      <c r="AP634" s="507"/>
      <c r="AQ634" s="507"/>
      <c r="AR634" s="573"/>
      <c r="AS634" s="308"/>
      <c r="AT634" s="308"/>
      <c r="AU634" s="308"/>
      <c r="AV634" s="308"/>
    </row>
    <row r="635" spans="1:48" s="2" customFormat="1">
      <c r="A635" s="556"/>
      <c r="B635" s="586"/>
      <c r="C635" s="498"/>
      <c r="D635" s="498"/>
      <c r="E635" s="498"/>
      <c r="F635" s="498"/>
      <c r="G635" s="498"/>
      <c r="H635" s="498"/>
      <c r="I635" s="498"/>
      <c r="J635" s="498"/>
      <c r="K635" s="498"/>
      <c r="L635" s="498"/>
      <c r="M635" s="498"/>
      <c r="N635" s="498"/>
      <c r="O635" s="498"/>
      <c r="P635" s="498"/>
      <c r="Q635" s="498"/>
      <c r="R635" s="498"/>
      <c r="S635" s="498"/>
      <c r="T635" s="498"/>
      <c r="U635" s="498"/>
      <c r="V635" s="498"/>
      <c r="W635" s="498"/>
      <c r="X635" s="498"/>
      <c r="Y635" s="498"/>
      <c r="Z635" s="498"/>
      <c r="AA635" s="498"/>
      <c r="AB635" s="614"/>
      <c r="AC635" s="507"/>
      <c r="AD635" s="611"/>
      <c r="AE635" s="498"/>
      <c r="AF635" s="507"/>
      <c r="AS635" s="144"/>
    </row>
    <row r="636" spans="1:48" s="2" customFormat="1" ht="26.25" customHeight="1">
      <c r="A636" s="559"/>
      <c r="B636" s="558"/>
      <c r="C636" s="498"/>
      <c r="D636" s="498"/>
      <c r="E636" s="498"/>
      <c r="F636" s="498"/>
      <c r="G636" s="498"/>
      <c r="H636" s="498"/>
      <c r="I636" s="498"/>
      <c r="J636" s="498"/>
      <c r="K636" s="498"/>
      <c r="L636" s="498"/>
      <c r="M636" s="498"/>
      <c r="N636" s="498"/>
      <c r="O636" s="498"/>
      <c r="P636" s="498"/>
      <c r="Q636" s="498"/>
      <c r="R636" s="498"/>
      <c r="S636" s="498"/>
      <c r="T636" s="498"/>
      <c r="U636" s="498"/>
      <c r="V636" s="498"/>
      <c r="W636" s="498"/>
      <c r="X636" s="498"/>
      <c r="Y636" s="498"/>
      <c r="Z636" s="498"/>
      <c r="AA636" s="498"/>
      <c r="AB636" s="606"/>
      <c r="AC636" s="606"/>
      <c r="AD636" s="611"/>
      <c r="AE636" s="606"/>
      <c r="AI636" s="492"/>
    </row>
    <row r="637" spans="1:48" s="2" customFormat="1">
      <c r="A637" s="608"/>
      <c r="C637" s="498"/>
      <c r="D637" s="498"/>
      <c r="E637" s="498"/>
      <c r="F637" s="498"/>
      <c r="G637" s="498"/>
      <c r="H637" s="498"/>
      <c r="I637" s="498"/>
      <c r="J637" s="498"/>
      <c r="K637" s="498"/>
      <c r="L637" s="498"/>
      <c r="M637" s="498"/>
      <c r="N637" s="498"/>
      <c r="O637" s="498"/>
      <c r="P637" s="498"/>
      <c r="Q637" s="498"/>
      <c r="R637" s="498"/>
      <c r="S637" s="498"/>
      <c r="T637" s="498"/>
      <c r="U637" s="498"/>
      <c r="V637" s="498"/>
      <c r="W637" s="498"/>
      <c r="X637" s="498"/>
      <c r="Y637" s="498"/>
      <c r="Z637" s="498"/>
      <c r="AA637" s="498"/>
      <c r="AB637" s="498"/>
      <c r="AC637" s="498"/>
      <c r="AD637" s="611"/>
      <c r="AE637" s="498"/>
      <c r="AF637" s="572"/>
      <c r="AG637" s="498"/>
      <c r="AH637" s="498"/>
      <c r="AI637" s="615"/>
      <c r="AJ637" s="615"/>
      <c r="AK637" s="615"/>
      <c r="AL637" s="615"/>
      <c r="AM637" s="615"/>
      <c r="AN637" s="615"/>
      <c r="AO637" s="615"/>
      <c r="AP637" s="615"/>
      <c r="AQ637" s="615"/>
      <c r="AR637" s="615"/>
      <c r="AS637" s="232"/>
      <c r="AT637" s="616"/>
      <c r="AU637" s="233"/>
      <c r="AV637" s="543"/>
    </row>
    <row r="638" spans="1:48" s="2" customFormat="1">
      <c r="A638" s="589"/>
      <c r="C638" s="498"/>
      <c r="D638" s="498"/>
      <c r="E638" s="498"/>
      <c r="F638" s="498"/>
      <c r="G638" s="498"/>
      <c r="H638" s="498"/>
      <c r="I638" s="498"/>
      <c r="J638" s="498"/>
      <c r="K638" s="498"/>
      <c r="L638" s="498"/>
      <c r="M638" s="498"/>
      <c r="N638" s="498"/>
      <c r="O638" s="498"/>
      <c r="P638" s="498"/>
      <c r="Q638" s="498"/>
      <c r="R638" s="498"/>
      <c r="S638" s="498"/>
      <c r="T638" s="498"/>
      <c r="U638" s="498"/>
      <c r="V638" s="498"/>
      <c r="W638" s="498"/>
      <c r="X638" s="498"/>
      <c r="Y638" s="498"/>
      <c r="Z638" s="498"/>
      <c r="AA638" s="498"/>
      <c r="AB638" s="498"/>
      <c r="AC638" s="498"/>
      <c r="AD638" s="611"/>
      <c r="AE638" s="498"/>
      <c r="AF638" s="617"/>
      <c r="AG638" s="498"/>
      <c r="AH638" s="498"/>
      <c r="AI638" s="615"/>
      <c r="AJ638" s="615"/>
      <c r="AK638" s="615"/>
      <c r="AL638" s="615"/>
      <c r="AM638" s="615"/>
      <c r="AN638" s="615"/>
      <c r="AO638" s="615"/>
      <c r="AP638" s="615"/>
      <c r="AQ638" s="615"/>
      <c r="AR638" s="615"/>
      <c r="AS638" s="232"/>
      <c r="AT638" s="616"/>
      <c r="AU638" s="233"/>
      <c r="AV638" s="594"/>
    </row>
    <row r="639" spans="1:48" s="2" customFormat="1">
      <c r="A639" s="589"/>
      <c r="C639" s="498"/>
      <c r="D639" s="498"/>
      <c r="E639" s="498"/>
      <c r="F639" s="498"/>
      <c r="G639" s="498"/>
      <c r="H639" s="498"/>
      <c r="I639" s="498"/>
      <c r="J639" s="498"/>
      <c r="K639" s="498"/>
      <c r="L639" s="498"/>
      <c r="M639" s="498"/>
      <c r="N639" s="498"/>
      <c r="O639" s="498"/>
      <c r="P639" s="498"/>
      <c r="Q639" s="498"/>
      <c r="R639" s="498"/>
      <c r="S639" s="498"/>
      <c r="T639" s="498"/>
      <c r="U639" s="498"/>
      <c r="V639" s="498"/>
      <c r="W639" s="498"/>
      <c r="X639" s="498"/>
      <c r="Y639" s="498"/>
      <c r="Z639" s="498"/>
      <c r="AA639" s="498"/>
      <c r="AB639" s="498"/>
      <c r="AC639" s="498"/>
      <c r="AD639" s="611"/>
      <c r="AE639" s="498"/>
      <c r="AF639" s="617"/>
      <c r="AG639" s="498"/>
      <c r="AH639" s="498"/>
      <c r="AI639" s="615"/>
      <c r="AJ639" s="615"/>
      <c r="AK639" s="615"/>
      <c r="AL639" s="615"/>
      <c r="AM639" s="615"/>
      <c r="AN639" s="615"/>
      <c r="AO639" s="615"/>
      <c r="AP639" s="615"/>
      <c r="AQ639" s="615"/>
      <c r="AR639" s="615"/>
      <c r="AS639" s="232"/>
      <c r="AT639" s="616"/>
      <c r="AU639" s="233"/>
      <c r="AV639" s="543"/>
    </row>
    <row r="640" spans="1:48" s="2" customFormat="1">
      <c r="A640" s="589"/>
      <c r="C640" s="498"/>
      <c r="D640" s="498"/>
      <c r="E640" s="498"/>
      <c r="F640" s="498"/>
      <c r="G640" s="498"/>
      <c r="H640" s="498"/>
      <c r="I640" s="498"/>
      <c r="J640" s="498"/>
      <c r="K640" s="498"/>
      <c r="L640" s="498"/>
      <c r="M640" s="498"/>
      <c r="N640" s="498"/>
      <c r="O640" s="498"/>
      <c r="P640" s="498"/>
      <c r="Q640" s="498"/>
      <c r="R640" s="498"/>
      <c r="S640" s="498"/>
      <c r="T640" s="498"/>
      <c r="U640" s="498"/>
      <c r="V640" s="498"/>
      <c r="W640" s="498"/>
      <c r="X640" s="498"/>
      <c r="Y640" s="498"/>
      <c r="Z640" s="498"/>
      <c r="AA640" s="498"/>
      <c r="AB640" s="498"/>
      <c r="AC640" s="498"/>
      <c r="AD640" s="611"/>
      <c r="AE640" s="498"/>
      <c r="AF640" s="618"/>
      <c r="AG640" s="498"/>
      <c r="AH640" s="498"/>
      <c r="AI640" s="615"/>
      <c r="AJ640" s="615"/>
      <c r="AK640" s="615"/>
      <c r="AL640" s="615"/>
      <c r="AM640" s="615"/>
      <c r="AN640" s="615"/>
      <c r="AO640" s="615"/>
      <c r="AP640" s="615"/>
      <c r="AQ640" s="615"/>
      <c r="AR640" s="615"/>
      <c r="AS640" s="232"/>
      <c r="AT640" s="616"/>
      <c r="AU640" s="233"/>
      <c r="AV640" s="543"/>
    </row>
    <row r="641" spans="1:48" s="2" customFormat="1">
      <c r="A641" s="589"/>
      <c r="C641" s="498"/>
      <c r="D641" s="498"/>
      <c r="E641" s="498"/>
      <c r="F641" s="498"/>
      <c r="G641" s="498"/>
      <c r="H641" s="498"/>
      <c r="I641" s="498"/>
      <c r="J641" s="498"/>
      <c r="K641" s="498"/>
      <c r="L641" s="498"/>
      <c r="M641" s="498"/>
      <c r="N641" s="498"/>
      <c r="O641" s="498"/>
      <c r="P641" s="498"/>
      <c r="Q641" s="498"/>
      <c r="R641" s="498"/>
      <c r="S641" s="498"/>
      <c r="T641" s="498"/>
      <c r="U641" s="498"/>
      <c r="V641" s="498"/>
      <c r="W641" s="498"/>
      <c r="X641" s="498"/>
      <c r="Y641" s="498"/>
      <c r="Z641" s="498"/>
      <c r="AA641" s="498"/>
      <c r="AB641" s="498"/>
      <c r="AC641" s="498"/>
      <c r="AD641" s="611"/>
      <c r="AE641" s="498"/>
      <c r="AF641" s="618"/>
      <c r="AG641" s="498"/>
      <c r="AH641" s="498"/>
      <c r="AI641" s="615"/>
      <c r="AJ641" s="615"/>
      <c r="AK641" s="615"/>
      <c r="AL641" s="615"/>
      <c r="AM641" s="615"/>
      <c r="AN641" s="615"/>
      <c r="AO641" s="615"/>
      <c r="AP641" s="615"/>
      <c r="AQ641" s="615"/>
      <c r="AR641" s="615"/>
      <c r="AS641" s="232"/>
      <c r="AT641" s="616"/>
      <c r="AU641" s="233"/>
      <c r="AV641" s="543"/>
    </row>
    <row r="642" spans="1:48" s="2" customFormat="1">
      <c r="A642" s="589"/>
      <c r="C642" s="498"/>
      <c r="D642" s="498"/>
      <c r="E642" s="498"/>
      <c r="F642" s="498"/>
      <c r="G642" s="498"/>
      <c r="H642" s="498"/>
      <c r="I642" s="498"/>
      <c r="J642" s="498"/>
      <c r="K642" s="498"/>
      <c r="L642" s="498"/>
      <c r="M642" s="498"/>
      <c r="N642" s="498"/>
      <c r="O642" s="498"/>
      <c r="P642" s="498"/>
      <c r="Q642" s="498"/>
      <c r="R642" s="498"/>
      <c r="S642" s="498"/>
      <c r="T642" s="498"/>
      <c r="U642" s="498"/>
      <c r="V642" s="498"/>
      <c r="W642" s="498"/>
      <c r="X642" s="498"/>
      <c r="Y642" s="498"/>
      <c r="Z642" s="498"/>
      <c r="AA642" s="498"/>
      <c r="AB642" s="498"/>
      <c r="AC642" s="498"/>
      <c r="AD642" s="611"/>
      <c r="AE642" s="498"/>
      <c r="AF642" s="617"/>
      <c r="AG642" s="498"/>
      <c r="AH642" s="498"/>
      <c r="AI642" s="615"/>
      <c r="AJ642" s="615"/>
      <c r="AK642" s="615"/>
      <c r="AL642" s="615"/>
      <c r="AM642" s="615"/>
      <c r="AN642" s="615"/>
      <c r="AO642" s="615"/>
      <c r="AP642" s="615"/>
      <c r="AQ642" s="615"/>
      <c r="AR642" s="615"/>
      <c r="AS642" s="232"/>
      <c r="AT642" s="616"/>
      <c r="AU642" s="233"/>
      <c r="AV642" s="543"/>
    </row>
    <row r="643" spans="1:48" s="2" customFormat="1">
      <c r="A643" s="589"/>
      <c r="C643" s="498"/>
      <c r="D643" s="498"/>
      <c r="E643" s="498"/>
      <c r="F643" s="498"/>
      <c r="G643" s="498"/>
      <c r="H643" s="498"/>
      <c r="I643" s="498"/>
      <c r="J643" s="498"/>
      <c r="K643" s="498"/>
      <c r="L643" s="498"/>
      <c r="M643" s="498"/>
      <c r="N643" s="498"/>
      <c r="O643" s="498"/>
      <c r="P643" s="498"/>
      <c r="Q643" s="498"/>
      <c r="R643" s="498"/>
      <c r="S643" s="498"/>
      <c r="T643" s="498"/>
      <c r="U643" s="498"/>
      <c r="V643" s="498"/>
      <c r="W643" s="498"/>
      <c r="X643" s="498"/>
      <c r="Y643" s="498"/>
      <c r="Z643" s="498"/>
      <c r="AA643" s="498"/>
      <c r="AB643" s="498"/>
      <c r="AC643" s="498"/>
      <c r="AD643" s="611"/>
      <c r="AE643" s="498"/>
      <c r="AF643" s="617"/>
      <c r="AG643" s="498"/>
      <c r="AH643" s="498"/>
      <c r="AI643" s="615"/>
      <c r="AJ643" s="615"/>
      <c r="AK643" s="615"/>
      <c r="AL643" s="615"/>
      <c r="AM643" s="615"/>
      <c r="AN643" s="615"/>
      <c r="AO643" s="615"/>
      <c r="AP643" s="615"/>
      <c r="AQ643" s="615"/>
      <c r="AR643" s="615"/>
      <c r="AS643" s="232"/>
      <c r="AT643" s="616"/>
      <c r="AU643" s="233"/>
      <c r="AV643" s="543"/>
    </row>
    <row r="644" spans="1:48" s="2" customFormat="1">
      <c r="A644" s="589"/>
      <c r="C644" s="498"/>
      <c r="D644" s="498"/>
      <c r="E644" s="498"/>
      <c r="F644" s="498"/>
      <c r="G644" s="498"/>
      <c r="H644" s="498"/>
      <c r="I644" s="498"/>
      <c r="J644" s="498"/>
      <c r="K644" s="498"/>
      <c r="L644" s="498"/>
      <c r="M644" s="498"/>
      <c r="N644" s="498"/>
      <c r="O644" s="498"/>
      <c r="P644" s="498"/>
      <c r="Q644" s="498"/>
      <c r="R644" s="498"/>
      <c r="S644" s="498"/>
      <c r="T644" s="498"/>
      <c r="U644" s="498"/>
      <c r="V644" s="498"/>
      <c r="W644" s="498"/>
      <c r="X644" s="498"/>
      <c r="Y644" s="498"/>
      <c r="Z644" s="498"/>
      <c r="AA644" s="498"/>
      <c r="AB644" s="498"/>
      <c r="AC644" s="498"/>
      <c r="AD644" s="611"/>
      <c r="AE644" s="498"/>
      <c r="AF644" s="617"/>
      <c r="AG644" s="498"/>
      <c r="AH644" s="498"/>
      <c r="AI644" s="615"/>
      <c r="AJ644" s="615"/>
      <c r="AK644" s="615"/>
      <c r="AL644" s="615"/>
      <c r="AM644" s="615"/>
      <c r="AN644" s="615"/>
      <c r="AO644" s="615"/>
      <c r="AP644" s="615"/>
      <c r="AQ644" s="615"/>
      <c r="AR644" s="615"/>
      <c r="AS644" s="232"/>
      <c r="AT644" s="616"/>
      <c r="AU644" s="233"/>
      <c r="AV644" s="543"/>
    </row>
    <row r="645" spans="1:48" s="2" customFormat="1">
      <c r="A645" s="589"/>
      <c r="C645" s="498"/>
      <c r="D645" s="498"/>
      <c r="E645" s="498"/>
      <c r="F645" s="498"/>
      <c r="G645" s="498"/>
      <c r="H645" s="498"/>
      <c r="I645" s="498"/>
      <c r="J645" s="498"/>
      <c r="K645" s="498"/>
      <c r="L645" s="498"/>
      <c r="M645" s="498"/>
      <c r="N645" s="498"/>
      <c r="O645" s="498"/>
      <c r="P645" s="498"/>
      <c r="Q645" s="498"/>
      <c r="R645" s="498"/>
      <c r="S645" s="498"/>
      <c r="T645" s="498"/>
      <c r="U645" s="498"/>
      <c r="V645" s="498"/>
      <c r="W645" s="498"/>
      <c r="X645" s="498"/>
      <c r="Y645" s="498"/>
      <c r="Z645" s="498"/>
      <c r="AA645" s="498"/>
      <c r="AB645" s="498"/>
      <c r="AC645" s="498"/>
      <c r="AD645" s="611"/>
      <c r="AE645" s="498"/>
      <c r="AF645" s="617"/>
      <c r="AG645" s="498"/>
      <c r="AH645" s="498"/>
      <c r="AI645" s="615"/>
      <c r="AJ645" s="615"/>
      <c r="AK645" s="615"/>
      <c r="AL645" s="615"/>
      <c r="AM645" s="615"/>
      <c r="AN645" s="615"/>
      <c r="AO645" s="615"/>
      <c r="AP645" s="615"/>
      <c r="AQ645" s="615"/>
      <c r="AR645" s="615"/>
      <c r="AS645" s="232"/>
      <c r="AT645" s="616"/>
      <c r="AU645" s="233"/>
      <c r="AV645" s="543"/>
    </row>
    <row r="646" spans="1:48" s="2" customFormat="1">
      <c r="A646" s="597"/>
      <c r="B646" s="558"/>
      <c r="C646" s="498"/>
      <c r="D646" s="498"/>
      <c r="E646" s="498"/>
      <c r="F646" s="498"/>
      <c r="G646" s="498"/>
      <c r="H646" s="498"/>
      <c r="I646" s="498"/>
      <c r="J646" s="498"/>
      <c r="K646" s="498"/>
      <c r="L646" s="498"/>
      <c r="M646" s="498"/>
      <c r="N646" s="498"/>
      <c r="O646" s="498"/>
      <c r="P646" s="498"/>
      <c r="Q646" s="498"/>
      <c r="R646" s="498"/>
      <c r="S646" s="498"/>
      <c r="T646" s="498"/>
      <c r="U646" s="498"/>
      <c r="V646" s="498"/>
      <c r="W646" s="498"/>
      <c r="X646" s="498"/>
      <c r="Y646" s="498"/>
      <c r="Z646" s="498"/>
      <c r="AA646" s="498"/>
      <c r="AB646" s="606"/>
      <c r="AC646" s="606"/>
      <c r="AD646" s="611"/>
      <c r="AE646" s="606"/>
      <c r="AU646" s="233"/>
    </row>
    <row r="647" spans="1:48" s="2" customFormat="1">
      <c r="A647" s="608"/>
      <c r="C647" s="498"/>
      <c r="D647" s="498"/>
      <c r="E647" s="498"/>
      <c r="F647" s="498"/>
      <c r="G647" s="498"/>
      <c r="H647" s="498"/>
      <c r="I647" s="498"/>
      <c r="J647" s="498"/>
      <c r="K647" s="498"/>
      <c r="L647" s="498"/>
      <c r="M647" s="498"/>
      <c r="N647" s="498"/>
      <c r="O647" s="498"/>
      <c r="P647" s="498"/>
      <c r="Q647" s="498"/>
      <c r="R647" s="498"/>
      <c r="S647" s="498"/>
      <c r="T647" s="498"/>
      <c r="U647" s="498"/>
      <c r="V647" s="498"/>
      <c r="W647" s="498"/>
      <c r="X647" s="498"/>
      <c r="Y647" s="498"/>
      <c r="Z647" s="498"/>
      <c r="AA647" s="498"/>
      <c r="AB647" s="498"/>
      <c r="AC647" s="498"/>
      <c r="AD647" s="611"/>
      <c r="AE647" s="509"/>
      <c r="AF647" s="573"/>
      <c r="AG647" s="573"/>
      <c r="AH647" s="573"/>
      <c r="AI647" s="573"/>
      <c r="AJ647" s="573"/>
      <c r="AK647" s="573"/>
      <c r="AL647" s="573"/>
      <c r="AM647" s="573"/>
      <c r="AN647" s="573"/>
      <c r="AO647" s="308"/>
      <c r="AP647" s="573"/>
      <c r="AQ647" s="573"/>
      <c r="AR647" s="573"/>
      <c r="AS647" s="308"/>
      <c r="AV647" s="573"/>
    </row>
    <row r="648" spans="1:48" s="2" customFormat="1">
      <c r="A648" s="589"/>
      <c r="C648" s="498"/>
      <c r="D648" s="498"/>
      <c r="E648" s="498"/>
      <c r="F648" s="498"/>
      <c r="G648" s="498"/>
      <c r="H648" s="498"/>
      <c r="I648" s="498"/>
      <c r="J648" s="498"/>
      <c r="K648" s="498"/>
      <c r="L648" s="498"/>
      <c r="M648" s="498"/>
      <c r="N648" s="498"/>
      <c r="O648" s="498"/>
      <c r="P648" s="498"/>
      <c r="Q648" s="498"/>
      <c r="R648" s="498"/>
      <c r="S648" s="498"/>
      <c r="T648" s="498"/>
      <c r="U648" s="498"/>
      <c r="V648" s="498"/>
      <c r="W648" s="498"/>
      <c r="X648" s="498"/>
      <c r="Y648" s="498"/>
      <c r="Z648" s="498"/>
      <c r="AA648" s="498"/>
      <c r="AB648" s="498"/>
      <c r="AC648" s="498"/>
      <c r="AD648" s="611"/>
      <c r="AE648" s="509"/>
      <c r="AF648" s="573"/>
      <c r="AG648" s="573"/>
      <c r="AH648" s="573"/>
      <c r="AI648" s="573"/>
      <c r="AJ648" s="573"/>
      <c r="AK648" s="573"/>
      <c r="AL648" s="573"/>
      <c r="AM648" s="573"/>
      <c r="AN648" s="573"/>
      <c r="AO648" s="308"/>
      <c r="AP648" s="573"/>
      <c r="AQ648" s="573"/>
      <c r="AR648" s="573"/>
      <c r="AS648" s="308"/>
      <c r="AV648" s="573"/>
    </row>
    <row r="649" spans="1:48" s="2" customFormat="1">
      <c r="A649" s="589"/>
      <c r="C649" s="498"/>
      <c r="D649" s="498"/>
      <c r="E649" s="498"/>
      <c r="F649" s="498"/>
      <c r="G649" s="498"/>
      <c r="H649" s="498"/>
      <c r="I649" s="498"/>
      <c r="J649" s="498"/>
      <c r="K649" s="498"/>
      <c r="L649" s="498"/>
      <c r="M649" s="498"/>
      <c r="N649" s="498"/>
      <c r="O649" s="498"/>
      <c r="P649" s="498"/>
      <c r="Q649" s="498"/>
      <c r="R649" s="498"/>
      <c r="S649" s="498"/>
      <c r="T649" s="498"/>
      <c r="U649" s="498"/>
      <c r="V649" s="498"/>
      <c r="W649" s="498"/>
      <c r="X649" s="498"/>
      <c r="Y649" s="498"/>
      <c r="Z649" s="498"/>
      <c r="AA649" s="498"/>
      <c r="AB649" s="498"/>
      <c r="AC649" s="498"/>
      <c r="AD649" s="611"/>
      <c r="AE649" s="509"/>
      <c r="AF649" s="573"/>
      <c r="AG649" s="573"/>
      <c r="AH649" s="573"/>
      <c r="AI649" s="573"/>
      <c r="AJ649" s="573"/>
      <c r="AK649" s="573"/>
      <c r="AL649" s="573"/>
      <c r="AM649" s="573"/>
      <c r="AN649" s="573"/>
      <c r="AO649" s="308"/>
      <c r="AP649" s="573"/>
      <c r="AQ649" s="573"/>
      <c r="AR649" s="573"/>
      <c r="AS649" s="308"/>
      <c r="AV649" s="573"/>
    </row>
    <row r="650" spans="1:48" s="2" customFormat="1">
      <c r="A650" s="589"/>
      <c r="C650" s="498"/>
      <c r="D650" s="498"/>
      <c r="E650" s="498"/>
      <c r="F650" s="498"/>
      <c r="G650" s="498"/>
      <c r="H650" s="498"/>
      <c r="I650" s="498"/>
      <c r="J650" s="498"/>
      <c r="K650" s="498"/>
      <c r="L650" s="498"/>
      <c r="M650" s="498"/>
      <c r="N650" s="498"/>
      <c r="O650" s="498"/>
      <c r="P650" s="498"/>
      <c r="Q650" s="498"/>
      <c r="R650" s="498"/>
      <c r="S650" s="498"/>
      <c r="T650" s="498"/>
      <c r="U650" s="498"/>
      <c r="V650" s="498"/>
      <c r="W650" s="498"/>
      <c r="X650" s="498"/>
      <c r="Y650" s="498"/>
      <c r="Z650" s="498"/>
      <c r="AA650" s="498"/>
      <c r="AB650" s="498"/>
      <c r="AC650" s="498"/>
      <c r="AD650" s="611"/>
      <c r="AE650" s="509"/>
      <c r="AF650" s="573"/>
      <c r="AG650" s="573"/>
      <c r="AH650" s="573"/>
      <c r="AI650" s="573"/>
      <c r="AJ650" s="573"/>
      <c r="AK650" s="573"/>
      <c r="AL650" s="573"/>
      <c r="AM650" s="573"/>
      <c r="AN650" s="573"/>
      <c r="AO650" s="308"/>
      <c r="AP650" s="573"/>
      <c r="AQ650" s="573"/>
      <c r="AR650" s="573"/>
      <c r="AS650" s="308"/>
      <c r="AV650" s="573"/>
    </row>
    <row r="651" spans="1:48" s="2" customFormat="1">
      <c r="A651" s="589"/>
      <c r="C651" s="498"/>
      <c r="D651" s="498"/>
      <c r="E651" s="498"/>
      <c r="F651" s="498"/>
      <c r="G651" s="498"/>
      <c r="H651" s="498"/>
      <c r="I651" s="498"/>
      <c r="J651" s="498"/>
      <c r="K651" s="498"/>
      <c r="L651" s="498"/>
      <c r="M651" s="498"/>
      <c r="N651" s="498"/>
      <c r="O651" s="498"/>
      <c r="P651" s="498"/>
      <c r="Q651" s="498"/>
      <c r="R651" s="498"/>
      <c r="S651" s="498"/>
      <c r="T651" s="498"/>
      <c r="U651" s="498"/>
      <c r="V651" s="498"/>
      <c r="W651" s="498"/>
      <c r="X651" s="498"/>
      <c r="Y651" s="498"/>
      <c r="Z651" s="498"/>
      <c r="AA651" s="498"/>
      <c r="AB651" s="498"/>
      <c r="AC651" s="498"/>
      <c r="AD651" s="611"/>
      <c r="AE651" s="509"/>
      <c r="AF651" s="573"/>
      <c r="AG651" s="573"/>
      <c r="AH651" s="573"/>
      <c r="AI651" s="573"/>
      <c r="AJ651" s="573"/>
      <c r="AK651" s="573"/>
      <c r="AL651" s="573"/>
      <c r="AM651" s="573"/>
      <c r="AN651" s="573"/>
      <c r="AO651" s="308"/>
      <c r="AP651" s="573"/>
      <c r="AQ651" s="573"/>
      <c r="AR651" s="573"/>
      <c r="AS651" s="308"/>
      <c r="AV651" s="573"/>
    </row>
    <row r="652" spans="1:48" s="2" customFormat="1">
      <c r="A652" s="589"/>
      <c r="C652" s="498"/>
      <c r="D652" s="498"/>
      <c r="E652" s="498"/>
      <c r="F652" s="498"/>
      <c r="G652" s="498"/>
      <c r="H652" s="498"/>
      <c r="I652" s="498"/>
      <c r="J652" s="498"/>
      <c r="K652" s="498"/>
      <c r="L652" s="498"/>
      <c r="M652" s="498"/>
      <c r="N652" s="498"/>
      <c r="O652" s="498"/>
      <c r="P652" s="498"/>
      <c r="Q652" s="498"/>
      <c r="R652" s="498"/>
      <c r="S652" s="498"/>
      <c r="T652" s="498"/>
      <c r="U652" s="498"/>
      <c r="V652" s="498"/>
      <c r="W652" s="498"/>
      <c r="X652" s="498"/>
      <c r="Y652" s="498"/>
      <c r="Z652" s="498"/>
      <c r="AA652" s="498"/>
      <c r="AB652" s="498"/>
      <c r="AC652" s="498"/>
      <c r="AD652" s="611"/>
      <c r="AE652" s="509"/>
      <c r="AF652" s="573"/>
      <c r="AG652" s="573"/>
      <c r="AH652" s="573"/>
      <c r="AI652" s="573"/>
      <c r="AJ652" s="573"/>
      <c r="AK652" s="573"/>
      <c r="AL652" s="573"/>
      <c r="AM652" s="573"/>
      <c r="AN652" s="573"/>
      <c r="AO652" s="308"/>
      <c r="AP652" s="573"/>
      <c r="AQ652" s="573"/>
      <c r="AR652" s="573"/>
      <c r="AS652" s="308"/>
      <c r="AV652" s="573"/>
    </row>
    <row r="653" spans="1:48" s="2" customFormat="1">
      <c r="A653" s="589"/>
      <c r="C653" s="498"/>
      <c r="D653" s="498"/>
      <c r="E653" s="498"/>
      <c r="F653" s="498"/>
      <c r="G653" s="498"/>
      <c r="H653" s="498"/>
      <c r="I653" s="498"/>
      <c r="J653" s="498"/>
      <c r="K653" s="498"/>
      <c r="L653" s="498"/>
      <c r="M653" s="498"/>
      <c r="N653" s="498"/>
      <c r="O653" s="498"/>
      <c r="P653" s="498"/>
      <c r="Q653" s="498"/>
      <c r="R653" s="498"/>
      <c r="S653" s="498"/>
      <c r="T653" s="498"/>
      <c r="U653" s="498"/>
      <c r="V653" s="498"/>
      <c r="W653" s="498"/>
      <c r="X653" s="498"/>
      <c r="Y653" s="498"/>
      <c r="Z653" s="498"/>
      <c r="AA653" s="498"/>
      <c r="AB653" s="498"/>
      <c r="AC653" s="498"/>
      <c r="AD653" s="611"/>
      <c r="AE653" s="509"/>
      <c r="AF653" s="573"/>
      <c r="AG653" s="573"/>
      <c r="AH653" s="573"/>
      <c r="AI653" s="573"/>
      <c r="AJ653" s="573"/>
      <c r="AK653" s="573"/>
      <c r="AL653" s="573"/>
      <c r="AM653" s="573"/>
      <c r="AN653" s="573"/>
      <c r="AO653" s="308"/>
      <c r="AP653" s="573"/>
      <c r="AQ653" s="573"/>
      <c r="AR653" s="573"/>
      <c r="AS653" s="308"/>
      <c r="AV653" s="573"/>
    </row>
    <row r="654" spans="1:48" s="2" customFormat="1">
      <c r="A654" s="589"/>
      <c r="C654" s="498"/>
      <c r="D654" s="498"/>
      <c r="E654" s="498"/>
      <c r="F654" s="498"/>
      <c r="G654" s="498"/>
      <c r="H654" s="498"/>
      <c r="I654" s="498"/>
      <c r="J654" s="498"/>
      <c r="K654" s="498"/>
      <c r="L654" s="498"/>
      <c r="M654" s="498"/>
      <c r="N654" s="498"/>
      <c r="O654" s="498"/>
      <c r="P654" s="498"/>
      <c r="Q654" s="498"/>
      <c r="R654" s="498"/>
      <c r="S654" s="498"/>
      <c r="T654" s="498"/>
      <c r="U654" s="498"/>
      <c r="V654" s="498"/>
      <c r="W654" s="498"/>
      <c r="X654" s="498"/>
      <c r="Y654" s="498"/>
      <c r="Z654" s="498"/>
      <c r="AA654" s="498"/>
      <c r="AB654" s="498"/>
      <c r="AC654" s="498"/>
      <c r="AD654" s="611"/>
      <c r="AE654" s="509"/>
      <c r="AF654" s="573"/>
      <c r="AG654" s="573"/>
      <c r="AH654" s="573"/>
      <c r="AI654" s="573"/>
      <c r="AJ654" s="573"/>
      <c r="AK654" s="573"/>
      <c r="AL654" s="573"/>
      <c r="AM654" s="573"/>
      <c r="AN654" s="573"/>
      <c r="AO654" s="308"/>
      <c r="AP654" s="573"/>
      <c r="AQ654" s="573"/>
      <c r="AR654" s="573"/>
      <c r="AS654" s="308"/>
      <c r="AV654" s="573"/>
    </row>
    <row r="655" spans="1:48" s="2" customFormat="1">
      <c r="A655" s="589"/>
      <c r="C655" s="498"/>
      <c r="D655" s="498"/>
      <c r="E655" s="498"/>
      <c r="F655" s="498"/>
      <c r="G655" s="498"/>
      <c r="H655" s="498"/>
      <c r="I655" s="498"/>
      <c r="J655" s="498"/>
      <c r="K655" s="498"/>
      <c r="L655" s="498"/>
      <c r="M655" s="498"/>
      <c r="N655" s="498"/>
      <c r="O655" s="498"/>
      <c r="P655" s="498"/>
      <c r="Q655" s="498"/>
      <c r="R655" s="498"/>
      <c r="S655" s="498"/>
      <c r="T655" s="498"/>
      <c r="U655" s="498"/>
      <c r="V655" s="498"/>
      <c r="W655" s="498"/>
      <c r="X655" s="498"/>
      <c r="Y655" s="498"/>
      <c r="Z655" s="498"/>
      <c r="AA655" s="498"/>
      <c r="AB655" s="498"/>
      <c r="AC655" s="498"/>
      <c r="AD655" s="611"/>
      <c r="AE655" s="509"/>
      <c r="AF655" s="573"/>
      <c r="AG655" s="573"/>
      <c r="AH655" s="573"/>
      <c r="AI655" s="573"/>
      <c r="AJ655" s="573"/>
      <c r="AK655" s="573"/>
      <c r="AL655" s="573"/>
      <c r="AM655" s="573"/>
      <c r="AN655" s="573"/>
      <c r="AO655" s="308"/>
      <c r="AP655" s="573"/>
      <c r="AQ655" s="573"/>
      <c r="AR655" s="573"/>
      <c r="AS655" s="308"/>
      <c r="AV655" s="573"/>
    </row>
    <row r="656" spans="1:48" s="2" customFormat="1">
      <c r="A656" s="556"/>
      <c r="B656" s="558"/>
      <c r="C656" s="498"/>
      <c r="D656" s="498"/>
      <c r="E656" s="498"/>
      <c r="F656" s="498"/>
      <c r="G656" s="498"/>
      <c r="H656" s="498"/>
      <c r="I656" s="498"/>
      <c r="J656" s="498"/>
      <c r="K656" s="498"/>
      <c r="L656" s="498"/>
      <c r="M656" s="498"/>
      <c r="N656" s="498"/>
      <c r="O656" s="498"/>
      <c r="P656" s="498"/>
      <c r="Q656" s="498"/>
      <c r="R656" s="498"/>
      <c r="S656" s="498"/>
      <c r="T656" s="498"/>
      <c r="U656" s="498"/>
      <c r="V656" s="498"/>
      <c r="W656" s="498"/>
      <c r="X656" s="498"/>
      <c r="Y656" s="498"/>
      <c r="Z656" s="498"/>
      <c r="AA656" s="498"/>
      <c r="AB656" s="498"/>
      <c r="AC656" s="498"/>
      <c r="AD656" s="611"/>
      <c r="AE656" s="498"/>
    </row>
    <row r="657" spans="1:48" s="2" customFormat="1" ht="16.5" customHeight="1">
      <c r="A657" s="559"/>
      <c r="C657" s="498"/>
      <c r="D657" s="498"/>
      <c r="E657" s="498"/>
      <c r="F657" s="498"/>
      <c r="G657" s="498"/>
      <c r="H657" s="498"/>
      <c r="I657" s="498"/>
      <c r="J657" s="498"/>
      <c r="K657" s="498"/>
      <c r="L657" s="498"/>
      <c r="M657" s="498"/>
      <c r="N657" s="498"/>
      <c r="O657" s="498"/>
      <c r="P657" s="498"/>
      <c r="Q657" s="498"/>
      <c r="R657" s="498"/>
      <c r="S657" s="498"/>
      <c r="T657" s="498"/>
      <c r="U657" s="498"/>
      <c r="V657" s="498"/>
      <c r="W657" s="498"/>
      <c r="X657" s="498"/>
      <c r="Y657" s="498"/>
      <c r="Z657" s="498"/>
      <c r="AA657" s="606"/>
      <c r="AB657" s="554"/>
      <c r="AC657" s="606"/>
      <c r="AD657" s="611"/>
      <c r="AE657" s="606"/>
      <c r="AI657" s="492"/>
      <c r="AO657" s="492"/>
      <c r="AP657" s="492"/>
    </row>
    <row r="658" spans="1:48" s="2" customFormat="1">
      <c r="A658" s="559"/>
      <c r="B658" s="558"/>
      <c r="C658" s="498"/>
      <c r="D658" s="498"/>
      <c r="E658" s="498"/>
      <c r="F658" s="498"/>
      <c r="G658" s="498"/>
      <c r="H658" s="498"/>
      <c r="I658" s="498"/>
      <c r="J658" s="498"/>
      <c r="K658" s="498"/>
      <c r="L658" s="498"/>
      <c r="M658" s="498"/>
      <c r="N658" s="498"/>
      <c r="O658" s="498"/>
      <c r="P658" s="498"/>
      <c r="Q658" s="498"/>
      <c r="R658" s="498"/>
      <c r="S658" s="498"/>
      <c r="T658" s="498"/>
      <c r="U658" s="498"/>
      <c r="V658" s="498"/>
      <c r="W658" s="498"/>
      <c r="X658" s="498"/>
      <c r="Y658" s="498"/>
      <c r="Z658" s="498"/>
      <c r="AA658" s="498"/>
      <c r="AB658" s="606"/>
      <c r="AC658" s="606"/>
      <c r="AD658" s="611"/>
      <c r="AE658" s="606"/>
      <c r="AG658" s="521"/>
      <c r="AH658" s="521"/>
    </row>
    <row r="659" spans="1:48" s="2" customFormat="1">
      <c r="A659" s="608"/>
      <c r="C659" s="525"/>
      <c r="D659" s="525"/>
      <c r="E659" s="525"/>
      <c r="F659" s="525"/>
      <c r="G659" s="525"/>
      <c r="H659" s="525"/>
      <c r="I659" s="525"/>
      <c r="J659" s="525"/>
      <c r="K659" s="525"/>
      <c r="L659" s="525"/>
      <c r="M659" s="525"/>
      <c r="N659" s="525"/>
      <c r="O659" s="525"/>
      <c r="P659" s="525"/>
      <c r="Q659" s="525"/>
      <c r="R659" s="525"/>
      <c r="S659" s="525"/>
      <c r="T659" s="525"/>
      <c r="U659" s="525"/>
      <c r="V659" s="525"/>
      <c r="W659" s="525"/>
      <c r="X659" s="525"/>
      <c r="Y659" s="525"/>
      <c r="Z659" s="525"/>
      <c r="AA659" s="525"/>
      <c r="AB659" s="525"/>
      <c r="AC659" s="606"/>
      <c r="AD659" s="619"/>
      <c r="AE659" s="498"/>
      <c r="AF659" s="572"/>
      <c r="AG659" s="488"/>
      <c r="AH659" s="488"/>
      <c r="AI659" s="488"/>
      <c r="AJ659" s="488"/>
      <c r="AK659" s="488"/>
      <c r="AL659" s="488"/>
      <c r="AM659" s="488"/>
      <c r="AN659" s="488"/>
      <c r="AO659" s="488"/>
      <c r="AP659" s="488"/>
      <c r="AQ659" s="488"/>
      <c r="AR659" s="488"/>
      <c r="AS659" s="488"/>
      <c r="AT659" s="488"/>
      <c r="AU659" s="488"/>
      <c r="AV659" s="521"/>
    </row>
    <row r="660" spans="1:48" s="2" customFormat="1">
      <c r="A660" s="589"/>
      <c r="C660" s="498"/>
      <c r="D660" s="498"/>
      <c r="E660" s="498"/>
      <c r="F660" s="498"/>
      <c r="G660" s="498"/>
      <c r="H660" s="498"/>
      <c r="I660" s="498"/>
      <c r="J660" s="498"/>
      <c r="K660" s="498"/>
      <c r="L660" s="498"/>
      <c r="M660" s="498"/>
      <c r="N660" s="498"/>
      <c r="O660" s="525"/>
      <c r="P660" s="525"/>
      <c r="Q660" s="525"/>
      <c r="R660" s="525"/>
      <c r="S660" s="525"/>
      <c r="T660" s="525"/>
      <c r="U660" s="525"/>
      <c r="V660" s="525"/>
      <c r="W660" s="525"/>
      <c r="X660" s="525"/>
      <c r="Y660" s="525"/>
      <c r="Z660" s="525"/>
      <c r="AA660" s="525"/>
      <c r="AB660" s="525"/>
      <c r="AC660" s="525"/>
      <c r="AD660" s="525"/>
      <c r="AE660" s="498"/>
      <c r="AF660" s="521"/>
      <c r="AG660" s="488"/>
      <c r="AH660" s="488"/>
      <c r="AI660" s="488"/>
      <c r="AJ660" s="488"/>
      <c r="AK660" s="488"/>
      <c r="AL660" s="488"/>
      <c r="AM660" s="488"/>
      <c r="AN660" s="488"/>
      <c r="AO660" s="488"/>
      <c r="AP660" s="488"/>
      <c r="AQ660" s="488"/>
      <c r="AR660" s="488"/>
      <c r="AS660" s="488"/>
      <c r="AT660" s="488"/>
      <c r="AU660" s="488"/>
      <c r="AV660" s="521"/>
    </row>
    <row r="661" spans="1:48" s="2" customFormat="1">
      <c r="A661" s="589"/>
      <c r="C661" s="498"/>
      <c r="D661" s="498"/>
      <c r="E661" s="498"/>
      <c r="F661" s="498"/>
      <c r="G661" s="498"/>
      <c r="H661" s="498"/>
      <c r="I661" s="498"/>
      <c r="J661" s="498"/>
      <c r="K661" s="498"/>
      <c r="L661" s="498"/>
      <c r="M661" s="498"/>
      <c r="N661" s="498"/>
      <c r="O661" s="525"/>
      <c r="P661" s="525"/>
      <c r="Q661" s="525"/>
      <c r="R661" s="525"/>
      <c r="S661" s="525"/>
      <c r="U661" s="525"/>
      <c r="V661" s="525"/>
      <c r="W661" s="525"/>
      <c r="X661" s="525"/>
      <c r="Y661" s="525"/>
      <c r="Z661" s="525"/>
      <c r="AA661" s="525"/>
      <c r="AB661" s="525"/>
      <c r="AC661" s="525"/>
      <c r="AD661" s="525"/>
      <c r="AE661" s="498"/>
      <c r="AF661" s="572"/>
      <c r="AG661" s="488"/>
      <c r="AH661" s="488"/>
      <c r="AI661" s="488"/>
      <c r="AJ661" s="488"/>
      <c r="AK661" s="488"/>
      <c r="AL661" s="488"/>
      <c r="AM661" s="488"/>
      <c r="AN661" s="488"/>
      <c r="AO661" s="488"/>
      <c r="AP661" s="488"/>
      <c r="AQ661" s="488"/>
      <c r="AR661" s="488"/>
      <c r="AS661" s="488"/>
      <c r="AT661" s="488"/>
      <c r="AU661" s="488"/>
      <c r="AV661" s="521"/>
    </row>
    <row r="662" spans="1:48" s="2" customFormat="1">
      <c r="A662" s="589"/>
      <c r="C662" s="498"/>
      <c r="D662" s="498"/>
      <c r="E662" s="498"/>
      <c r="F662" s="498"/>
      <c r="G662" s="498"/>
      <c r="H662" s="498"/>
      <c r="I662" s="498"/>
      <c r="J662" s="498"/>
      <c r="K662" s="498"/>
      <c r="L662" s="498"/>
      <c r="M662" s="498"/>
      <c r="N662" s="498"/>
      <c r="O662" s="525"/>
      <c r="P662" s="525"/>
      <c r="Q662" s="525"/>
      <c r="R662" s="525"/>
      <c r="S662" s="525"/>
      <c r="T662" s="525"/>
      <c r="U662" s="525"/>
      <c r="V662" s="525"/>
      <c r="W662" s="525"/>
      <c r="X662" s="525"/>
      <c r="Y662" s="525"/>
      <c r="Z662" s="525"/>
      <c r="AA662" s="525"/>
      <c r="AB662" s="525"/>
      <c r="AC662" s="525"/>
      <c r="AD662" s="525"/>
      <c r="AE662" s="498"/>
      <c r="AF662" s="572"/>
      <c r="AG662" s="488"/>
      <c r="AH662" s="488"/>
      <c r="AI662" s="488"/>
      <c r="AJ662" s="488"/>
      <c r="AK662" s="488"/>
      <c r="AL662" s="488"/>
      <c r="AM662" s="488"/>
      <c r="AN662" s="488"/>
      <c r="AO662" s="488"/>
      <c r="AP662" s="488"/>
      <c r="AQ662" s="488"/>
      <c r="AR662" s="488"/>
      <c r="AS662" s="488"/>
      <c r="AT662" s="488"/>
      <c r="AU662" s="488"/>
      <c r="AV662" s="521"/>
    </row>
    <row r="663" spans="1:48" s="2" customFormat="1">
      <c r="A663" s="589"/>
      <c r="C663" s="498"/>
      <c r="D663" s="498"/>
      <c r="E663" s="498"/>
      <c r="F663" s="498"/>
      <c r="G663" s="498"/>
      <c r="H663" s="498"/>
      <c r="I663" s="498"/>
      <c r="J663" s="498"/>
      <c r="K663" s="498"/>
      <c r="L663" s="498"/>
      <c r="M663" s="498"/>
      <c r="N663" s="498"/>
      <c r="O663" s="521"/>
      <c r="P663" s="525"/>
      <c r="Q663" s="525"/>
      <c r="R663" s="525"/>
      <c r="S663" s="525"/>
      <c r="T663" s="525"/>
      <c r="U663" s="525"/>
      <c r="V663" s="525"/>
      <c r="W663" s="525"/>
      <c r="X663" s="525"/>
      <c r="Y663" s="525"/>
      <c r="Z663" s="525"/>
      <c r="AA663" s="525"/>
      <c r="AB663" s="525"/>
      <c r="AC663" s="606"/>
      <c r="AD663" s="619"/>
      <c r="AE663" s="498"/>
      <c r="AF663" s="572"/>
      <c r="AG663" s="488"/>
      <c r="AH663" s="488"/>
      <c r="AI663" s="488"/>
      <c r="AJ663" s="488"/>
      <c r="AL663" s="488"/>
      <c r="AM663" s="521"/>
      <c r="AN663" s="521"/>
      <c r="AO663" s="521"/>
      <c r="AP663" s="488"/>
      <c r="AQ663" s="488"/>
      <c r="AR663" s="488"/>
      <c r="AS663" s="488"/>
      <c r="AT663" s="488"/>
      <c r="AU663" s="488"/>
      <c r="AV663" s="521"/>
    </row>
    <row r="664" spans="1:48" s="2" customFormat="1">
      <c r="A664" s="589"/>
      <c r="C664" s="498"/>
      <c r="D664" s="498"/>
      <c r="E664" s="498"/>
      <c r="F664" s="498"/>
      <c r="G664" s="498"/>
      <c r="H664" s="498"/>
      <c r="I664" s="498"/>
      <c r="J664" s="498"/>
      <c r="K664" s="498"/>
      <c r="L664" s="498"/>
      <c r="M664" s="498"/>
      <c r="N664" s="498"/>
      <c r="O664" s="525"/>
      <c r="P664" s="525"/>
      <c r="Q664" s="525"/>
      <c r="R664" s="525"/>
      <c r="S664" s="525"/>
      <c r="T664" s="525"/>
      <c r="U664" s="525"/>
      <c r="V664" s="525"/>
      <c r="W664" s="525"/>
      <c r="X664" s="525"/>
      <c r="Y664" s="525"/>
      <c r="Z664" s="525"/>
      <c r="AA664" s="525"/>
      <c r="AB664" s="525"/>
      <c r="AC664" s="525"/>
      <c r="AD664" s="525"/>
      <c r="AE664" s="498"/>
      <c r="AF664" s="521"/>
      <c r="AG664" s="488"/>
      <c r="AH664" s="488"/>
      <c r="AI664" s="488"/>
      <c r="AJ664" s="488"/>
      <c r="AL664" s="488"/>
      <c r="AM664" s="521"/>
      <c r="AN664" s="521"/>
      <c r="AO664" s="521"/>
      <c r="AP664" s="488"/>
      <c r="AQ664" s="488"/>
      <c r="AR664" s="488"/>
      <c r="AS664" s="488"/>
      <c r="AT664" s="488"/>
      <c r="AU664" s="488"/>
      <c r="AV664" s="521"/>
    </row>
    <row r="665" spans="1:48" s="2" customFormat="1">
      <c r="A665" s="589"/>
      <c r="C665" s="498"/>
      <c r="D665" s="498"/>
      <c r="E665" s="498"/>
      <c r="F665" s="498"/>
      <c r="G665" s="498"/>
      <c r="H665" s="498"/>
      <c r="I665" s="498"/>
      <c r="J665" s="498"/>
      <c r="K665" s="498"/>
      <c r="L665" s="498"/>
      <c r="M665" s="498"/>
      <c r="N665" s="498"/>
      <c r="O665" s="525"/>
      <c r="P665" s="525"/>
      <c r="Q665" s="525"/>
      <c r="R665" s="525"/>
      <c r="S665" s="525"/>
      <c r="T665" s="525"/>
      <c r="U665" s="525"/>
      <c r="V665" s="525"/>
      <c r="W665" s="525"/>
      <c r="X665" s="525"/>
      <c r="Y665" s="525"/>
      <c r="Z665" s="525"/>
      <c r="AA665" s="525"/>
      <c r="AB665" s="525"/>
      <c r="AC665" s="525"/>
      <c r="AD665" s="525"/>
      <c r="AE665" s="498"/>
      <c r="AF665" s="572"/>
      <c r="AG665" s="488"/>
      <c r="AH665" s="521"/>
      <c r="AI665" s="521"/>
      <c r="AJ665" s="488"/>
      <c r="AL665" s="488"/>
      <c r="AM665" s="521"/>
      <c r="AN665" s="521"/>
      <c r="AO665" s="521"/>
      <c r="AP665" s="488"/>
      <c r="AQ665" s="488"/>
      <c r="AR665" s="488"/>
      <c r="AS665" s="488"/>
      <c r="AT665" s="488"/>
      <c r="AU665" s="488"/>
      <c r="AV665" s="521"/>
    </row>
    <row r="666" spans="1:48" s="2" customFormat="1">
      <c r="A666" s="589"/>
      <c r="C666" s="498"/>
      <c r="D666" s="498"/>
      <c r="E666" s="498"/>
      <c r="F666" s="498"/>
      <c r="G666" s="498"/>
      <c r="H666" s="498"/>
      <c r="I666" s="498"/>
      <c r="J666" s="498"/>
      <c r="K666" s="498"/>
      <c r="L666" s="498"/>
      <c r="M666" s="498"/>
      <c r="N666" s="498"/>
      <c r="O666" s="525"/>
      <c r="P666" s="525"/>
      <c r="Q666" s="525"/>
      <c r="R666" s="525"/>
      <c r="S666" s="525"/>
      <c r="T666" s="525"/>
      <c r="U666" s="525"/>
      <c r="V666" s="525"/>
      <c r="W666" s="525"/>
      <c r="X666" s="525"/>
      <c r="Y666" s="525"/>
      <c r="Z666" s="525"/>
      <c r="AA666" s="525"/>
      <c r="AB666" s="525"/>
      <c r="AC666" s="525"/>
      <c r="AD666" s="525"/>
      <c r="AE666" s="498"/>
      <c r="AF666" s="613"/>
      <c r="AG666" s="488"/>
      <c r="AH666" s="488"/>
      <c r="AI666" s="488"/>
      <c r="AJ666" s="488"/>
      <c r="AL666" s="488"/>
      <c r="AM666" s="521"/>
      <c r="AN666" s="521"/>
      <c r="AO666" s="521"/>
      <c r="AP666" s="488"/>
      <c r="AQ666" s="488"/>
      <c r="AR666" s="488"/>
      <c r="AS666" s="488"/>
      <c r="AT666" s="488"/>
      <c r="AU666" s="488"/>
      <c r="AV666" s="521"/>
    </row>
    <row r="667" spans="1:48" s="2" customFormat="1">
      <c r="A667" s="589"/>
      <c r="C667" s="498"/>
      <c r="D667" s="498"/>
      <c r="E667" s="498"/>
      <c r="F667" s="498"/>
      <c r="G667" s="498"/>
      <c r="H667" s="498"/>
      <c r="I667" s="498"/>
      <c r="J667" s="498"/>
      <c r="K667" s="498"/>
      <c r="L667" s="498"/>
      <c r="M667" s="498"/>
      <c r="N667" s="498"/>
      <c r="O667" s="525"/>
      <c r="P667" s="525"/>
      <c r="Q667" s="525"/>
      <c r="R667" s="525"/>
      <c r="S667" s="525"/>
      <c r="T667" s="525"/>
      <c r="U667" s="525"/>
      <c r="V667" s="525"/>
      <c r="W667" s="525"/>
      <c r="X667" s="525"/>
      <c r="Y667" s="525"/>
      <c r="Z667" s="525"/>
      <c r="AA667" s="525"/>
      <c r="AB667" s="525"/>
      <c r="AC667" s="525"/>
      <c r="AD667" s="542"/>
      <c r="AE667" s="498"/>
      <c r="AF667" s="572"/>
      <c r="AG667" s="488"/>
      <c r="AH667" s="488"/>
      <c r="AI667" s="488"/>
      <c r="AJ667" s="488"/>
      <c r="AL667" s="488"/>
      <c r="AM667" s="521"/>
      <c r="AN667" s="521"/>
      <c r="AO667" s="521"/>
      <c r="AP667" s="488"/>
      <c r="AQ667" s="488"/>
      <c r="AR667" s="488"/>
      <c r="AS667" s="488"/>
      <c r="AT667" s="488"/>
      <c r="AU667" s="488"/>
      <c r="AV667" s="521"/>
    </row>
    <row r="668" spans="1:48" s="2" customFormat="1">
      <c r="A668" s="559"/>
      <c r="B668" s="558"/>
      <c r="C668" s="525"/>
      <c r="D668" s="525"/>
      <c r="E668" s="525"/>
      <c r="F668" s="525"/>
      <c r="G668" s="525"/>
      <c r="H668" s="525"/>
      <c r="I668" s="525"/>
      <c r="J668" s="525"/>
      <c r="K668" s="525"/>
      <c r="L668" s="525"/>
      <c r="M668" s="525"/>
      <c r="N668" s="525"/>
      <c r="O668" s="525"/>
      <c r="P668" s="525"/>
      <c r="Q668" s="525"/>
      <c r="R668" s="525"/>
      <c r="S668" s="525"/>
      <c r="T668" s="525"/>
      <c r="U668" s="525"/>
      <c r="V668" s="525"/>
      <c r="W668" s="525"/>
      <c r="X668" s="525"/>
      <c r="Y668" s="525"/>
      <c r="Z668" s="525"/>
      <c r="AA668" s="498"/>
      <c r="AB668" s="606"/>
      <c r="AC668" s="606"/>
      <c r="AD668" s="611"/>
      <c r="AE668" s="498"/>
      <c r="AH668" s="488"/>
      <c r="AM668" s="521"/>
      <c r="AN668" s="521"/>
      <c r="AO668" s="521"/>
      <c r="AP668" s="488"/>
      <c r="AQ668" s="488"/>
      <c r="AR668" s="488"/>
      <c r="AS668" s="488"/>
      <c r="AT668" s="488"/>
      <c r="AV668" s="521"/>
    </row>
    <row r="669" spans="1:48" s="2" customFormat="1">
      <c r="A669" s="608"/>
      <c r="C669" s="525"/>
      <c r="D669" s="525"/>
      <c r="E669" s="525"/>
      <c r="F669" s="525"/>
      <c r="G669" s="525"/>
      <c r="H669" s="525"/>
      <c r="I669" s="525"/>
      <c r="J669" s="525"/>
      <c r="K669" s="525"/>
      <c r="L669" s="525"/>
      <c r="M669" s="525"/>
      <c r="N669" s="525"/>
      <c r="O669" s="525"/>
      <c r="P669" s="525"/>
      <c r="Q669" s="525"/>
      <c r="R669" s="525"/>
      <c r="S669" s="525"/>
      <c r="T669" s="525"/>
      <c r="U669" s="525"/>
      <c r="V669" s="525"/>
      <c r="W669" s="525"/>
      <c r="X669" s="525"/>
      <c r="Y669" s="525"/>
      <c r="Z669" s="525"/>
      <c r="AA669" s="525"/>
      <c r="AB669" s="525"/>
      <c r="AC669" s="606"/>
      <c r="AD669" s="619"/>
      <c r="AE669" s="525"/>
      <c r="AF669" s="521"/>
      <c r="AG669" s="521"/>
      <c r="AH669" s="488"/>
      <c r="AI669" s="488"/>
      <c r="AJ669" s="488"/>
      <c r="AK669" s="488"/>
      <c r="AL669" s="488"/>
      <c r="AM669" s="488"/>
      <c r="AN669" s="488"/>
      <c r="AO669" s="488"/>
      <c r="AP669" s="488"/>
      <c r="AQ669" s="488"/>
      <c r="AR669" s="488"/>
      <c r="AS669" s="488"/>
      <c r="AT669" s="488"/>
      <c r="AU669" s="488"/>
      <c r="AV669" s="521"/>
    </row>
    <row r="670" spans="1:48" s="2" customFormat="1">
      <c r="A670" s="589"/>
      <c r="C670" s="498"/>
      <c r="D670" s="498"/>
      <c r="E670" s="498"/>
      <c r="F670" s="498"/>
      <c r="G670" s="498"/>
      <c r="H670" s="498"/>
      <c r="I670" s="498"/>
      <c r="J670" s="498"/>
      <c r="K670" s="498"/>
      <c r="L670" s="498"/>
      <c r="M670" s="498"/>
      <c r="N670" s="498"/>
      <c r="O670" s="525"/>
      <c r="P670" s="525"/>
      <c r="Q670" s="525"/>
      <c r="R670" s="525"/>
      <c r="S670" s="525"/>
      <c r="T670" s="525"/>
      <c r="U670" s="525"/>
      <c r="V670" s="525"/>
      <c r="W670" s="525"/>
      <c r="X670" s="525"/>
      <c r="Y670" s="525"/>
      <c r="Z670" s="525"/>
      <c r="AA670" s="525"/>
      <c r="AB670" s="525"/>
      <c r="AC670" s="525"/>
      <c r="AD670" s="525"/>
      <c r="AE670" s="525"/>
      <c r="AF670" s="521"/>
      <c r="AG670" s="521"/>
      <c r="AH670" s="488"/>
      <c r="AI670" s="488"/>
      <c r="AJ670" s="488"/>
      <c r="AK670" s="488"/>
      <c r="AL670" s="488"/>
      <c r="AM670" s="488"/>
      <c r="AN670" s="488"/>
      <c r="AO670" s="488"/>
      <c r="AP670" s="488"/>
      <c r="AQ670" s="488"/>
      <c r="AR670" s="488"/>
      <c r="AS670" s="488"/>
      <c r="AT670" s="488"/>
      <c r="AU670" s="488"/>
      <c r="AV670" s="521"/>
    </row>
    <row r="671" spans="1:48" s="2" customFormat="1">
      <c r="A671" s="589"/>
      <c r="C671" s="498"/>
      <c r="D671" s="498"/>
      <c r="E671" s="498"/>
      <c r="F671" s="498"/>
      <c r="G671" s="498"/>
      <c r="H671" s="498"/>
      <c r="I671" s="498"/>
      <c r="J671" s="498"/>
      <c r="K671" s="498"/>
      <c r="L671" s="498"/>
      <c r="M671" s="498"/>
      <c r="N671" s="498"/>
      <c r="O671" s="525"/>
      <c r="P671" s="525"/>
      <c r="Q671" s="525"/>
      <c r="R671" s="525"/>
      <c r="S671" s="525"/>
      <c r="T671" s="525"/>
      <c r="U671" s="525"/>
      <c r="V671" s="525"/>
      <c r="W671" s="525"/>
      <c r="X671" s="525"/>
      <c r="Y671" s="525"/>
      <c r="Z671" s="525"/>
      <c r="AA671" s="525"/>
      <c r="AB671" s="525"/>
      <c r="AC671" s="525"/>
      <c r="AD671" s="525"/>
      <c r="AE671" s="525"/>
      <c r="AF671" s="521"/>
      <c r="AG671" s="521"/>
      <c r="AH671" s="488"/>
      <c r="AI671" s="488"/>
      <c r="AJ671" s="488"/>
      <c r="AK671" s="488"/>
      <c r="AL671" s="488"/>
      <c r="AM671" s="488"/>
      <c r="AN671" s="488"/>
      <c r="AO671" s="488"/>
      <c r="AP671" s="488"/>
      <c r="AQ671" s="488"/>
      <c r="AR671" s="488"/>
      <c r="AS671" s="488"/>
      <c r="AT671" s="488"/>
      <c r="AU671" s="488"/>
      <c r="AV671" s="521"/>
    </row>
    <row r="672" spans="1:48" s="2" customFormat="1">
      <c r="A672" s="589"/>
      <c r="C672" s="498"/>
      <c r="D672" s="498"/>
      <c r="E672" s="498"/>
      <c r="F672" s="498"/>
      <c r="G672" s="498"/>
      <c r="H672" s="498"/>
      <c r="I672" s="498"/>
      <c r="J672" s="498"/>
      <c r="K672" s="498"/>
      <c r="L672" s="498"/>
      <c r="M672" s="498"/>
      <c r="N672" s="498"/>
      <c r="O672" s="525"/>
      <c r="P672" s="525"/>
      <c r="Q672" s="525"/>
      <c r="R672" s="525"/>
      <c r="S672" s="525"/>
      <c r="T672" s="525"/>
      <c r="U672" s="525"/>
      <c r="V672" s="525"/>
      <c r="W672" s="525"/>
      <c r="X672" s="525"/>
      <c r="Y672" s="525"/>
      <c r="Z672" s="525"/>
      <c r="AA672" s="525"/>
      <c r="AB672" s="525"/>
      <c r="AC672" s="525"/>
      <c r="AD672" s="525"/>
      <c r="AE672" s="498"/>
      <c r="AF672" s="521"/>
      <c r="AG672" s="521"/>
      <c r="AH672" s="488"/>
      <c r="AI672" s="488"/>
      <c r="AJ672" s="488"/>
      <c r="AL672" s="488"/>
      <c r="AM672" s="521"/>
      <c r="AN672" s="521"/>
      <c r="AO672" s="521"/>
      <c r="AP672" s="488"/>
      <c r="AQ672" s="488"/>
      <c r="AR672" s="488"/>
      <c r="AS672" s="488"/>
      <c r="AT672" s="488"/>
      <c r="AU672" s="488"/>
      <c r="AV672" s="521"/>
    </row>
    <row r="673" spans="1:48" s="2" customFormat="1">
      <c r="A673" s="589"/>
      <c r="C673" s="498"/>
      <c r="D673" s="498"/>
      <c r="E673" s="498"/>
      <c r="F673" s="498"/>
      <c r="G673" s="498"/>
      <c r="H673" s="498"/>
      <c r="I673" s="498"/>
      <c r="J673" s="498"/>
      <c r="K673" s="498"/>
      <c r="L673" s="498"/>
      <c r="M673" s="498"/>
      <c r="N673" s="498"/>
      <c r="O673" s="525"/>
      <c r="P673" s="525"/>
      <c r="Q673" s="525"/>
      <c r="R673" s="525"/>
      <c r="S673" s="525"/>
      <c r="T673" s="525"/>
      <c r="U673" s="525"/>
      <c r="V673" s="525"/>
      <c r="W673" s="525"/>
      <c r="X673" s="525"/>
      <c r="Y673" s="525"/>
      <c r="Z673" s="525"/>
      <c r="AA673" s="525"/>
      <c r="AB673" s="525"/>
      <c r="AC673" s="606"/>
      <c r="AD673" s="607"/>
      <c r="AE673" s="525"/>
      <c r="AF673" s="521"/>
      <c r="AG673" s="521"/>
      <c r="AH673" s="488"/>
      <c r="AI673" s="488"/>
      <c r="AJ673" s="488"/>
      <c r="AL673" s="488"/>
      <c r="AM673" s="521"/>
      <c r="AN673" s="521"/>
      <c r="AO673" s="521"/>
      <c r="AP673" s="521"/>
      <c r="AQ673" s="521"/>
      <c r="AR673" s="488"/>
      <c r="AS673" s="488"/>
      <c r="AT673" s="488"/>
      <c r="AU673" s="488"/>
      <c r="AV673" s="521"/>
    </row>
    <row r="674" spans="1:48" s="2" customFormat="1">
      <c r="A674" s="589"/>
      <c r="C674" s="498"/>
      <c r="D674" s="498"/>
      <c r="E674" s="498"/>
      <c r="F674" s="498"/>
      <c r="G674" s="498"/>
      <c r="H674" s="498"/>
      <c r="I674" s="498"/>
      <c r="J674" s="498"/>
      <c r="K674" s="498"/>
      <c r="L674" s="498"/>
      <c r="M674" s="498"/>
      <c r="N674" s="498"/>
      <c r="O674" s="525"/>
      <c r="P674" s="525"/>
      <c r="Q674" s="525"/>
      <c r="R674" s="525"/>
      <c r="S674" s="525"/>
      <c r="T674" s="525"/>
      <c r="U674" s="525"/>
      <c r="V674" s="525"/>
      <c r="W674" s="525"/>
      <c r="X674" s="525"/>
      <c r="Y674" s="525"/>
      <c r="Z674" s="525"/>
      <c r="AA674" s="525"/>
      <c r="AB674" s="525"/>
      <c r="AC674" s="525"/>
      <c r="AD674" s="525"/>
      <c r="AE674" s="498"/>
      <c r="AF674" s="521"/>
      <c r="AG674" s="521"/>
      <c r="AH674" s="488"/>
      <c r="AI674" s="488"/>
      <c r="AJ674" s="488"/>
      <c r="AL674" s="488"/>
      <c r="AM674" s="521"/>
      <c r="AN674" s="521"/>
      <c r="AO674" s="521"/>
      <c r="AP674" s="521"/>
      <c r="AQ674" s="521"/>
      <c r="AR674" s="488"/>
      <c r="AS674" s="488"/>
      <c r="AT674" s="488"/>
      <c r="AU674" s="488"/>
      <c r="AV674" s="521"/>
    </row>
    <row r="675" spans="1:48" s="2" customFormat="1">
      <c r="A675" s="589"/>
      <c r="C675" s="498"/>
      <c r="D675" s="498"/>
      <c r="E675" s="498"/>
      <c r="F675" s="498"/>
      <c r="G675" s="498"/>
      <c r="H675" s="498"/>
      <c r="I675" s="498"/>
      <c r="J675" s="498"/>
      <c r="K675" s="498"/>
      <c r="L675" s="498"/>
      <c r="M675" s="498"/>
      <c r="N675" s="498"/>
      <c r="O675" s="525"/>
      <c r="P675" s="525"/>
      <c r="Q675" s="525"/>
      <c r="R675" s="525"/>
      <c r="S675" s="525"/>
      <c r="T675" s="525"/>
      <c r="U675" s="525"/>
      <c r="V675" s="525"/>
      <c r="W675" s="525"/>
      <c r="X675" s="525"/>
      <c r="Y675" s="525"/>
      <c r="Z675" s="525"/>
      <c r="AA675" s="525"/>
      <c r="AB675" s="525"/>
      <c r="AC675" s="525"/>
      <c r="AD675" s="542"/>
      <c r="AE675" s="498"/>
      <c r="AF675" s="521"/>
      <c r="AG675" s="521"/>
      <c r="AH675" s="488"/>
      <c r="AI675" s="488"/>
      <c r="AJ675" s="488"/>
      <c r="AL675" s="488"/>
      <c r="AM675" s="521"/>
      <c r="AN675" s="521"/>
      <c r="AO675" s="521"/>
      <c r="AP675" s="521"/>
      <c r="AQ675" s="521"/>
      <c r="AR675" s="488"/>
      <c r="AS675" s="488"/>
      <c r="AT675" s="488"/>
      <c r="AU675" s="488"/>
      <c r="AV675" s="521"/>
    </row>
    <row r="676" spans="1:48" s="2" customFormat="1">
      <c r="A676" s="589"/>
      <c r="C676" s="498"/>
      <c r="D676" s="498"/>
      <c r="E676" s="498"/>
      <c r="F676" s="498"/>
      <c r="G676" s="498"/>
      <c r="H676" s="498"/>
      <c r="I676" s="498"/>
      <c r="J676" s="498"/>
      <c r="K676" s="498"/>
      <c r="L676" s="498"/>
      <c r="M676" s="498"/>
      <c r="N676" s="498"/>
      <c r="O676" s="525"/>
      <c r="P676" s="525"/>
      <c r="Q676" s="525"/>
      <c r="R676" s="525"/>
      <c r="S676" s="525"/>
      <c r="T676" s="525"/>
      <c r="U676" s="525"/>
      <c r="V676" s="525"/>
      <c r="W676" s="525"/>
      <c r="X676" s="525"/>
      <c r="Y676" s="525"/>
      <c r="Z676" s="525"/>
      <c r="AA676" s="525"/>
      <c r="AB676" s="525"/>
      <c r="AC676" s="525"/>
      <c r="AD676" s="525"/>
      <c r="AE676" s="498"/>
      <c r="AF676" s="521"/>
      <c r="AG676" s="521"/>
      <c r="AH676" s="488"/>
      <c r="AI676" s="488"/>
      <c r="AJ676" s="488"/>
      <c r="AL676" s="488"/>
      <c r="AM676" s="521"/>
      <c r="AN676" s="521"/>
      <c r="AO676" s="521"/>
      <c r="AP676" s="521"/>
      <c r="AQ676" s="521"/>
      <c r="AR676" s="488"/>
      <c r="AS676" s="488"/>
      <c r="AT676" s="488"/>
      <c r="AU676" s="488"/>
      <c r="AV676" s="521"/>
    </row>
    <row r="677" spans="1:48" s="2" customFormat="1">
      <c r="A677" s="589"/>
      <c r="C677" s="498"/>
      <c r="D677" s="498"/>
      <c r="E677" s="498"/>
      <c r="F677" s="498"/>
      <c r="G677" s="498"/>
      <c r="H677" s="498"/>
      <c r="I677" s="498"/>
      <c r="J677" s="498"/>
      <c r="K677" s="498"/>
      <c r="L677" s="498"/>
      <c r="M677" s="498"/>
      <c r="N677" s="498"/>
      <c r="O677" s="525"/>
      <c r="P677" s="525"/>
      <c r="Q677" s="525"/>
      <c r="R677" s="525"/>
      <c r="S677" s="525"/>
      <c r="T677" s="525"/>
      <c r="U677" s="525"/>
      <c r="V677" s="525"/>
      <c r="W677" s="525"/>
      <c r="X677" s="525"/>
      <c r="Y677" s="525"/>
      <c r="Z677" s="525"/>
      <c r="AA677" s="525"/>
      <c r="AB677" s="525"/>
      <c r="AC677" s="525"/>
      <c r="AD677" s="521"/>
      <c r="AE677" s="525"/>
      <c r="AF677" s="521"/>
      <c r="AG677" s="521"/>
      <c r="AH677" s="488"/>
      <c r="AI677" s="488"/>
      <c r="AJ677" s="488"/>
      <c r="AL677" s="488"/>
      <c r="AM677" s="521"/>
      <c r="AN677" s="521"/>
      <c r="AO677" s="521"/>
      <c r="AP677" s="521"/>
      <c r="AQ677" s="521"/>
      <c r="AR677" s="488"/>
      <c r="AS677" s="488"/>
      <c r="AT677" s="488"/>
      <c r="AU677" s="488"/>
      <c r="AV677" s="521"/>
    </row>
    <row r="678" spans="1:48" s="2" customFormat="1">
      <c r="A678" s="559"/>
      <c r="C678" s="525"/>
      <c r="D678" s="525"/>
      <c r="E678" s="525"/>
      <c r="F678" s="525"/>
      <c r="G678" s="525"/>
      <c r="H678" s="525"/>
      <c r="I678" s="525"/>
      <c r="J678" s="525"/>
      <c r="K678" s="525"/>
      <c r="L678" s="525"/>
      <c r="M678" s="525"/>
      <c r="N678" s="525"/>
      <c r="O678" s="525"/>
      <c r="P678" s="525"/>
      <c r="Q678" s="525"/>
      <c r="R678" s="525"/>
      <c r="S678" s="525"/>
      <c r="T678" s="525"/>
      <c r="U678" s="525"/>
      <c r="V678" s="525"/>
      <c r="W678" s="525"/>
      <c r="X678" s="525"/>
      <c r="Y678" s="525"/>
      <c r="Z678" s="525"/>
      <c r="AA678" s="498"/>
      <c r="AB678" s="606"/>
      <c r="AC678" s="606"/>
      <c r="AD678" s="611"/>
      <c r="AE678" s="606"/>
      <c r="AH678" s="488"/>
      <c r="AV678" s="521"/>
    </row>
    <row r="679" spans="1:48" s="2" customFormat="1">
      <c r="A679" s="559"/>
      <c r="B679" s="558"/>
      <c r="C679" s="525"/>
      <c r="D679" s="525"/>
      <c r="E679" s="525"/>
      <c r="F679" s="525"/>
      <c r="G679" s="525"/>
      <c r="H679" s="525"/>
      <c r="I679" s="525"/>
      <c r="J679" s="525"/>
      <c r="K679" s="525"/>
      <c r="L679" s="525"/>
      <c r="M679" s="525"/>
      <c r="N679" s="525"/>
      <c r="O679" s="525"/>
      <c r="P679" s="525"/>
      <c r="Q679" s="525"/>
      <c r="R679" s="525"/>
      <c r="S679" s="525"/>
      <c r="T679" s="525"/>
      <c r="U679" s="525"/>
      <c r="V679" s="525"/>
      <c r="W679" s="525"/>
      <c r="X679" s="525"/>
      <c r="Y679" s="525"/>
      <c r="Z679" s="525"/>
      <c r="AA679" s="498"/>
      <c r="AB679" s="606"/>
      <c r="AC679" s="606"/>
      <c r="AD679" s="611"/>
      <c r="AE679" s="606"/>
      <c r="AH679" s="488"/>
      <c r="AV679" s="521"/>
    </row>
    <row r="680" spans="1:48" s="2" customFormat="1">
      <c r="A680" s="608"/>
      <c r="C680" s="498"/>
      <c r="D680" s="498"/>
      <c r="E680" s="498"/>
      <c r="F680" s="498"/>
      <c r="G680" s="498"/>
      <c r="H680" s="498"/>
      <c r="I680" s="498"/>
      <c r="J680" s="498"/>
      <c r="K680" s="498"/>
      <c r="L680" s="498"/>
      <c r="M680" s="498"/>
      <c r="N680" s="498"/>
      <c r="O680" s="525"/>
      <c r="P680" s="525"/>
      <c r="Q680" s="525"/>
      <c r="R680" s="525"/>
      <c r="S680" s="525"/>
      <c r="T680" s="525"/>
      <c r="U680" s="525"/>
      <c r="V680" s="525"/>
      <c r="W680" s="525"/>
      <c r="X680" s="525"/>
      <c r="Y680" s="525"/>
      <c r="Z680" s="525"/>
      <c r="AA680" s="498"/>
      <c r="AB680" s="498"/>
      <c r="AC680" s="498"/>
      <c r="AD680" s="525"/>
      <c r="AE680" s="498"/>
      <c r="AG680" s="521"/>
      <c r="AH680" s="521"/>
      <c r="AI680" s="521"/>
      <c r="AJ680" s="488"/>
      <c r="AL680" s="521"/>
      <c r="AM680" s="488"/>
      <c r="AN680" s="488"/>
      <c r="AO680" s="488"/>
      <c r="AP680" s="488"/>
      <c r="AQ680" s="488"/>
      <c r="AR680" s="488"/>
      <c r="AS680" s="488"/>
      <c r="AT680" s="488"/>
      <c r="AU680" s="488"/>
      <c r="AV680" s="521"/>
    </row>
    <row r="681" spans="1:48" s="2" customFormat="1">
      <c r="A681" s="589"/>
      <c r="C681" s="498"/>
      <c r="D681" s="498"/>
      <c r="E681" s="498"/>
      <c r="F681" s="498"/>
      <c r="G681" s="498"/>
      <c r="H681" s="498"/>
      <c r="I681" s="498"/>
      <c r="J681" s="498"/>
      <c r="K681" s="498"/>
      <c r="L681" s="498"/>
      <c r="M681" s="498"/>
      <c r="N681" s="498"/>
      <c r="O681" s="525"/>
      <c r="P681" s="525"/>
      <c r="Q681" s="525"/>
      <c r="R681" s="525"/>
      <c r="S681" s="525"/>
      <c r="T681" s="525"/>
      <c r="U681" s="525"/>
      <c r="V681" s="525"/>
      <c r="W681" s="521"/>
      <c r="X681" s="525"/>
      <c r="Y681" s="525"/>
      <c r="Z681" s="525"/>
      <c r="AA681" s="498"/>
      <c r="AB681" s="498"/>
      <c r="AC681" s="498"/>
      <c r="AD681" s="542"/>
      <c r="AE681" s="498"/>
      <c r="AF681" s="521"/>
      <c r="AG681" s="521"/>
      <c r="AH681" s="521"/>
      <c r="AI681" s="488"/>
      <c r="AJ681" s="488"/>
      <c r="AL681" s="521"/>
      <c r="AM681" s="488"/>
      <c r="AN681" s="488"/>
      <c r="AO681" s="488"/>
      <c r="AP681" s="488"/>
      <c r="AQ681" s="488"/>
      <c r="AR681" s="488"/>
      <c r="AS681" s="488"/>
      <c r="AT681" s="488"/>
      <c r="AU681" s="488"/>
      <c r="AV681" s="521"/>
    </row>
    <row r="682" spans="1:48" s="2" customFormat="1">
      <c r="A682" s="589"/>
      <c r="C682" s="498"/>
      <c r="D682" s="498"/>
      <c r="E682" s="498"/>
      <c r="F682" s="498"/>
      <c r="G682" s="498"/>
      <c r="H682" s="498"/>
      <c r="I682" s="498"/>
      <c r="J682" s="498"/>
      <c r="K682" s="498"/>
      <c r="L682" s="498"/>
      <c r="M682" s="498"/>
      <c r="N682" s="498"/>
      <c r="O682" s="525"/>
      <c r="P682" s="525"/>
      <c r="Q682" s="525"/>
      <c r="R682" s="525"/>
      <c r="S682" s="525"/>
      <c r="T682" s="525"/>
      <c r="U682" s="525"/>
      <c r="V682" s="525"/>
      <c r="W682" s="525"/>
      <c r="X682" s="525"/>
      <c r="Y682" s="525"/>
      <c r="Z682" s="525"/>
      <c r="AA682" s="498"/>
      <c r="AB682" s="498"/>
      <c r="AC682" s="498"/>
      <c r="AD682" s="542"/>
      <c r="AE682" s="498"/>
      <c r="AF682" s="521"/>
      <c r="AG682" s="521"/>
      <c r="AH682" s="521"/>
      <c r="AI682" s="488"/>
      <c r="AJ682" s="488"/>
      <c r="AL682" s="521"/>
      <c r="AM682" s="488"/>
      <c r="AN682" s="488"/>
      <c r="AO682" s="488"/>
      <c r="AP682" s="488"/>
      <c r="AQ682" s="488"/>
      <c r="AR682" s="488"/>
      <c r="AS682" s="488"/>
      <c r="AT682" s="488"/>
      <c r="AU682" s="488"/>
      <c r="AV682" s="521"/>
    </row>
    <row r="683" spans="1:48" s="2" customFormat="1">
      <c r="A683" s="589"/>
      <c r="C683" s="498"/>
      <c r="D683" s="498"/>
      <c r="E683" s="498"/>
      <c r="F683" s="498"/>
      <c r="G683" s="498"/>
      <c r="H683" s="498"/>
      <c r="I683" s="498"/>
      <c r="J683" s="498"/>
      <c r="K683" s="498"/>
      <c r="L683" s="498"/>
      <c r="M683" s="498"/>
      <c r="N683" s="498"/>
      <c r="O683" s="525"/>
      <c r="P683" s="525"/>
      <c r="Q683" s="525"/>
      <c r="R683" s="525"/>
      <c r="S683" s="525"/>
      <c r="T683" s="525"/>
      <c r="U683" s="525"/>
      <c r="V683" s="525"/>
      <c r="W683" s="525"/>
      <c r="X683" s="521"/>
      <c r="Y683" s="525"/>
      <c r="Z683" s="525"/>
      <c r="AA683" s="498"/>
      <c r="AB683" s="498"/>
      <c r="AC683" s="498"/>
      <c r="AD683" s="542"/>
      <c r="AE683" s="498"/>
      <c r="AF683" s="521"/>
      <c r="AG683" s="521"/>
      <c r="AH683" s="521"/>
      <c r="AI683" s="488"/>
      <c r="AJ683" s="488"/>
      <c r="AL683" s="521"/>
      <c r="AM683" s="488"/>
      <c r="AN683" s="488"/>
      <c r="AO683" s="488"/>
      <c r="AP683" s="488"/>
      <c r="AQ683" s="488"/>
      <c r="AR683" s="488"/>
      <c r="AS683" s="488"/>
      <c r="AT683" s="488"/>
      <c r="AU683" s="488"/>
      <c r="AV683" s="521"/>
    </row>
    <row r="684" spans="1:48" s="2" customFormat="1">
      <c r="A684" s="589"/>
      <c r="C684" s="498"/>
      <c r="D684" s="498"/>
      <c r="E684" s="498"/>
      <c r="F684" s="498"/>
      <c r="G684" s="498"/>
      <c r="H684" s="498"/>
      <c r="I684" s="498"/>
      <c r="J684" s="498"/>
      <c r="K684" s="498"/>
      <c r="L684" s="498"/>
      <c r="M684" s="498"/>
      <c r="N684" s="498"/>
      <c r="O684" s="525"/>
      <c r="P684" s="525"/>
      <c r="Q684" s="525"/>
      <c r="R684" s="525"/>
      <c r="S684" s="525"/>
      <c r="T684" s="525"/>
      <c r="U684" s="525"/>
      <c r="V684" s="525"/>
      <c r="W684" s="525"/>
      <c r="X684" s="525"/>
      <c r="Y684" s="525"/>
      <c r="Z684" s="525"/>
      <c r="AA684" s="498"/>
      <c r="AB684" s="498"/>
      <c r="AC684" s="498"/>
      <c r="AD684" s="525"/>
      <c r="AE684" s="498"/>
      <c r="AF684" s="521"/>
      <c r="AG684" s="521"/>
      <c r="AH684" s="521"/>
      <c r="AI684" s="488"/>
      <c r="AJ684" s="488"/>
      <c r="AL684" s="521"/>
      <c r="AM684" s="488"/>
      <c r="AN684" s="488"/>
      <c r="AO684" s="488"/>
      <c r="AP684" s="488"/>
      <c r="AQ684" s="488"/>
      <c r="AR684" s="488"/>
      <c r="AS684" s="488"/>
      <c r="AT684" s="488"/>
      <c r="AU684" s="488"/>
      <c r="AV684" s="521"/>
    </row>
    <row r="685" spans="1:48" s="2" customFormat="1">
      <c r="A685" s="589"/>
      <c r="C685" s="498"/>
      <c r="D685" s="498"/>
      <c r="E685" s="498"/>
      <c r="F685" s="498"/>
      <c r="G685" s="498"/>
      <c r="H685" s="498"/>
      <c r="I685" s="498"/>
      <c r="J685" s="498"/>
      <c r="K685" s="498"/>
      <c r="L685" s="498"/>
      <c r="M685" s="498"/>
      <c r="N685" s="498"/>
      <c r="O685" s="525"/>
      <c r="P685" s="525"/>
      <c r="Q685" s="525"/>
      <c r="R685" s="525"/>
      <c r="S685" s="525"/>
      <c r="T685" s="525"/>
      <c r="U685" s="525"/>
      <c r="V685" s="525"/>
      <c r="W685" s="525"/>
      <c r="X685" s="525"/>
      <c r="Y685" s="525"/>
      <c r="Z685" s="525"/>
      <c r="AA685" s="498"/>
      <c r="AB685" s="498"/>
      <c r="AC685" s="498"/>
      <c r="AD685" s="542"/>
      <c r="AE685" s="498"/>
      <c r="AF685" s="521"/>
      <c r="AG685" s="521"/>
      <c r="AH685" s="521"/>
      <c r="AI685" s="488"/>
      <c r="AJ685" s="488"/>
      <c r="AL685" s="521"/>
      <c r="AM685" s="488"/>
      <c r="AN685" s="488"/>
      <c r="AO685" s="488"/>
      <c r="AP685" s="488"/>
      <c r="AQ685" s="488"/>
      <c r="AR685" s="488"/>
      <c r="AS685" s="488"/>
      <c r="AT685" s="488"/>
      <c r="AU685" s="488"/>
      <c r="AV685" s="521"/>
    </row>
    <row r="686" spans="1:48" s="2" customFormat="1">
      <c r="A686" s="589"/>
      <c r="C686" s="498"/>
      <c r="D686" s="498"/>
      <c r="E686" s="498"/>
      <c r="F686" s="498"/>
      <c r="G686" s="498"/>
      <c r="H686" s="498"/>
      <c r="I686" s="498"/>
      <c r="J686" s="498"/>
      <c r="K686" s="498"/>
      <c r="L686" s="498"/>
      <c r="M686" s="498"/>
      <c r="N686" s="498"/>
      <c r="O686" s="525"/>
      <c r="P686" s="525"/>
      <c r="Q686" s="525"/>
      <c r="R686" s="525"/>
      <c r="S686" s="525"/>
      <c r="T686" s="525"/>
      <c r="U686" s="525"/>
      <c r="V686" s="525"/>
      <c r="W686" s="525"/>
      <c r="X686" s="525"/>
      <c r="Y686" s="525"/>
      <c r="Z686" s="525"/>
      <c r="AA686" s="498"/>
      <c r="AB686" s="498"/>
      <c r="AC686" s="498"/>
      <c r="AD686" s="542"/>
      <c r="AE686" s="498"/>
      <c r="AF686" s="521"/>
      <c r="AG686" s="521"/>
      <c r="AH686" s="521"/>
      <c r="AI686" s="488"/>
      <c r="AJ686" s="488"/>
      <c r="AL686" s="521"/>
      <c r="AM686" s="488"/>
      <c r="AN686" s="488"/>
      <c r="AO686" s="488"/>
      <c r="AP686" s="488"/>
      <c r="AQ686" s="488"/>
      <c r="AR686" s="488"/>
      <c r="AS686" s="488"/>
      <c r="AT686" s="488"/>
      <c r="AU686" s="488"/>
      <c r="AV686" s="521"/>
    </row>
    <row r="687" spans="1:48" s="2" customFormat="1" ht="14.25" customHeight="1">
      <c r="A687" s="589"/>
      <c r="C687" s="498"/>
      <c r="D687" s="498"/>
      <c r="E687" s="498"/>
      <c r="F687" s="498"/>
      <c r="G687" s="498"/>
      <c r="H687" s="498"/>
      <c r="I687" s="498"/>
      <c r="J687" s="498"/>
      <c r="K687" s="498"/>
      <c r="L687" s="498"/>
      <c r="M687" s="498"/>
      <c r="N687" s="498"/>
      <c r="O687" s="525"/>
      <c r="P687" s="525"/>
      <c r="Q687" s="525"/>
      <c r="R687" s="525"/>
      <c r="S687" s="525"/>
      <c r="T687" s="525"/>
      <c r="U687" s="525"/>
      <c r="V687" s="525"/>
      <c r="W687" s="525"/>
      <c r="X687" s="521"/>
      <c r="Y687" s="525"/>
      <c r="Z687" s="521"/>
      <c r="AA687" s="498"/>
      <c r="AB687" s="498"/>
      <c r="AC687" s="498"/>
      <c r="AD687" s="542"/>
      <c r="AE687" s="498"/>
      <c r="AF687" s="521"/>
      <c r="AG687" s="521"/>
      <c r="AH687" s="521"/>
      <c r="AI687" s="488"/>
      <c r="AJ687" s="488"/>
      <c r="AL687" s="521"/>
      <c r="AM687" s="488"/>
      <c r="AN687" s="488"/>
      <c r="AO687" s="488"/>
      <c r="AP687" s="488"/>
      <c r="AQ687" s="488"/>
      <c r="AR687" s="488"/>
      <c r="AS687" s="488"/>
      <c r="AT687" s="488"/>
      <c r="AU687" s="488"/>
      <c r="AV687" s="521"/>
    </row>
    <row r="688" spans="1:48" s="2" customFormat="1">
      <c r="A688" s="589"/>
      <c r="C688" s="498"/>
      <c r="D688" s="498"/>
      <c r="E688" s="498"/>
      <c r="F688" s="498"/>
      <c r="G688" s="498"/>
      <c r="H688" s="498"/>
      <c r="I688" s="498"/>
      <c r="J688" s="498"/>
      <c r="K688" s="498"/>
      <c r="L688" s="498"/>
      <c r="M688" s="498"/>
      <c r="N688" s="498"/>
      <c r="O688" s="498"/>
      <c r="P688" s="525"/>
      <c r="Q688" s="498"/>
      <c r="R688" s="498"/>
      <c r="S688" s="498"/>
      <c r="T688" s="498"/>
      <c r="U688" s="498"/>
      <c r="V688" s="525"/>
      <c r="W688" s="525"/>
      <c r="X688" s="525"/>
      <c r="Y688" s="525"/>
      <c r="Z688" s="525"/>
      <c r="AA688" s="498"/>
      <c r="AB688" s="606"/>
      <c r="AC688" s="606"/>
      <c r="AD688" s="542"/>
      <c r="AE688" s="498"/>
      <c r="AF688" s="521"/>
      <c r="AG688" s="521"/>
      <c r="AH688" s="521"/>
      <c r="AI688" s="488"/>
      <c r="AJ688" s="488"/>
      <c r="AL688" s="521"/>
      <c r="AM688" s="488"/>
      <c r="AN688" s="488"/>
      <c r="AO688" s="488"/>
      <c r="AP688" s="488"/>
      <c r="AQ688" s="488"/>
      <c r="AR688" s="488"/>
      <c r="AS688" s="488"/>
      <c r="AT688" s="488"/>
      <c r="AU688" s="488"/>
      <c r="AV688" s="521"/>
    </row>
    <row r="689" spans="1:48" s="2" customFormat="1">
      <c r="A689" s="597"/>
      <c r="B689" s="558"/>
      <c r="C689" s="144"/>
      <c r="D689" s="525"/>
      <c r="E689" s="525"/>
      <c r="F689" s="525"/>
      <c r="G689" s="525"/>
      <c r="H689" s="525"/>
      <c r="I689" s="525"/>
      <c r="J689" s="525"/>
      <c r="K689" s="525"/>
      <c r="L689" s="525"/>
      <c r="M689" s="144"/>
      <c r="N689" s="525"/>
      <c r="O689" s="144"/>
      <c r="P689" s="144"/>
      <c r="Q689" s="144"/>
      <c r="R689" s="144"/>
      <c r="S689" s="525"/>
      <c r="T689" s="144"/>
      <c r="U689" s="525"/>
      <c r="V689" s="525"/>
      <c r="W689" s="525"/>
      <c r="Z689" s="525"/>
      <c r="AD689" s="620"/>
      <c r="AE689" s="606"/>
      <c r="AV689" s="521"/>
    </row>
    <row r="690" spans="1:48" s="2" customFormat="1">
      <c r="A690" s="608"/>
      <c r="C690" s="525"/>
      <c r="D690" s="498"/>
      <c r="E690" s="498"/>
      <c r="F690" s="498"/>
      <c r="G690" s="498"/>
      <c r="H690" s="498"/>
      <c r="I690" s="498"/>
      <c r="J690" s="498"/>
      <c r="K690" s="498"/>
      <c r="L690" s="498"/>
      <c r="M690" s="525"/>
      <c r="N690" s="498"/>
      <c r="O690" s="525"/>
      <c r="P690" s="525"/>
      <c r="Q690" s="525"/>
      <c r="R690" s="525"/>
      <c r="S690" s="525"/>
      <c r="T690" s="525"/>
      <c r="U690" s="525"/>
      <c r="V690" s="525"/>
      <c r="W690" s="525"/>
      <c r="X690" s="525"/>
      <c r="Y690" s="525"/>
      <c r="Z690" s="525"/>
      <c r="AA690" s="525"/>
      <c r="AB690" s="606"/>
      <c r="AC690" s="525"/>
      <c r="AD690" s="525"/>
      <c r="AE690" s="525"/>
      <c r="AF690" s="525"/>
      <c r="AG690" s="525"/>
      <c r="AH690" s="521"/>
      <c r="AI690" s="521"/>
      <c r="AJ690" s="488"/>
      <c r="AK690" s="488"/>
      <c r="AL690" s="488"/>
      <c r="AM690" s="488"/>
      <c r="AN690" s="488"/>
      <c r="AO690" s="488"/>
      <c r="AP690" s="488"/>
      <c r="AQ690" s="488"/>
      <c r="AR690" s="488"/>
      <c r="AS690" s="488"/>
      <c r="AT690" s="488"/>
      <c r="AV690" s="521"/>
    </row>
    <row r="691" spans="1:48" s="2" customFormat="1">
      <c r="A691" s="589"/>
      <c r="C691" s="498"/>
      <c r="D691" s="498"/>
      <c r="E691" s="498"/>
      <c r="F691" s="498"/>
      <c r="G691" s="498"/>
      <c r="H691" s="498"/>
      <c r="I691" s="498"/>
      <c r="J691" s="498"/>
      <c r="K691" s="498"/>
      <c r="L691" s="498"/>
      <c r="M691" s="498"/>
      <c r="N691" s="498"/>
      <c r="O691" s="525"/>
      <c r="P691" s="525"/>
      <c r="Q691" s="525"/>
      <c r="R691" s="525"/>
      <c r="S691" s="525"/>
      <c r="T691" s="525"/>
      <c r="U691" s="525"/>
      <c r="V691" s="525"/>
      <c r="W691" s="521"/>
      <c r="X691" s="525"/>
      <c r="Y691" s="525"/>
      <c r="Z691" s="525"/>
      <c r="AA691" s="525"/>
      <c r="AB691" s="607"/>
      <c r="AC691" s="525"/>
      <c r="AD691" s="542"/>
      <c r="AE691" s="525"/>
      <c r="AF691" s="525"/>
      <c r="AG691" s="525"/>
      <c r="AH691" s="521"/>
      <c r="AI691" s="521"/>
      <c r="AJ691" s="488"/>
      <c r="AK691" s="488"/>
      <c r="AL691" s="488"/>
      <c r="AM691" s="488"/>
      <c r="AN691" s="488"/>
      <c r="AO691" s="488"/>
      <c r="AP691" s="488"/>
      <c r="AQ691" s="488"/>
      <c r="AR691" s="488"/>
      <c r="AS691" s="488"/>
      <c r="AT691" s="488"/>
      <c r="AU691" s="521"/>
      <c r="AV691" s="521"/>
    </row>
    <row r="692" spans="1:48" s="2" customFormat="1">
      <c r="A692" s="589"/>
      <c r="C692" s="498"/>
      <c r="D692" s="498"/>
      <c r="E692" s="498"/>
      <c r="F692" s="498"/>
      <c r="G692" s="498"/>
      <c r="H692" s="498"/>
      <c r="I692" s="498"/>
      <c r="J692" s="498"/>
      <c r="K692" s="498"/>
      <c r="L692" s="498"/>
      <c r="M692" s="498"/>
      <c r="N692" s="498"/>
      <c r="O692" s="525"/>
      <c r="P692" s="525"/>
      <c r="Q692" s="525"/>
      <c r="R692" s="525"/>
      <c r="S692" s="525"/>
      <c r="T692" s="525"/>
      <c r="U692" s="525"/>
      <c r="V692" s="525"/>
      <c r="W692" s="525"/>
      <c r="X692" s="525"/>
      <c r="Y692" s="525"/>
      <c r="Z692" s="525"/>
      <c r="AA692" s="525"/>
      <c r="AB692" s="606"/>
      <c r="AC692" s="525"/>
      <c r="AD692" s="542"/>
      <c r="AE692" s="525"/>
      <c r="AF692" s="525"/>
      <c r="AG692" s="525"/>
      <c r="AH692" s="521"/>
      <c r="AI692" s="521"/>
      <c r="AJ692" s="488"/>
      <c r="AK692" s="488"/>
      <c r="AL692" s="488"/>
      <c r="AM692" s="488"/>
      <c r="AN692" s="488"/>
      <c r="AO692" s="488"/>
      <c r="AP692" s="488"/>
      <c r="AQ692" s="488"/>
      <c r="AR692" s="488"/>
      <c r="AS692" s="488"/>
      <c r="AT692" s="488"/>
      <c r="AU692" s="521"/>
      <c r="AV692" s="521"/>
    </row>
    <row r="693" spans="1:48" s="2" customFormat="1">
      <c r="A693" s="589"/>
      <c r="C693" s="498"/>
      <c r="D693" s="498"/>
      <c r="E693" s="498"/>
      <c r="F693" s="498"/>
      <c r="G693" s="498"/>
      <c r="H693" s="498"/>
      <c r="I693" s="498"/>
      <c r="J693" s="498"/>
      <c r="K693" s="498"/>
      <c r="L693" s="498"/>
      <c r="M693" s="498"/>
      <c r="N693" s="498"/>
      <c r="O693" s="521"/>
      <c r="P693" s="525"/>
      <c r="Q693" s="525"/>
      <c r="R693" s="525"/>
      <c r="S693" s="525"/>
      <c r="T693" s="525"/>
      <c r="U693" s="525"/>
      <c r="V693" s="525"/>
      <c r="W693" s="525"/>
      <c r="X693" s="525"/>
      <c r="Y693" s="525"/>
      <c r="Z693" s="525"/>
      <c r="AA693" s="525"/>
      <c r="AB693" s="607"/>
      <c r="AC693" s="525"/>
      <c r="AD693" s="542"/>
      <c r="AE693" s="525"/>
      <c r="AF693" s="525"/>
      <c r="AG693" s="525"/>
      <c r="AH693" s="521"/>
      <c r="AI693" s="521"/>
      <c r="AJ693" s="488"/>
      <c r="AK693" s="488"/>
      <c r="AL693" s="488"/>
      <c r="AM693" s="488"/>
      <c r="AN693" s="488"/>
      <c r="AO693" s="488"/>
      <c r="AP693" s="488"/>
      <c r="AQ693" s="488"/>
      <c r="AR693" s="488"/>
      <c r="AS693" s="488"/>
      <c r="AT693" s="488"/>
      <c r="AU693" s="521"/>
      <c r="AV693" s="521"/>
    </row>
    <row r="694" spans="1:48" s="2" customFormat="1">
      <c r="A694" s="589"/>
      <c r="C694" s="498"/>
      <c r="D694" s="498"/>
      <c r="E694" s="498"/>
      <c r="F694" s="498"/>
      <c r="G694" s="498"/>
      <c r="H694" s="498"/>
      <c r="I694" s="498"/>
      <c r="J694" s="498"/>
      <c r="K694" s="498"/>
      <c r="L694" s="498"/>
      <c r="M694" s="498"/>
      <c r="N694" s="498"/>
      <c r="O694" s="525"/>
      <c r="P694" s="521"/>
      <c r="Q694" s="525"/>
      <c r="R694" s="525"/>
      <c r="S694" s="525"/>
      <c r="T694" s="521"/>
      <c r="U694" s="525"/>
      <c r="V694" s="525"/>
      <c r="W694" s="525"/>
      <c r="X694" s="525"/>
      <c r="Y694" s="525"/>
      <c r="Z694" s="525"/>
      <c r="AA694" s="525"/>
      <c r="AB694" s="607"/>
      <c r="AC694" s="525"/>
      <c r="AD694" s="542"/>
      <c r="AE694" s="525"/>
      <c r="AF694" s="525"/>
      <c r="AG694" s="525"/>
      <c r="AH694" s="521"/>
      <c r="AI694" s="521"/>
      <c r="AJ694" s="488"/>
      <c r="AK694" s="488"/>
      <c r="AL694" s="488"/>
      <c r="AM694" s="488"/>
      <c r="AN694" s="488"/>
      <c r="AO694" s="488"/>
      <c r="AP694" s="488"/>
      <c r="AQ694" s="488"/>
      <c r="AR694" s="488"/>
      <c r="AS694" s="488"/>
      <c r="AT694" s="488"/>
      <c r="AU694" s="521"/>
      <c r="AV694" s="521"/>
    </row>
    <row r="695" spans="1:48" s="2" customFormat="1">
      <c r="A695" s="589"/>
      <c r="C695" s="498"/>
      <c r="D695" s="498"/>
      <c r="E695" s="498"/>
      <c r="F695" s="498"/>
      <c r="G695" s="498"/>
      <c r="H695" s="498"/>
      <c r="I695" s="498"/>
      <c r="J695" s="498"/>
      <c r="K695" s="498"/>
      <c r="L695" s="498"/>
      <c r="M695" s="498"/>
      <c r="N695" s="498"/>
      <c r="O695" s="525"/>
      <c r="P695" s="525"/>
      <c r="Q695" s="525"/>
      <c r="R695" s="525"/>
      <c r="S695" s="525"/>
      <c r="T695" s="525"/>
      <c r="U695" s="525"/>
      <c r="V695" s="525"/>
      <c r="W695" s="525"/>
      <c r="X695" s="525"/>
      <c r="Y695" s="525"/>
      <c r="Z695" s="525"/>
      <c r="AA695" s="525"/>
      <c r="AB695" s="521"/>
      <c r="AC695" s="525"/>
      <c r="AD695" s="542"/>
      <c r="AE695" s="525"/>
      <c r="AF695" s="525"/>
      <c r="AG695" s="525"/>
      <c r="AH695" s="521"/>
      <c r="AI695" s="521"/>
      <c r="AJ695" s="488"/>
      <c r="AK695" s="488"/>
      <c r="AL695" s="488"/>
      <c r="AM695" s="488"/>
      <c r="AN695" s="488"/>
      <c r="AO695" s="488"/>
      <c r="AP695" s="488"/>
      <c r="AQ695" s="488"/>
      <c r="AR695" s="488"/>
      <c r="AS695" s="488"/>
      <c r="AT695" s="488"/>
      <c r="AU695" s="521"/>
      <c r="AV695" s="521"/>
    </row>
    <row r="696" spans="1:48" s="2" customFormat="1">
      <c r="A696" s="589"/>
      <c r="C696" s="498"/>
      <c r="D696" s="498"/>
      <c r="E696" s="498"/>
      <c r="F696" s="498"/>
      <c r="G696" s="498"/>
      <c r="H696" s="498"/>
      <c r="I696" s="498"/>
      <c r="J696" s="498"/>
      <c r="K696" s="498"/>
      <c r="L696" s="498"/>
      <c r="M696" s="498"/>
      <c r="N696" s="498"/>
      <c r="O696" s="525"/>
      <c r="P696" s="525"/>
      <c r="Q696" s="525"/>
      <c r="R696" s="525"/>
      <c r="S696" s="525"/>
      <c r="T696" s="525"/>
      <c r="U696" s="525"/>
      <c r="V696" s="525"/>
      <c r="W696" s="525"/>
      <c r="X696" s="525"/>
      <c r="Y696" s="525"/>
      <c r="Z696" s="525"/>
      <c r="AA696" s="521"/>
      <c r="AB696" s="607"/>
      <c r="AC696" s="525"/>
      <c r="AD696" s="525"/>
      <c r="AE696" s="525"/>
      <c r="AF696" s="525"/>
      <c r="AG696" s="525"/>
      <c r="AH696" s="521"/>
      <c r="AI696" s="521"/>
      <c r="AJ696" s="488"/>
      <c r="AK696" s="488"/>
      <c r="AL696" s="488"/>
      <c r="AM696" s="488"/>
      <c r="AN696" s="488"/>
      <c r="AO696" s="488"/>
      <c r="AP696" s="488"/>
      <c r="AQ696" s="488"/>
      <c r="AR696" s="488"/>
      <c r="AS696" s="488"/>
      <c r="AT696" s="488"/>
      <c r="AU696" s="521"/>
      <c r="AV696" s="521"/>
    </row>
    <row r="697" spans="1:48" s="2" customFormat="1">
      <c r="A697" s="589"/>
      <c r="C697" s="498"/>
      <c r="D697" s="498"/>
      <c r="E697" s="498"/>
      <c r="F697" s="498"/>
      <c r="G697" s="498"/>
      <c r="H697" s="498"/>
      <c r="I697" s="498"/>
      <c r="J697" s="498"/>
      <c r="K697" s="498"/>
      <c r="L697" s="498"/>
      <c r="M697" s="498"/>
      <c r="N697" s="498"/>
      <c r="O697" s="498"/>
      <c r="P697" s="498"/>
      <c r="Q697" s="498"/>
      <c r="R697" s="498"/>
      <c r="S697" s="525"/>
      <c r="T697" s="525"/>
      <c r="U697" s="498"/>
      <c r="V697" s="498"/>
      <c r="W697" s="498"/>
      <c r="X697" s="498"/>
      <c r="Y697" s="498"/>
      <c r="Z697" s="498"/>
      <c r="AA697" s="525"/>
      <c r="AB697" s="607"/>
      <c r="AC697" s="498"/>
      <c r="AD697" s="525"/>
      <c r="AE697" s="525"/>
      <c r="AF697" s="525"/>
      <c r="AG697" s="525"/>
      <c r="AH697" s="521"/>
      <c r="AI697" s="521"/>
      <c r="AJ697" s="488"/>
      <c r="AK697" s="488"/>
      <c r="AL697" s="488"/>
      <c r="AM697" s="488"/>
      <c r="AN697" s="488"/>
      <c r="AO697" s="488"/>
      <c r="AP697" s="488"/>
      <c r="AQ697" s="488"/>
      <c r="AR697" s="488"/>
      <c r="AS697" s="488"/>
      <c r="AT697" s="488"/>
      <c r="AU697" s="521"/>
      <c r="AV697" s="521"/>
    </row>
    <row r="698" spans="1:48" s="606" customFormat="1" ht="18" customHeight="1">
      <c r="A698" s="589"/>
      <c r="B698" s="2"/>
      <c r="C698" s="498"/>
      <c r="D698" s="498"/>
      <c r="E698" s="498"/>
      <c r="F698" s="498"/>
      <c r="G698" s="498"/>
      <c r="H698" s="498"/>
      <c r="I698" s="498"/>
      <c r="J698" s="498"/>
      <c r="K698" s="498"/>
      <c r="L698" s="498"/>
      <c r="M698" s="498"/>
      <c r="N698" s="498"/>
      <c r="O698" s="525"/>
      <c r="P698" s="525"/>
      <c r="Q698" s="525"/>
      <c r="R698" s="525"/>
      <c r="S698" s="525"/>
      <c r="T698" s="525"/>
      <c r="U698" s="525"/>
      <c r="V698" s="525"/>
      <c r="W698" s="525"/>
      <c r="X698" s="525"/>
      <c r="Y698" s="525"/>
      <c r="Z698" s="525"/>
      <c r="AA698" s="525"/>
      <c r="AB698" s="607"/>
      <c r="AC698" s="525"/>
      <c r="AD698" s="542"/>
      <c r="AE698" s="525"/>
      <c r="AF698" s="525"/>
      <c r="AG698" s="525"/>
      <c r="AH698" s="521"/>
      <c r="AI698" s="521"/>
      <c r="AJ698" s="488"/>
      <c r="AK698" s="488"/>
      <c r="AL698" s="488"/>
      <c r="AM698" s="488"/>
      <c r="AN698" s="488"/>
      <c r="AO698" s="488"/>
      <c r="AP698" s="488"/>
      <c r="AQ698" s="488"/>
      <c r="AR698" s="488"/>
      <c r="AS698" s="488"/>
      <c r="AT698" s="488"/>
      <c r="AU698" s="521"/>
      <c r="AV698" s="607"/>
    </row>
    <row r="699" spans="1:48" s="606" customFormat="1" ht="43.5" customHeight="1">
      <c r="A699" s="568"/>
      <c r="B699" s="568"/>
      <c r="C699" s="568"/>
      <c r="D699" s="568"/>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568"/>
      <c r="AD699" s="568"/>
      <c r="AE699" s="568"/>
      <c r="AQ699" s="2"/>
    </row>
    <row r="700" spans="1:48" s="2" customFormat="1" ht="39.75" customHeight="1">
      <c r="A700" s="577"/>
      <c r="B700" s="578"/>
      <c r="C700" s="578"/>
      <c r="D700" s="578"/>
      <c r="E700" s="578"/>
      <c r="F700" s="578"/>
      <c r="G700" s="578"/>
      <c r="H700" s="578"/>
      <c r="I700" s="578"/>
      <c r="J700" s="578"/>
      <c r="K700" s="578"/>
      <c r="L700" s="578"/>
      <c r="M700" s="578"/>
      <c r="N700" s="578"/>
      <c r="O700" s="578"/>
      <c r="P700" s="578"/>
      <c r="Q700" s="578"/>
      <c r="R700" s="578"/>
      <c r="S700" s="578"/>
      <c r="T700" s="578"/>
      <c r="U700" s="578"/>
      <c r="V700" s="578"/>
      <c r="W700" s="578"/>
      <c r="X700" s="578"/>
      <c r="Y700" s="578"/>
      <c r="Z700" s="578"/>
      <c r="AA700" s="578"/>
      <c r="AB700" s="578"/>
      <c r="AC700" s="578"/>
      <c r="AD700" s="578"/>
      <c r="AE700" s="578"/>
      <c r="AF700" s="578"/>
      <c r="AG700" s="578"/>
      <c r="AH700" s="580"/>
      <c r="AI700" s="580"/>
      <c r="AJ700" s="580"/>
      <c r="AK700" s="580"/>
      <c r="AL700" s="580"/>
      <c r="AM700" s="580"/>
      <c r="AN700" s="580"/>
      <c r="AO700" s="580"/>
      <c r="AP700" s="580"/>
      <c r="AQ700" s="580"/>
      <c r="AR700" s="580"/>
      <c r="AS700" s="580"/>
      <c r="AT700" s="580"/>
      <c r="AU700" s="580"/>
      <c r="AV700" s="580"/>
    </row>
    <row r="701" spans="1:48" s="2" customFormat="1">
      <c r="A701" s="559"/>
      <c r="B701" s="621"/>
      <c r="C701" s="498"/>
      <c r="D701" s="498"/>
      <c r="E701" s="498"/>
      <c r="F701" s="498"/>
      <c r="G701" s="498"/>
      <c r="H701" s="498"/>
      <c r="I701" s="498"/>
      <c r="J701" s="498"/>
      <c r="K701" s="498"/>
      <c r="L701" s="498"/>
      <c r="M701" s="498"/>
      <c r="N701" s="498"/>
      <c r="O701" s="498"/>
      <c r="P701" s="498"/>
      <c r="Q701" s="498"/>
      <c r="R701" s="498"/>
      <c r="S701" s="498"/>
      <c r="T701" s="498"/>
      <c r="U701" s="498"/>
      <c r="V701" s="498"/>
      <c r="W701" s="498"/>
      <c r="X701" s="498"/>
      <c r="Y701" s="498"/>
      <c r="Z701" s="498"/>
      <c r="AA701" s="498"/>
      <c r="AB701" s="512"/>
      <c r="AC701" s="512"/>
      <c r="AF701" s="233"/>
      <c r="AG701" s="512"/>
      <c r="AH701" s="512"/>
    </row>
    <row r="702" spans="1:48" s="2" customFormat="1" ht="15.75" customHeight="1">
      <c r="A702" s="608"/>
      <c r="C702" s="498"/>
      <c r="D702" s="498"/>
      <c r="E702" s="498"/>
      <c r="F702" s="498"/>
      <c r="G702" s="498"/>
      <c r="H702" s="498"/>
      <c r="I702" s="498"/>
      <c r="J702" s="498"/>
      <c r="K702" s="498"/>
      <c r="L702" s="498"/>
      <c r="M702" s="498"/>
      <c r="N702" s="498"/>
      <c r="O702" s="498"/>
      <c r="P702" s="498"/>
      <c r="Q702" s="498"/>
      <c r="R702" s="498"/>
      <c r="S702" s="498"/>
      <c r="T702" s="498"/>
      <c r="U702" s="498"/>
      <c r="V702" s="498"/>
      <c r="W702" s="498"/>
      <c r="X702" s="498"/>
      <c r="Y702" s="498"/>
      <c r="Z702" s="498"/>
      <c r="AA702" s="498"/>
      <c r="AB702" s="233"/>
      <c r="AC702" s="543"/>
      <c r="AD702" s="543"/>
      <c r="AE702" s="498"/>
      <c r="AF702" s="573"/>
      <c r="AG702" s="573"/>
      <c r="AH702" s="573"/>
      <c r="AI702" s="581"/>
      <c r="AJ702" s="498"/>
      <c r="AK702" s="509"/>
      <c r="AL702" s="498"/>
      <c r="AO702" s="233"/>
      <c r="AP702" s="233"/>
      <c r="AR702" s="613"/>
      <c r="AS702" s="613"/>
      <c r="AT702" s="233"/>
      <c r="AU702" s="498"/>
    </row>
    <row r="703" spans="1:48" s="2" customFormat="1" ht="15.75" customHeight="1">
      <c r="A703" s="589"/>
      <c r="C703" s="525"/>
      <c r="D703" s="525"/>
      <c r="E703" s="525"/>
      <c r="F703" s="525"/>
      <c r="G703" s="525"/>
      <c r="H703" s="525"/>
      <c r="I703" s="525"/>
      <c r="J703" s="525"/>
      <c r="K703" s="525"/>
      <c r="L703" s="525"/>
      <c r="M703" s="525"/>
      <c r="N703" s="525"/>
      <c r="O703" s="525"/>
      <c r="P703" s="525"/>
      <c r="Q703" s="525"/>
      <c r="R703" s="525"/>
      <c r="S703" s="525"/>
      <c r="T703" s="525"/>
      <c r="U703" s="525"/>
      <c r="V703" s="525"/>
      <c r="W703" s="525"/>
      <c r="X703" s="498"/>
      <c r="Y703" s="498"/>
      <c r="Z703" s="498"/>
      <c r="AA703" s="498"/>
      <c r="AB703" s="233"/>
      <c r="AC703" s="543"/>
      <c r="AD703" s="543"/>
      <c r="AE703" s="622"/>
      <c r="AF703" s="573"/>
      <c r="AG703" s="573"/>
      <c r="AH703" s="573"/>
      <c r="AI703" s="581"/>
      <c r="AJ703" s="498"/>
      <c r="AK703" s="509"/>
      <c r="AL703" s="509"/>
      <c r="AO703" s="233"/>
      <c r="AP703" s="233"/>
      <c r="AR703" s="613"/>
      <c r="AS703" s="613"/>
      <c r="AT703" s="233"/>
      <c r="AU703" s="233"/>
    </row>
    <row r="704" spans="1:48" s="2" customFormat="1" ht="15.75" customHeight="1">
      <c r="A704" s="589"/>
      <c r="C704" s="525"/>
      <c r="D704" s="525"/>
      <c r="E704" s="525"/>
      <c r="F704" s="525"/>
      <c r="G704" s="525"/>
      <c r="H704" s="525"/>
      <c r="I704" s="525"/>
      <c r="J704" s="525"/>
      <c r="K704" s="525"/>
      <c r="L704" s="525"/>
      <c r="M704" s="525"/>
      <c r="N704" s="525"/>
      <c r="O704" s="525"/>
      <c r="P704" s="525"/>
      <c r="Q704" s="525"/>
      <c r="R704" s="525"/>
      <c r="S704" s="525"/>
      <c r="T704" s="525"/>
      <c r="U704" s="525"/>
      <c r="V704" s="525"/>
      <c r="W704" s="525"/>
      <c r="X704" s="498"/>
      <c r="Y704" s="498"/>
      <c r="Z704" s="498"/>
      <c r="AA704" s="498"/>
      <c r="AB704" s="233"/>
      <c r="AC704" s="543"/>
      <c r="AD704" s="543"/>
      <c r="AE704" s="622"/>
      <c r="AF704" s="573"/>
      <c r="AG704" s="573"/>
      <c r="AH704" s="573"/>
      <c r="AI704" s="581"/>
      <c r="AJ704" s="498"/>
      <c r="AK704" s="614"/>
      <c r="AL704" s="614"/>
      <c r="AO704" s="233"/>
      <c r="AP704" s="233"/>
      <c r="AR704" s="613"/>
      <c r="AS704" s="613"/>
      <c r="AT704" s="233"/>
      <c r="AU704" s="233"/>
    </row>
    <row r="705" spans="1:48" s="2" customFormat="1" ht="12.75" customHeight="1">
      <c r="A705" s="589"/>
      <c r="C705" s="525"/>
      <c r="D705" s="525"/>
      <c r="E705" s="525"/>
      <c r="F705" s="525"/>
      <c r="G705" s="525"/>
      <c r="H705" s="525"/>
      <c r="I705" s="525"/>
      <c r="J705" s="525"/>
      <c r="K705" s="525"/>
      <c r="L705" s="525"/>
      <c r="M705" s="525"/>
      <c r="N705" s="525"/>
      <c r="O705" s="525"/>
      <c r="P705" s="525"/>
      <c r="Q705" s="525"/>
      <c r="R705" s="525"/>
      <c r="S705" s="525"/>
      <c r="T705" s="525"/>
      <c r="U705" s="525"/>
      <c r="V705" s="525"/>
      <c r="W705" s="525"/>
      <c r="X705" s="498"/>
      <c r="Y705" s="498"/>
      <c r="Z705" s="498"/>
      <c r="AA705" s="498"/>
      <c r="AB705" s="233"/>
      <c r="AC705" s="543"/>
      <c r="AD705" s="543"/>
      <c r="AE705" s="622"/>
      <c r="AF705" s="573"/>
      <c r="AG705" s="573"/>
      <c r="AH705" s="573"/>
      <c r="AI705" s="581"/>
      <c r="AJ705" s="498"/>
      <c r="AK705" s="614"/>
      <c r="AL705" s="614"/>
      <c r="AO705" s="233"/>
      <c r="AP705" s="233"/>
      <c r="AR705" s="613"/>
      <c r="AS705" s="613"/>
      <c r="AT705" s="233"/>
      <c r="AU705" s="233"/>
    </row>
    <row r="706" spans="1:48" s="2" customFormat="1" ht="15" customHeight="1">
      <c r="A706" s="589"/>
      <c r="C706" s="525"/>
      <c r="D706" s="525"/>
      <c r="E706" s="525"/>
      <c r="F706" s="525"/>
      <c r="G706" s="525"/>
      <c r="H706" s="525"/>
      <c r="I706" s="525"/>
      <c r="J706" s="525"/>
      <c r="K706" s="525"/>
      <c r="L706" s="525"/>
      <c r="M706" s="525"/>
      <c r="N706" s="525"/>
      <c r="O706" s="525"/>
      <c r="P706" s="525"/>
      <c r="Q706" s="525"/>
      <c r="R706" s="525"/>
      <c r="S706" s="525"/>
      <c r="T706" s="525"/>
      <c r="U706" s="525"/>
      <c r="V706" s="525"/>
      <c r="W706" s="525"/>
      <c r="X706" s="498"/>
      <c r="Y706" s="498"/>
      <c r="Z706" s="498"/>
      <c r="AA706" s="498"/>
      <c r="AB706" s="233"/>
      <c r="AC706" s="543"/>
      <c r="AD706" s="543"/>
      <c r="AE706" s="622"/>
      <c r="AF706" s="573"/>
      <c r="AG706" s="573"/>
      <c r="AH706" s="573"/>
      <c r="AI706" s="581"/>
      <c r="AJ706" s="498"/>
      <c r="AK706" s="614"/>
      <c r="AL706" s="614"/>
      <c r="AO706" s="233"/>
      <c r="AP706" s="233"/>
      <c r="AR706" s="613"/>
      <c r="AS706" s="613"/>
      <c r="AT706" s="233"/>
      <c r="AU706" s="233"/>
    </row>
    <row r="707" spans="1:48" s="2" customFormat="1" ht="14.25" customHeight="1">
      <c r="A707" s="589"/>
      <c r="C707" s="525"/>
      <c r="D707" s="525"/>
      <c r="E707" s="525"/>
      <c r="F707" s="525"/>
      <c r="G707" s="525"/>
      <c r="H707" s="525"/>
      <c r="I707" s="525"/>
      <c r="J707" s="525"/>
      <c r="K707" s="525"/>
      <c r="L707" s="525"/>
      <c r="M707" s="525"/>
      <c r="N707" s="525"/>
      <c r="O707" s="525"/>
      <c r="P707" s="525"/>
      <c r="Q707" s="525"/>
      <c r="R707" s="525"/>
      <c r="S707" s="525"/>
      <c r="T707" s="525"/>
      <c r="U707" s="525"/>
      <c r="V707" s="525"/>
      <c r="W707" s="525"/>
      <c r="X707" s="498"/>
      <c r="Y707" s="498"/>
      <c r="Z707" s="498"/>
      <c r="AA707" s="498"/>
      <c r="AB707" s="233"/>
      <c r="AC707" s="543"/>
      <c r="AD707" s="543"/>
      <c r="AE707" s="622"/>
      <c r="AF707" s="573"/>
      <c r="AG707" s="573"/>
      <c r="AH707" s="573"/>
      <c r="AI707" s="581"/>
      <c r="AJ707" s="498"/>
      <c r="AK707" s="614"/>
      <c r="AL707" s="614"/>
      <c r="AO707" s="233"/>
      <c r="AP707" s="233"/>
      <c r="AR707" s="613"/>
      <c r="AS707" s="613"/>
      <c r="AT707" s="233"/>
      <c r="AU707" s="233"/>
    </row>
    <row r="708" spans="1:48" s="2" customFormat="1" ht="15" customHeight="1">
      <c r="A708" s="589"/>
      <c r="C708" s="498"/>
      <c r="D708" s="498"/>
      <c r="E708" s="498"/>
      <c r="F708" s="498"/>
      <c r="G708" s="498"/>
      <c r="H708" s="498"/>
      <c r="I708" s="498"/>
      <c r="J708" s="498"/>
      <c r="K708" s="498"/>
      <c r="L708" s="498"/>
      <c r="M708" s="498"/>
      <c r="N708" s="498"/>
      <c r="O708" s="498"/>
      <c r="P708" s="498"/>
      <c r="Q708" s="498"/>
      <c r="R708" s="498"/>
      <c r="S708" s="498"/>
      <c r="T708" s="498"/>
      <c r="U708" s="498"/>
      <c r="V708" s="498"/>
      <c r="W708" s="498"/>
      <c r="X708" s="498"/>
      <c r="Y708" s="498"/>
      <c r="Z708" s="498"/>
      <c r="AA708" s="498"/>
      <c r="AB708" s="233"/>
      <c r="AC708" s="543"/>
      <c r="AD708" s="543"/>
      <c r="AE708" s="622"/>
      <c r="AF708" s="573"/>
      <c r="AG708" s="573"/>
      <c r="AH708" s="573"/>
      <c r="AI708" s="581"/>
      <c r="AJ708" s="498"/>
      <c r="AK708" s="614"/>
      <c r="AL708" s="614"/>
      <c r="AO708" s="233"/>
      <c r="AP708" s="233"/>
      <c r="AR708" s="613"/>
      <c r="AS708" s="613"/>
      <c r="AT708" s="233"/>
      <c r="AU708" s="233"/>
    </row>
    <row r="709" spans="1:48" s="2" customFormat="1" ht="12.75" customHeight="1">
      <c r="A709" s="589"/>
      <c r="C709" s="525"/>
      <c r="D709" s="525"/>
      <c r="E709" s="525"/>
      <c r="F709" s="525"/>
      <c r="G709" s="525"/>
      <c r="H709" s="525"/>
      <c r="I709" s="525"/>
      <c r="J709" s="525"/>
      <c r="K709" s="525"/>
      <c r="L709" s="525"/>
      <c r="M709" s="525"/>
      <c r="N709" s="525"/>
      <c r="O709" s="525"/>
      <c r="P709" s="525"/>
      <c r="Q709" s="525"/>
      <c r="R709" s="525"/>
      <c r="S709" s="525"/>
      <c r="T709" s="525"/>
      <c r="U709" s="525"/>
      <c r="V709" s="525"/>
      <c r="W709" s="525"/>
      <c r="X709" s="525"/>
      <c r="Y709" s="525"/>
      <c r="Z709" s="498"/>
      <c r="AA709" s="498"/>
      <c r="AB709" s="233"/>
      <c r="AC709" s="543"/>
      <c r="AD709" s="543"/>
      <c r="AE709" s="622"/>
      <c r="AF709" s="573"/>
      <c r="AG709" s="573"/>
      <c r="AH709" s="573"/>
      <c r="AI709" s="581"/>
      <c r="AJ709" s="622"/>
      <c r="AK709" s="614"/>
      <c r="AL709" s="614"/>
      <c r="AO709" s="233"/>
      <c r="AP709" s="233"/>
      <c r="AR709" s="613"/>
      <c r="AS709" s="613"/>
      <c r="AT709" s="233"/>
      <c r="AU709" s="233"/>
    </row>
    <row r="710" spans="1:48" s="2" customFormat="1" ht="12.75" customHeight="1">
      <c r="A710" s="589"/>
      <c r="C710" s="525"/>
      <c r="D710" s="525"/>
      <c r="E710" s="525"/>
      <c r="F710" s="525"/>
      <c r="G710" s="525"/>
      <c r="H710" s="525"/>
      <c r="I710" s="525"/>
      <c r="J710" s="525"/>
      <c r="K710" s="525"/>
      <c r="L710" s="525"/>
      <c r="M710" s="525"/>
      <c r="N710" s="525"/>
      <c r="O710" s="525"/>
      <c r="P710" s="525"/>
      <c r="Q710" s="525"/>
      <c r="R710" s="525"/>
      <c r="S710" s="525"/>
      <c r="T710" s="525"/>
      <c r="U710" s="525"/>
      <c r="V710" s="525"/>
      <c r="W710" s="525"/>
      <c r="X710" s="498"/>
      <c r="Y710" s="498"/>
      <c r="Z710" s="498"/>
      <c r="AA710" s="498"/>
      <c r="AB710" s="233"/>
      <c r="AC710" s="543"/>
      <c r="AD710" s="543"/>
      <c r="AE710" s="622"/>
      <c r="AF710" s="573"/>
      <c r="AG710" s="573"/>
      <c r="AH710" s="573"/>
      <c r="AI710" s="581"/>
      <c r="AJ710" s="498"/>
      <c r="AK710" s="614"/>
      <c r="AL710" s="614"/>
      <c r="AO710" s="233"/>
      <c r="AP710" s="233"/>
      <c r="AR710" s="613"/>
      <c r="AS710" s="613"/>
      <c r="AT710" s="233"/>
      <c r="AU710" s="233"/>
    </row>
    <row r="711" spans="1:48" s="2" customFormat="1">
      <c r="A711" s="556"/>
      <c r="B711" s="621"/>
      <c r="AD711" s="551"/>
      <c r="AF711" s="573"/>
      <c r="AG711" s="573"/>
      <c r="AH711" s="573"/>
      <c r="AI711" s="233"/>
      <c r="AJ711" s="233"/>
      <c r="AO711" s="233"/>
      <c r="AP711" s="233"/>
      <c r="AT711" s="233"/>
      <c r="AU711" s="233"/>
    </row>
    <row r="712" spans="1:48" s="2" customFormat="1">
      <c r="A712" s="608"/>
      <c r="C712" s="498"/>
      <c r="D712" s="498"/>
      <c r="E712" s="498"/>
      <c r="F712" s="498"/>
      <c r="G712" s="498"/>
      <c r="H712" s="498"/>
      <c r="I712" s="498"/>
      <c r="J712" s="498"/>
      <c r="K712" s="498"/>
      <c r="L712" s="498"/>
      <c r="M712" s="498"/>
      <c r="N712" s="498"/>
      <c r="O712" s="498"/>
      <c r="P712" s="498"/>
      <c r="Q712" s="498"/>
      <c r="R712" s="498"/>
      <c r="S712" s="498"/>
      <c r="T712" s="498"/>
      <c r="U712" s="498"/>
      <c r="V712" s="498"/>
      <c r="W712" s="498"/>
      <c r="X712" s="498"/>
      <c r="Y712" s="498"/>
      <c r="Z712" s="498"/>
      <c r="AA712" s="498"/>
      <c r="AB712" s="507"/>
      <c r="AE712" s="573"/>
      <c r="AF712" s="573"/>
      <c r="AG712" s="573"/>
      <c r="AH712" s="573"/>
      <c r="AI712" s="233"/>
      <c r="AJ712" s="573"/>
      <c r="AK712" s="573"/>
      <c r="AL712" s="573"/>
      <c r="AO712" s="233"/>
      <c r="AP712" s="233"/>
      <c r="AR712" s="613"/>
      <c r="AS712" s="613"/>
      <c r="AT712" s="498"/>
      <c r="AU712" s="498"/>
    </row>
    <row r="713" spans="1:48" s="2" customFormat="1">
      <c r="A713" s="589"/>
      <c r="C713" s="525"/>
      <c r="D713" s="525"/>
      <c r="E713" s="525"/>
      <c r="F713" s="525"/>
      <c r="G713" s="525"/>
      <c r="H713" s="525"/>
      <c r="I713" s="525"/>
      <c r="J713" s="525"/>
      <c r="K713" s="525"/>
      <c r="L713" s="525"/>
      <c r="M713" s="525"/>
      <c r="N713" s="525"/>
      <c r="O713" s="525"/>
      <c r="P713" s="525"/>
      <c r="Q713" s="525"/>
      <c r="R713" s="525"/>
      <c r="S713" s="525"/>
      <c r="T713" s="525"/>
      <c r="U713" s="525"/>
      <c r="V713" s="525"/>
      <c r="W713" s="525"/>
      <c r="X713" s="498"/>
      <c r="Y713" s="498"/>
      <c r="Z713" s="498"/>
      <c r="AA713" s="498"/>
      <c r="AB713" s="507"/>
      <c r="AC713" s="573"/>
      <c r="AD713" s="573"/>
      <c r="AE713" s="573"/>
      <c r="AF713" s="573"/>
      <c r="AG713" s="573"/>
      <c r="AH713" s="573"/>
      <c r="AI713" s="233"/>
      <c r="AJ713" s="573"/>
      <c r="AK713" s="573"/>
      <c r="AL713" s="573"/>
      <c r="AO713" s="233"/>
      <c r="AP713" s="233"/>
      <c r="AR713" s="613"/>
      <c r="AS713" s="613"/>
      <c r="AT713" s="498"/>
      <c r="AU713" s="498"/>
    </row>
    <row r="714" spans="1:48" s="2" customFormat="1">
      <c r="A714" s="589"/>
      <c r="C714" s="498"/>
      <c r="D714" s="498"/>
      <c r="E714" s="498"/>
      <c r="F714" s="498"/>
      <c r="G714" s="498"/>
      <c r="H714" s="498"/>
      <c r="I714" s="498"/>
      <c r="J714" s="498"/>
      <c r="K714" s="498"/>
      <c r="L714" s="498"/>
      <c r="M714" s="498"/>
      <c r="N714" s="498"/>
      <c r="O714" s="498"/>
      <c r="P714" s="498"/>
      <c r="Q714" s="498"/>
      <c r="R714" s="498"/>
      <c r="S714" s="498"/>
      <c r="T714" s="498"/>
      <c r="U714" s="498"/>
      <c r="V714" s="498"/>
      <c r="W714" s="498"/>
      <c r="X714" s="498"/>
      <c r="Y714" s="498"/>
      <c r="Z714" s="498"/>
      <c r="AA714" s="498"/>
      <c r="AB714" s="507"/>
      <c r="AC714" s="573"/>
      <c r="AD714" s="573"/>
      <c r="AE714" s="573"/>
      <c r="AF714" s="573"/>
      <c r="AG714" s="573"/>
      <c r="AH714" s="573"/>
      <c r="AI714" s="233"/>
      <c r="AJ714" s="573"/>
      <c r="AK714" s="573"/>
      <c r="AL714" s="573"/>
      <c r="AO714" s="233"/>
      <c r="AP714" s="233"/>
      <c r="AR714" s="613"/>
      <c r="AS714" s="613"/>
      <c r="AT714" s="498"/>
      <c r="AU714" s="498"/>
    </row>
    <row r="715" spans="1:48" s="2" customFormat="1">
      <c r="A715" s="589"/>
      <c r="C715" s="498"/>
      <c r="D715" s="498"/>
      <c r="E715" s="498"/>
      <c r="F715" s="498"/>
      <c r="G715" s="498"/>
      <c r="H715" s="498"/>
      <c r="I715" s="498"/>
      <c r="J715" s="498"/>
      <c r="K715" s="498"/>
      <c r="L715" s="498"/>
      <c r="M715" s="498"/>
      <c r="N715" s="498"/>
      <c r="O715" s="498"/>
      <c r="P715" s="498"/>
      <c r="Q715" s="498"/>
      <c r="R715" s="498"/>
      <c r="S715" s="498"/>
      <c r="T715" s="498"/>
      <c r="U715" s="498"/>
      <c r="V715" s="498"/>
      <c r="W715" s="498"/>
      <c r="X715" s="498"/>
      <c r="Y715" s="498"/>
      <c r="Z715" s="498"/>
      <c r="AA715" s="498"/>
      <c r="AB715" s="507"/>
      <c r="AC715" s="573"/>
      <c r="AD715" s="573"/>
      <c r="AE715" s="573"/>
      <c r="AF715" s="573"/>
      <c r="AG715" s="573"/>
      <c r="AH715" s="573"/>
      <c r="AI715" s="233"/>
      <c r="AJ715" s="573"/>
      <c r="AK715" s="573"/>
      <c r="AL715" s="573"/>
      <c r="AO715" s="233"/>
      <c r="AP715" s="233"/>
      <c r="AR715" s="613"/>
      <c r="AS715" s="613"/>
      <c r="AT715" s="498"/>
      <c r="AU715" s="498"/>
    </row>
    <row r="716" spans="1:48" s="2" customFormat="1">
      <c r="A716" s="589"/>
      <c r="C716" s="525"/>
      <c r="D716" s="525"/>
      <c r="E716" s="525"/>
      <c r="F716" s="525"/>
      <c r="G716" s="525"/>
      <c r="H716" s="525"/>
      <c r="I716" s="525"/>
      <c r="J716" s="525"/>
      <c r="K716" s="525"/>
      <c r="L716" s="525"/>
      <c r="M716" s="525"/>
      <c r="N716" s="525"/>
      <c r="O716" s="525"/>
      <c r="P716" s="525"/>
      <c r="Q716" s="525"/>
      <c r="R716" s="525"/>
      <c r="S716" s="525"/>
      <c r="T716" s="525"/>
      <c r="U716" s="525"/>
      <c r="V716" s="525"/>
      <c r="W716" s="525"/>
      <c r="X716" s="498"/>
      <c r="Y716" s="498"/>
      <c r="Z716" s="498"/>
      <c r="AA716" s="498"/>
      <c r="AB716" s="507"/>
      <c r="AC716" s="573"/>
      <c r="AD716" s="573"/>
      <c r="AE716" s="573"/>
      <c r="AF716" s="573"/>
      <c r="AG716" s="573"/>
      <c r="AH716" s="573"/>
      <c r="AI716" s="233"/>
      <c r="AJ716" s="573"/>
      <c r="AK716" s="573"/>
      <c r="AL716" s="573"/>
      <c r="AO716" s="233"/>
      <c r="AP716" s="233"/>
      <c r="AR716" s="613"/>
      <c r="AS716" s="613"/>
      <c r="AT716" s="498"/>
      <c r="AU716" s="498"/>
    </row>
    <row r="717" spans="1:48" s="2" customFormat="1">
      <c r="A717" s="589"/>
      <c r="C717" s="498"/>
      <c r="D717" s="498"/>
      <c r="E717" s="498"/>
      <c r="F717" s="498"/>
      <c r="G717" s="498"/>
      <c r="H717" s="498"/>
      <c r="I717" s="498"/>
      <c r="J717" s="498"/>
      <c r="K717" s="498"/>
      <c r="L717" s="498"/>
      <c r="M717" s="498"/>
      <c r="N717" s="498"/>
      <c r="O717" s="498"/>
      <c r="P717" s="498"/>
      <c r="Q717" s="498"/>
      <c r="R717" s="498"/>
      <c r="S717" s="498"/>
      <c r="T717" s="498"/>
      <c r="U717" s="498"/>
      <c r="V717" s="498"/>
      <c r="W717" s="498"/>
      <c r="X717" s="498"/>
      <c r="Y717" s="498"/>
      <c r="Z717" s="498"/>
      <c r="AA717" s="498"/>
      <c r="AB717" s="507"/>
      <c r="AC717" s="573"/>
      <c r="AD717" s="573"/>
      <c r="AE717" s="573"/>
      <c r="AF717" s="573"/>
      <c r="AG717" s="573"/>
      <c r="AH717" s="573"/>
      <c r="AI717" s="233"/>
      <c r="AJ717" s="573"/>
      <c r="AK717" s="573"/>
      <c r="AL717" s="573"/>
      <c r="AO717" s="233"/>
      <c r="AP717" s="233"/>
      <c r="AR717" s="613"/>
      <c r="AS717" s="613"/>
      <c r="AT717" s="498"/>
      <c r="AU717" s="498"/>
    </row>
    <row r="718" spans="1:48" s="2" customFormat="1">
      <c r="A718" s="589"/>
      <c r="C718" s="525"/>
      <c r="D718" s="525"/>
      <c r="E718" s="525"/>
      <c r="F718" s="525"/>
      <c r="G718" s="525"/>
      <c r="H718" s="525"/>
      <c r="I718" s="525"/>
      <c r="J718" s="525"/>
      <c r="K718" s="525"/>
      <c r="L718" s="525"/>
      <c r="M718" s="525"/>
      <c r="N718" s="525"/>
      <c r="O718" s="525"/>
      <c r="P718" s="525"/>
      <c r="Q718" s="525"/>
      <c r="R718" s="525"/>
      <c r="S718" s="525"/>
      <c r="T718" s="525"/>
      <c r="U718" s="525"/>
      <c r="V718" s="525"/>
      <c r="W718" s="525"/>
      <c r="X718" s="498"/>
      <c r="Y718" s="498"/>
      <c r="Z718" s="498"/>
      <c r="AA718" s="498"/>
      <c r="AB718" s="507"/>
      <c r="AC718" s="573"/>
      <c r="AD718" s="573"/>
      <c r="AE718" s="573"/>
      <c r="AF718" s="573"/>
      <c r="AG718" s="573"/>
      <c r="AH718" s="573"/>
      <c r="AI718" s="233"/>
      <c r="AJ718" s="573"/>
      <c r="AK718" s="573"/>
      <c r="AL718" s="573"/>
      <c r="AO718" s="233"/>
      <c r="AP718" s="233"/>
      <c r="AR718" s="613"/>
      <c r="AS718" s="613"/>
      <c r="AT718" s="498"/>
      <c r="AU718" s="498"/>
    </row>
    <row r="719" spans="1:48" s="2" customFormat="1" ht="25.5" customHeight="1">
      <c r="A719" s="589"/>
      <c r="C719" s="498"/>
      <c r="D719" s="498"/>
      <c r="E719" s="498"/>
      <c r="F719" s="498"/>
      <c r="G719" s="498"/>
      <c r="H719" s="498"/>
      <c r="I719" s="498"/>
      <c r="J719" s="498"/>
      <c r="K719" s="498"/>
      <c r="L719" s="498"/>
      <c r="M719" s="498"/>
      <c r="N719" s="498"/>
      <c r="O719" s="498"/>
      <c r="P719" s="498"/>
      <c r="Q719" s="498"/>
      <c r="R719" s="498"/>
      <c r="S719" s="498"/>
      <c r="T719" s="498"/>
      <c r="U719" s="498"/>
      <c r="V719" s="498"/>
      <c r="W719" s="498"/>
      <c r="X719" s="498"/>
      <c r="Y719" s="498"/>
      <c r="Z719" s="498"/>
      <c r="AA719" s="498"/>
      <c r="AB719" s="507"/>
      <c r="AC719" s="573"/>
      <c r="AD719" s="573"/>
      <c r="AE719" s="573"/>
      <c r="AF719" s="573"/>
      <c r="AG719" s="573"/>
      <c r="AH719" s="623"/>
      <c r="AI719" s="233"/>
      <c r="AJ719" s="573"/>
      <c r="AK719" s="573"/>
      <c r="AL719" s="573"/>
      <c r="AO719" s="233"/>
      <c r="AP719" s="233"/>
      <c r="AR719" s="613"/>
      <c r="AS719" s="613"/>
      <c r="AT719" s="498"/>
      <c r="AU719" s="498"/>
      <c r="AV719" s="507"/>
    </row>
    <row r="720" spans="1:48" s="2" customFormat="1">
      <c r="A720" s="589"/>
      <c r="C720" s="525"/>
      <c r="D720" s="525"/>
      <c r="E720" s="525"/>
      <c r="F720" s="525"/>
      <c r="G720" s="525"/>
      <c r="H720" s="525"/>
      <c r="I720" s="525"/>
      <c r="J720" s="525"/>
      <c r="K720" s="525"/>
      <c r="L720" s="525"/>
      <c r="M720" s="525"/>
      <c r="N720" s="525"/>
      <c r="O720" s="525"/>
      <c r="P720" s="525"/>
      <c r="Q720" s="525"/>
      <c r="R720" s="525"/>
      <c r="S720" s="525"/>
      <c r="T720" s="525"/>
      <c r="U720" s="525"/>
      <c r="V720" s="525"/>
      <c r="W720" s="525"/>
      <c r="X720" s="498"/>
      <c r="Y720" s="498"/>
      <c r="Z720" s="498"/>
      <c r="AA720" s="498"/>
      <c r="AB720" s="507"/>
      <c r="AC720" s="573"/>
      <c r="AD720" s="573"/>
      <c r="AE720" s="573"/>
      <c r="AF720" s="573"/>
      <c r="AG720" s="573"/>
      <c r="AH720" s="573"/>
      <c r="AI720" s="233"/>
      <c r="AJ720" s="573"/>
      <c r="AK720" s="573"/>
      <c r="AL720" s="573"/>
      <c r="AO720" s="233"/>
      <c r="AP720" s="233"/>
      <c r="AR720" s="613"/>
      <c r="AS720" s="613"/>
      <c r="AT720" s="498"/>
      <c r="AU720" s="498"/>
    </row>
    <row r="721" spans="1:48" s="2" customFormat="1">
      <c r="A721" s="556"/>
      <c r="B721" s="621"/>
      <c r="C721" s="498"/>
      <c r="D721" s="498"/>
      <c r="E721" s="498"/>
      <c r="F721" s="498"/>
      <c r="G721" s="498"/>
      <c r="H721" s="498"/>
      <c r="I721" s="498"/>
      <c r="J721" s="498"/>
      <c r="K721" s="498"/>
      <c r="L721" s="498"/>
      <c r="M721" s="498"/>
      <c r="N721" s="498"/>
      <c r="O721" s="498"/>
      <c r="P721" s="498"/>
      <c r="Q721" s="498"/>
      <c r="R721" s="498"/>
      <c r="S721" s="498"/>
      <c r="T721" s="498"/>
      <c r="U721" s="498"/>
      <c r="V721" s="498"/>
      <c r="W721" s="498"/>
      <c r="X721" s="498"/>
      <c r="Y721" s="498"/>
      <c r="Z721" s="498"/>
      <c r="AA721" s="498"/>
      <c r="AD721" s="525"/>
      <c r="AI721" s="233"/>
      <c r="AQ721" s="233"/>
      <c r="AT721" s="233"/>
    </row>
    <row r="722" spans="1:48" s="2" customFormat="1" ht="39.75" customHeight="1">
      <c r="A722" s="553"/>
      <c r="B722" s="568"/>
      <c r="C722" s="568"/>
      <c r="D722" s="568"/>
      <c r="E722" s="568"/>
      <c r="F722" s="568"/>
      <c r="G722" s="568"/>
      <c r="H722" s="568"/>
      <c r="I722" s="568"/>
      <c r="J722" s="568"/>
      <c r="K722" s="568"/>
      <c r="L722" s="568"/>
      <c r="M722" s="568"/>
      <c r="N722" s="568"/>
      <c r="O722" s="568"/>
      <c r="P722" s="568"/>
      <c r="Q722" s="568"/>
      <c r="R722" s="568"/>
      <c r="S722" s="568"/>
      <c r="T722" s="568"/>
      <c r="U722" s="568"/>
      <c r="V722" s="568"/>
      <c r="W722" s="568"/>
      <c r="X722" s="568"/>
      <c r="Y722" s="568"/>
      <c r="Z722" s="568"/>
      <c r="AA722" s="568"/>
      <c r="AB722" s="568"/>
      <c r="AC722" s="568"/>
      <c r="AD722" s="568"/>
      <c r="AE722" s="568"/>
      <c r="AN722" s="578"/>
    </row>
    <row r="723" spans="1:48" s="2" customFormat="1">
      <c r="A723" s="624"/>
      <c r="B723" s="578"/>
      <c r="C723" s="578"/>
      <c r="D723" s="578"/>
      <c r="E723" s="578"/>
      <c r="F723" s="578"/>
      <c r="G723" s="578"/>
      <c r="H723" s="578"/>
      <c r="I723" s="578"/>
      <c r="J723" s="578"/>
      <c r="K723" s="578"/>
      <c r="L723" s="578"/>
      <c r="M723" s="578"/>
      <c r="N723" s="578"/>
      <c r="O723" s="578"/>
      <c r="P723" s="578"/>
      <c r="Q723" s="578"/>
      <c r="R723" s="578"/>
      <c r="S723" s="578"/>
      <c r="T723" s="578"/>
      <c r="U723" s="578"/>
      <c r="V723" s="578"/>
      <c r="W723" s="578"/>
      <c r="X723" s="578"/>
      <c r="Y723" s="578"/>
      <c r="Z723" s="578"/>
      <c r="AA723" s="578"/>
      <c r="AB723" s="578"/>
      <c r="AC723" s="578"/>
      <c r="AD723" s="578"/>
      <c r="AE723" s="578"/>
      <c r="AF723" s="578"/>
      <c r="AG723" s="578"/>
      <c r="AH723" s="578"/>
      <c r="AI723" s="578"/>
      <c r="AJ723" s="578"/>
      <c r="AK723" s="578"/>
      <c r="AL723" s="578"/>
      <c r="AM723" s="578"/>
      <c r="AN723" s="578"/>
      <c r="AO723" s="578"/>
      <c r="AP723" s="578"/>
      <c r="AQ723" s="578"/>
      <c r="AR723" s="578"/>
      <c r="AS723" s="578"/>
      <c r="AT723" s="578"/>
      <c r="AU723" s="578"/>
      <c r="AV723" s="578"/>
    </row>
    <row r="724" spans="1:48" s="2" customFormat="1">
      <c r="A724" s="625"/>
      <c r="B724" s="626"/>
      <c r="C724" s="232"/>
      <c r="D724" s="232"/>
      <c r="E724" s="232"/>
      <c r="F724" s="232"/>
      <c r="G724" s="232"/>
      <c r="H724" s="232"/>
      <c r="I724" s="232"/>
      <c r="J724" s="232"/>
      <c r="K724" s="232"/>
      <c r="L724" s="232"/>
      <c r="M724" s="232"/>
      <c r="N724" s="232"/>
      <c r="O724" s="498"/>
      <c r="P724" s="498"/>
      <c r="Q724" s="498"/>
      <c r="R724" s="498"/>
      <c r="S724" s="498"/>
      <c r="T724" s="232"/>
      <c r="U724" s="498"/>
      <c r="V724" s="498"/>
      <c r="W724" s="498"/>
      <c r="X724" s="498"/>
      <c r="Y724" s="498"/>
      <c r="Z724" s="498"/>
      <c r="AA724" s="498"/>
      <c r="AB724" s="498"/>
      <c r="AC724" s="498"/>
      <c r="AD724" s="498"/>
      <c r="AE724" s="498"/>
      <c r="AF724" s="498"/>
      <c r="AG724" s="498"/>
      <c r="AH724" s="498"/>
      <c r="AI724" s="498"/>
      <c r="AJ724" s="498"/>
      <c r="AK724" s="233"/>
      <c r="AL724" s="498"/>
      <c r="AM724" s="498"/>
      <c r="AO724" s="498"/>
      <c r="AP724" s="232"/>
      <c r="AQ724" s="627"/>
      <c r="AR724" s="627"/>
      <c r="AS724" s="627"/>
      <c r="AT724" s="627"/>
      <c r="AU724" s="498"/>
      <c r="AV724" s="498"/>
    </row>
    <row r="725" spans="1:48" s="2" customFormat="1">
      <c r="A725" s="625"/>
      <c r="B725" s="621"/>
      <c r="C725" s="498"/>
      <c r="D725" s="232"/>
      <c r="E725" s="232"/>
      <c r="F725" s="232"/>
      <c r="G725" s="232"/>
      <c r="H725" s="232"/>
      <c r="I725" s="232"/>
      <c r="J725" s="232"/>
      <c r="K725" s="232"/>
      <c r="L725" s="232"/>
      <c r="M725" s="232"/>
      <c r="N725" s="232"/>
      <c r="O725" s="232"/>
      <c r="P725" s="498"/>
      <c r="Q725" s="498"/>
      <c r="R725" s="498"/>
      <c r="S725" s="498"/>
      <c r="T725" s="232"/>
      <c r="U725" s="498"/>
      <c r="V725" s="498"/>
      <c r="W725" s="498"/>
      <c r="X725" s="498"/>
      <c r="Y725" s="498"/>
      <c r="Z725" s="498"/>
      <c r="AA725" s="498"/>
      <c r="AB725" s="498"/>
      <c r="AC725" s="498"/>
      <c r="AD725" s="498"/>
      <c r="AE725" s="498"/>
      <c r="AF725" s="498"/>
      <c r="AG725" s="498"/>
      <c r="AH725" s="498"/>
      <c r="AI725" s="498"/>
      <c r="AJ725" s="498"/>
      <c r="AK725" s="233"/>
      <c r="AL725" s="498"/>
      <c r="AM725" s="498"/>
      <c r="AO725" s="498"/>
      <c r="AP725" s="232"/>
      <c r="AQ725" s="627"/>
      <c r="AR725" s="627"/>
      <c r="AS725" s="627"/>
      <c r="AT725" s="627"/>
      <c r="AU725" s="498"/>
      <c r="AV725" s="498"/>
    </row>
    <row r="726" spans="1:48" s="2" customFormat="1">
      <c r="A726" s="597"/>
      <c r="B726" s="621"/>
      <c r="C726" s="498"/>
      <c r="D726" s="232"/>
      <c r="E726" s="232"/>
      <c r="F726" s="232"/>
      <c r="G726" s="232"/>
      <c r="H726" s="232"/>
      <c r="I726" s="232"/>
      <c r="J726" s="232"/>
      <c r="K726" s="232"/>
      <c r="L726" s="232"/>
      <c r="M726" s="232"/>
      <c r="N726" s="232"/>
      <c r="O726" s="498"/>
      <c r="P726" s="498"/>
      <c r="Q726" s="498"/>
      <c r="R726" s="498"/>
      <c r="S726" s="498"/>
      <c r="T726" s="498"/>
      <c r="U726" s="498"/>
      <c r="V726" s="498"/>
      <c r="W726" s="498"/>
      <c r="X726" s="498"/>
      <c r="Y726" s="498"/>
      <c r="Z726" s="498"/>
      <c r="AA726" s="498"/>
      <c r="AB726" s="498"/>
      <c r="AC726" s="498"/>
      <c r="AD726" s="498"/>
      <c r="AE726" s="498"/>
      <c r="AF726" s="498"/>
      <c r="AG726" s="498"/>
      <c r="AH726" s="498"/>
      <c r="AI726" s="498"/>
      <c r="AJ726" s="498"/>
      <c r="AK726" s="233"/>
      <c r="AL726" s="498"/>
      <c r="AM726" s="498"/>
      <c r="AN726" s="524"/>
      <c r="AO726" s="498"/>
      <c r="AP726" s="232"/>
      <c r="AQ726" s="628"/>
      <c r="AR726" s="629"/>
      <c r="AS726" s="629"/>
      <c r="AT726" s="629"/>
      <c r="AU726" s="498"/>
      <c r="AV726" s="498"/>
    </row>
    <row r="727" spans="1:48" s="2" customFormat="1">
      <c r="A727" s="625"/>
      <c r="B727" s="621"/>
      <c r="C727" s="232"/>
      <c r="D727" s="232"/>
      <c r="E727" s="232"/>
      <c r="F727" s="232"/>
      <c r="G727" s="232"/>
      <c r="H727" s="232"/>
      <c r="I727" s="232"/>
      <c r="J727" s="232"/>
      <c r="K727" s="232"/>
      <c r="L727" s="232"/>
      <c r="M727" s="232"/>
      <c r="N727" s="232"/>
      <c r="O727" s="498"/>
      <c r="P727" s="498"/>
      <c r="Q727" s="498"/>
      <c r="R727" s="498"/>
      <c r="S727" s="498"/>
      <c r="T727" s="498"/>
      <c r="U727" s="498"/>
      <c r="V727" s="498"/>
      <c r="W727" s="498"/>
      <c r="X727" s="498"/>
      <c r="Y727" s="498"/>
      <c r="Z727" s="498"/>
      <c r="AA727" s="498"/>
      <c r="AB727" s="498"/>
      <c r="AC727" s="498"/>
      <c r="AD727" s="498"/>
      <c r="AE727" s="498"/>
      <c r="AF727" s="498"/>
      <c r="AG727" s="498"/>
      <c r="AH727" s="498"/>
      <c r="AI727" s="498"/>
      <c r="AJ727" s="498"/>
      <c r="AK727" s="233"/>
      <c r="AL727" s="498"/>
      <c r="AM727" s="498"/>
      <c r="AN727" s="524"/>
      <c r="AO727" s="498"/>
      <c r="AP727" s="498"/>
      <c r="AQ727" s="627"/>
      <c r="AR727" s="627"/>
      <c r="AS727" s="627"/>
      <c r="AT727" s="627"/>
      <c r="AU727" s="498"/>
      <c r="AV727" s="498"/>
    </row>
    <row r="728" spans="1:48" s="2" customFormat="1">
      <c r="A728" s="625"/>
      <c r="B728" s="621"/>
      <c r="C728" s="498"/>
      <c r="D728" s="232"/>
      <c r="E728" s="232"/>
      <c r="F728" s="232"/>
      <c r="G728" s="232"/>
      <c r="H728" s="232"/>
      <c r="I728" s="232"/>
      <c r="J728" s="232"/>
      <c r="K728" s="232"/>
      <c r="L728" s="232"/>
      <c r="M728" s="232"/>
      <c r="N728" s="232"/>
      <c r="O728" s="232"/>
      <c r="P728" s="498"/>
      <c r="Q728" s="498"/>
      <c r="R728" s="498"/>
      <c r="S728" s="498"/>
      <c r="T728" s="498"/>
      <c r="U728" s="498"/>
      <c r="V728" s="498"/>
      <c r="W728" s="498"/>
      <c r="X728" s="498"/>
      <c r="Y728" s="498"/>
      <c r="Z728" s="498"/>
      <c r="AA728" s="498"/>
      <c r="AB728" s="498"/>
      <c r="AC728" s="498"/>
      <c r="AD728" s="498"/>
      <c r="AE728" s="498"/>
      <c r="AF728" s="498"/>
      <c r="AG728" s="498"/>
      <c r="AH728" s="498"/>
      <c r="AI728" s="498"/>
      <c r="AJ728" s="498"/>
      <c r="AK728" s="233"/>
      <c r="AL728" s="498"/>
      <c r="AM728" s="498"/>
      <c r="AO728" s="498"/>
      <c r="AP728" s="498"/>
      <c r="AQ728" s="627"/>
      <c r="AR728" s="627"/>
      <c r="AS728" s="627"/>
      <c r="AT728" s="627"/>
      <c r="AU728" s="498"/>
      <c r="AV728" s="498"/>
    </row>
    <row r="729" spans="1:48" s="2" customFormat="1">
      <c r="A729" s="625"/>
      <c r="B729" s="621"/>
      <c r="C729" s="232"/>
      <c r="D729" s="232"/>
      <c r="E729" s="232"/>
      <c r="F729" s="232"/>
      <c r="G729" s="232"/>
      <c r="H729" s="232"/>
      <c r="I729" s="232"/>
      <c r="J729" s="232"/>
      <c r="K729" s="232"/>
      <c r="L729" s="232"/>
      <c r="M729" s="232"/>
      <c r="N729" s="232"/>
      <c r="O729" s="232"/>
      <c r="P729" s="498"/>
      <c r="Q729" s="498"/>
      <c r="R729" s="498"/>
      <c r="S729" s="498"/>
      <c r="T729" s="498"/>
      <c r="U729" s="498"/>
      <c r="V729" s="498"/>
      <c r="W729" s="498"/>
      <c r="X729" s="498"/>
      <c r="Y729" s="498"/>
      <c r="Z729" s="498"/>
      <c r="AA729" s="498"/>
      <c r="AB729" s="498"/>
      <c r="AC729" s="498"/>
      <c r="AD729" s="498"/>
      <c r="AE729" s="498"/>
      <c r="AF729" s="498"/>
      <c r="AG729" s="498"/>
      <c r="AH729" s="498"/>
      <c r="AI729" s="498"/>
      <c r="AJ729" s="498"/>
      <c r="AK729" s="233"/>
      <c r="AL729" s="498"/>
      <c r="AM729" s="498"/>
      <c r="AN729" s="524"/>
      <c r="AO729" s="498"/>
      <c r="AP729" s="498"/>
      <c r="AQ729" s="627"/>
      <c r="AR729" s="627"/>
      <c r="AS729" s="627"/>
      <c r="AT729" s="627"/>
      <c r="AU729" s="498"/>
      <c r="AV729" s="498"/>
    </row>
    <row r="730" spans="1:48" s="2" customFormat="1">
      <c r="A730" s="625"/>
      <c r="B730" s="621"/>
      <c r="C730" s="233"/>
      <c r="D730" s="232"/>
      <c r="E730" s="232"/>
      <c r="F730" s="232"/>
      <c r="G730" s="232"/>
      <c r="H730" s="232"/>
      <c r="I730" s="232"/>
      <c r="J730" s="232"/>
      <c r="K730" s="232"/>
      <c r="L730" s="232"/>
      <c r="M730" s="232"/>
      <c r="N730" s="232"/>
      <c r="O730" s="232"/>
      <c r="P730" s="232"/>
      <c r="Q730" s="498"/>
      <c r="R730" s="498"/>
      <c r="S730" s="498"/>
      <c r="T730" s="498"/>
      <c r="U730" s="498"/>
      <c r="V730" s="498"/>
      <c r="W730" s="498"/>
      <c r="X730" s="498"/>
      <c r="Y730" s="498"/>
      <c r="Z730" s="498"/>
      <c r="AA730" s="498"/>
      <c r="AB730" s="498"/>
      <c r="AC730" s="498"/>
      <c r="AD730" s="498"/>
      <c r="AE730" s="498"/>
      <c r="AF730" s="498"/>
      <c r="AG730" s="498"/>
      <c r="AH730" s="498"/>
      <c r="AI730" s="498"/>
      <c r="AJ730" s="498"/>
      <c r="AK730" s="233"/>
      <c r="AL730" s="498"/>
      <c r="AM730" s="498"/>
      <c r="AO730" s="498"/>
      <c r="AP730" s="498"/>
      <c r="AQ730" s="627"/>
      <c r="AR730" s="627"/>
      <c r="AS730" s="627"/>
      <c r="AT730" s="627"/>
      <c r="AU730" s="498"/>
      <c r="AV730" s="498"/>
    </row>
    <row r="731" spans="1:48" s="2" customFormat="1" ht="13.5" customHeight="1">
      <c r="A731" s="597"/>
      <c r="B731" s="630"/>
      <c r="C731" s="233"/>
      <c r="D731" s="233"/>
      <c r="E731" s="233"/>
      <c r="F731" s="233"/>
      <c r="G731" s="233"/>
      <c r="H731" s="233"/>
      <c r="I731" s="233"/>
      <c r="J731" s="233"/>
      <c r="K731" s="233"/>
      <c r="L731" s="631"/>
      <c r="M731" s="631"/>
      <c r="N731" s="631"/>
      <c r="O731" s="631"/>
      <c r="P731" s="631"/>
      <c r="Q731" s="498"/>
      <c r="R731" s="498"/>
      <c r="S731" s="498"/>
      <c r="T731" s="498"/>
      <c r="U731" s="498"/>
      <c r="V731" s="498"/>
      <c r="W731" s="498"/>
      <c r="X731" s="498"/>
      <c r="Y731" s="498"/>
      <c r="Z731" s="498"/>
      <c r="AA731" s="498"/>
      <c r="AB731" s="498"/>
      <c r="AC731" s="498"/>
      <c r="AD731" s="498"/>
      <c r="AE731" s="498"/>
      <c r="AF731" s="498"/>
      <c r="AG731" s="498"/>
      <c r="AH731" s="498"/>
      <c r="AI731" s="498"/>
      <c r="AJ731" s="498"/>
      <c r="AK731" s="233"/>
      <c r="AL731" s="498"/>
      <c r="AM731" s="498"/>
      <c r="AO731" s="498"/>
      <c r="AP731" s="498"/>
      <c r="AQ731" s="632"/>
      <c r="AR731" s="632"/>
      <c r="AS731" s="632"/>
      <c r="AT731" s="629"/>
      <c r="AU731" s="498"/>
      <c r="AV731" s="498"/>
    </row>
    <row r="732" spans="1:48" s="2" customFormat="1">
      <c r="A732" s="625"/>
      <c r="B732" s="621"/>
      <c r="C732" s="232"/>
      <c r="D732" s="232"/>
      <c r="E732" s="232"/>
      <c r="F732" s="232"/>
      <c r="G732" s="232"/>
      <c r="H732" s="232"/>
      <c r="I732" s="232"/>
      <c r="J732" s="232"/>
      <c r="K732" s="232"/>
      <c r="L732" s="232"/>
      <c r="M732" s="232"/>
      <c r="N732" s="232"/>
      <c r="O732" s="232"/>
      <c r="P732" s="498"/>
      <c r="Q732" s="498"/>
      <c r="R732" s="498"/>
      <c r="S732" s="498"/>
      <c r="T732" s="498"/>
      <c r="U732" s="498"/>
      <c r="V732" s="498"/>
      <c r="W732" s="498"/>
      <c r="X732" s="633"/>
      <c r="Y732" s="498"/>
      <c r="Z732" s="498"/>
      <c r="AA732" s="498"/>
      <c r="AB732" s="498"/>
      <c r="AC732" s="498"/>
      <c r="AD732" s="498"/>
      <c r="AE732" s="498"/>
      <c r="AF732" s="498"/>
      <c r="AG732" s="498"/>
      <c r="AH732" s="498"/>
      <c r="AI732" s="498"/>
      <c r="AJ732" s="498"/>
      <c r="AK732" s="233"/>
      <c r="AL732" s="498"/>
      <c r="AM732" s="498"/>
      <c r="AN732" s="524"/>
      <c r="AO732" s="498"/>
      <c r="AP732" s="498"/>
      <c r="AQ732" s="627"/>
      <c r="AR732" s="627"/>
      <c r="AS732" s="627"/>
      <c r="AT732" s="627"/>
      <c r="AU732" s="498"/>
      <c r="AV732" s="498"/>
    </row>
    <row r="733" spans="1:48" s="2" customFormat="1">
      <c r="A733" s="625"/>
      <c r="B733" s="621"/>
      <c r="C733" s="498"/>
      <c r="D733" s="232"/>
      <c r="E733" s="232"/>
      <c r="F733" s="232"/>
      <c r="G733" s="232"/>
      <c r="H733" s="232"/>
      <c r="I733" s="232"/>
      <c r="J733" s="232"/>
      <c r="K733" s="232"/>
      <c r="L733" s="232"/>
      <c r="M733" s="232"/>
      <c r="N733" s="232"/>
      <c r="O733" s="232"/>
      <c r="P733" s="498"/>
      <c r="Q733" s="498"/>
      <c r="R733" s="498"/>
      <c r="S733" s="498"/>
      <c r="T733" s="498"/>
      <c r="U733" s="498"/>
      <c r="V733" s="498"/>
      <c r="W733" s="498"/>
      <c r="X733" s="498"/>
      <c r="Y733" s="498"/>
      <c r="Z733" s="498"/>
      <c r="AA733" s="498"/>
      <c r="AB733" s="498"/>
      <c r="AC733" s="498"/>
      <c r="AD733" s="498"/>
      <c r="AE733" s="498"/>
      <c r="AF733" s="498"/>
      <c r="AG733" s="498"/>
      <c r="AH733" s="498"/>
      <c r="AI733" s="498"/>
      <c r="AJ733" s="498"/>
      <c r="AK733" s="233"/>
      <c r="AL733" s="498"/>
      <c r="AM733" s="498"/>
      <c r="AN733" s="524"/>
      <c r="AO733" s="498"/>
      <c r="AP733" s="498"/>
      <c r="AQ733" s="627"/>
      <c r="AR733" s="627"/>
      <c r="AS733" s="627"/>
      <c r="AT733" s="627"/>
      <c r="AU733" s="498"/>
      <c r="AV733" s="498"/>
    </row>
    <row r="734" spans="1:48" s="2" customFormat="1">
      <c r="A734" s="577"/>
      <c r="B734" s="578"/>
      <c r="C734" s="578"/>
      <c r="D734" s="578"/>
      <c r="E734" s="578"/>
      <c r="F734" s="578"/>
      <c r="G734" s="578"/>
      <c r="H734" s="578"/>
      <c r="I734" s="578"/>
      <c r="J734" s="578"/>
      <c r="K734" s="578"/>
      <c r="L734" s="578"/>
      <c r="M734" s="578"/>
      <c r="N734" s="578"/>
      <c r="O734" s="578"/>
      <c r="P734" s="578"/>
      <c r="Q734" s="578"/>
      <c r="R734" s="578"/>
      <c r="S734" s="578"/>
      <c r="T734" s="578"/>
      <c r="U734" s="578"/>
      <c r="V734" s="578"/>
      <c r="W734" s="578"/>
      <c r="X734" s="578"/>
      <c r="Y734" s="578"/>
      <c r="Z734" s="578"/>
      <c r="AA734" s="578"/>
      <c r="AB734" s="578"/>
      <c r="AC734" s="578"/>
      <c r="AD734" s="578"/>
      <c r="AE734" s="578"/>
      <c r="AF734" s="578"/>
      <c r="AG734" s="578"/>
      <c r="AH734" s="578"/>
      <c r="AI734" s="578"/>
      <c r="AJ734" s="578"/>
      <c r="AK734" s="578"/>
      <c r="AL734" s="578"/>
      <c r="AM734" s="578"/>
      <c r="AN734" s="578"/>
      <c r="AO734" s="578"/>
      <c r="AP734" s="578"/>
      <c r="AQ734" s="578"/>
      <c r="AR734" s="578"/>
      <c r="AS734" s="578"/>
      <c r="AT734" s="578"/>
      <c r="AU734" s="578"/>
      <c r="AV734" s="578"/>
    </row>
    <row r="735" spans="1:48" s="2" customFormat="1">
      <c r="A735" s="634"/>
      <c r="B735" s="621"/>
      <c r="C735" s="232"/>
      <c r="D735" s="232"/>
      <c r="E735" s="232"/>
      <c r="F735" s="232"/>
      <c r="G735" s="232"/>
      <c r="H735" s="232"/>
      <c r="I735" s="232"/>
      <c r="J735" s="232"/>
      <c r="K735" s="232"/>
      <c r="L735" s="232"/>
      <c r="M735" s="232"/>
      <c r="N735" s="232"/>
      <c r="O735" s="232"/>
      <c r="P735" s="232"/>
      <c r="Q735" s="232"/>
      <c r="R735" s="232"/>
      <c r="S735" s="232"/>
      <c r="T735" s="232"/>
      <c r="U735" s="232"/>
      <c r="V735" s="232"/>
      <c r="W735" s="232"/>
      <c r="X735" s="232"/>
      <c r="Y735" s="232"/>
      <c r="Z735" s="232"/>
      <c r="AA735" s="232"/>
      <c r="AB735" s="232"/>
      <c r="AC735" s="233"/>
      <c r="AD735" s="581"/>
      <c r="AE735" s="581"/>
      <c r="AF735" s="233"/>
      <c r="AG735" s="233"/>
      <c r="AH735" s="233"/>
      <c r="AI735" s="233"/>
      <c r="AJ735" s="233"/>
      <c r="AK735" s="233"/>
      <c r="AL735" s="233"/>
      <c r="AM735" s="233"/>
      <c r="AN735" s="524"/>
      <c r="AO735" s="233"/>
      <c r="AP735" s="233"/>
      <c r="AQ735" s="233"/>
      <c r="AR735" s="233"/>
      <c r="AS735" s="233"/>
      <c r="AT735" s="233"/>
      <c r="AU735" s="233"/>
      <c r="AV735" s="233"/>
    </row>
    <row r="736" spans="1:48" s="2" customFormat="1">
      <c r="A736" s="597"/>
      <c r="B736" s="621"/>
      <c r="C736" s="232"/>
      <c r="D736" s="232"/>
      <c r="E736" s="232"/>
      <c r="F736" s="232"/>
      <c r="G736" s="232"/>
      <c r="H736" s="232"/>
      <c r="I736" s="232"/>
      <c r="J736" s="232"/>
      <c r="K736" s="232"/>
      <c r="L736" s="232"/>
      <c r="M736" s="232"/>
      <c r="N736" s="232"/>
      <c r="O736" s="232"/>
      <c r="P736" s="232"/>
      <c r="Q736" s="232"/>
      <c r="R736" s="232"/>
      <c r="S736" s="232"/>
      <c r="T736" s="232"/>
      <c r="U736" s="233"/>
      <c r="V736" s="233"/>
      <c r="W736" s="233"/>
      <c r="X736" s="233"/>
      <c r="Y736" s="233"/>
      <c r="Z736" s="233"/>
      <c r="AA736" s="233"/>
      <c r="AB736" s="233"/>
      <c r="AC736" s="233"/>
      <c r="AD736" s="233"/>
      <c r="AE736" s="581"/>
      <c r="AF736" s="233"/>
      <c r="AG736" s="233"/>
      <c r="AH736" s="581"/>
      <c r="AI736" s="507"/>
      <c r="AJ736" s="507"/>
      <c r="AK736" s="233"/>
      <c r="AL736" s="507"/>
      <c r="AM736" s="507"/>
      <c r="AN736" s="524"/>
      <c r="AO736" s="233"/>
      <c r="AP736" s="233"/>
      <c r="AQ736" s="233"/>
      <c r="AR736" s="233"/>
      <c r="AS736" s="507"/>
      <c r="AT736" s="507"/>
      <c r="AU736" s="507"/>
      <c r="AV736" s="507"/>
    </row>
    <row r="737" spans="1:48" s="2" customFormat="1">
      <c r="A737" s="597"/>
      <c r="B737" s="621"/>
      <c r="C737" s="232"/>
      <c r="D737" s="232"/>
      <c r="E737" s="232"/>
      <c r="F737" s="232"/>
      <c r="G737" s="232"/>
      <c r="H737" s="232"/>
      <c r="I737" s="232"/>
      <c r="J737" s="232"/>
      <c r="K737" s="232"/>
      <c r="L737" s="232"/>
      <c r="M737" s="232"/>
      <c r="N737" s="232"/>
      <c r="O737" s="232"/>
      <c r="P737" s="232"/>
      <c r="Q737" s="232"/>
      <c r="R737" s="232"/>
      <c r="S737" s="232"/>
      <c r="T737" s="232"/>
      <c r="U737" s="232"/>
      <c r="V737" s="232"/>
      <c r="W737" s="232"/>
      <c r="X737" s="232"/>
      <c r="Y737" s="232"/>
      <c r="Z737" s="232"/>
      <c r="AA737" s="232"/>
      <c r="AB737" s="233"/>
      <c r="AC737" s="233"/>
      <c r="AD737" s="581"/>
      <c r="AE737" s="581"/>
      <c r="AF737" s="233"/>
      <c r="AG737" s="233"/>
      <c r="AH737" s="581"/>
      <c r="AI737" s="233"/>
      <c r="AJ737" s="233"/>
      <c r="AK737" s="233"/>
      <c r="AL737" s="233"/>
      <c r="AM737" s="233"/>
      <c r="AN737" s="524"/>
      <c r="AO737" s="581"/>
      <c r="AP737" s="581"/>
      <c r="AQ737" s="233"/>
      <c r="AR737" s="233"/>
      <c r="AS737" s="233"/>
      <c r="AT737" s="524"/>
      <c r="AU737" s="524"/>
      <c r="AV737" s="524"/>
    </row>
    <row r="738" spans="1:48" s="2" customFormat="1" ht="15.75" customHeight="1">
      <c r="A738" s="597"/>
      <c r="B738" s="621"/>
      <c r="C738" s="232"/>
      <c r="D738" s="232"/>
      <c r="E738" s="232"/>
      <c r="F738" s="232"/>
      <c r="G738" s="232"/>
      <c r="H738" s="232"/>
      <c r="I738" s="232"/>
      <c r="J738" s="232"/>
      <c r="K738" s="232"/>
      <c r="L738" s="232"/>
      <c r="M738" s="232"/>
      <c r="N738" s="233"/>
      <c r="O738" s="232"/>
      <c r="P738" s="232"/>
      <c r="Q738" s="232"/>
      <c r="R738" s="232"/>
      <c r="S738" s="232"/>
      <c r="T738" s="232"/>
      <c r="U738" s="232"/>
      <c r="V738" s="232"/>
      <c r="W738" s="232"/>
      <c r="X738" s="232"/>
      <c r="Y738" s="232"/>
      <c r="Z738" s="232"/>
      <c r="AA738" s="232"/>
      <c r="AB738" s="233"/>
      <c r="AC738" s="233"/>
      <c r="AD738" s="233"/>
      <c r="AE738" s="581"/>
      <c r="AF738" s="233"/>
      <c r="AG738" s="233"/>
      <c r="AH738" s="581"/>
      <c r="AI738" s="233"/>
      <c r="AJ738" s="233"/>
      <c r="AK738" s="233"/>
      <c r="AL738" s="507"/>
      <c r="AM738" s="233"/>
      <c r="AN738" s="524"/>
      <c r="AO738" s="233"/>
      <c r="AP738" s="233"/>
      <c r="AQ738" s="233"/>
      <c r="AR738" s="233"/>
      <c r="AS738" s="507"/>
      <c r="AT738" s="507"/>
      <c r="AU738" s="507"/>
      <c r="AV738" s="507"/>
    </row>
    <row r="739" spans="1:48" s="2" customFormat="1" ht="15.75" customHeight="1">
      <c r="A739" s="597"/>
      <c r="B739" s="621"/>
      <c r="C739" s="498"/>
      <c r="D739" s="498"/>
      <c r="E739" s="498"/>
      <c r="F739" s="498"/>
      <c r="G739" s="498"/>
      <c r="H739" s="498"/>
      <c r="I739" s="498"/>
      <c r="J739" s="498"/>
      <c r="K739" s="498"/>
      <c r="L739" s="498"/>
      <c r="M739" s="498"/>
      <c r="N739" s="581"/>
      <c r="O739" s="498"/>
      <c r="P739" s="498"/>
      <c r="Q739" s="498"/>
      <c r="R739" s="498"/>
      <c r="S739" s="498"/>
      <c r="T739" s="498"/>
      <c r="U739" s="232"/>
      <c r="V739" s="232"/>
      <c r="W739" s="232"/>
      <c r="X739" s="498"/>
      <c r="Y739" s="498"/>
      <c r="Z739" s="498"/>
      <c r="AA739" s="498"/>
      <c r="AB739" s="233"/>
      <c r="AC739" s="233"/>
      <c r="AD739" s="233"/>
      <c r="AE739" s="581"/>
      <c r="AF739" s="233"/>
      <c r="AG739" s="233"/>
      <c r="AH739" s="581"/>
      <c r="AI739" s="507"/>
      <c r="AJ739" s="233"/>
      <c r="AK739" s="233"/>
      <c r="AL739" s="507"/>
      <c r="AM739" s="233"/>
      <c r="AN739" s="524"/>
      <c r="AO739" s="233"/>
      <c r="AP739" s="233"/>
      <c r="AQ739" s="233"/>
      <c r="AR739" s="233"/>
      <c r="AS739" s="233"/>
      <c r="AT739" s="524"/>
      <c r="AU739" s="524"/>
      <c r="AV739" s="524"/>
    </row>
    <row r="740" spans="1:48" s="2" customFormat="1">
      <c r="A740" s="577"/>
      <c r="B740" s="578"/>
      <c r="C740" s="578"/>
      <c r="D740" s="578"/>
      <c r="E740" s="578"/>
      <c r="F740" s="578"/>
      <c r="G740" s="578"/>
      <c r="H740" s="578"/>
      <c r="I740" s="578"/>
      <c r="J740" s="578"/>
      <c r="K740" s="578"/>
      <c r="L740" s="578"/>
      <c r="M740" s="578"/>
      <c r="N740" s="578"/>
      <c r="O740" s="578"/>
      <c r="P740" s="578"/>
      <c r="Q740" s="578"/>
      <c r="R740" s="578"/>
      <c r="S740" s="578"/>
      <c r="T740" s="578"/>
      <c r="U740" s="578"/>
      <c r="V740" s="578"/>
      <c r="W740" s="578"/>
      <c r="X740" s="578"/>
      <c r="Y740" s="578"/>
      <c r="Z740" s="578"/>
      <c r="AA740" s="578"/>
      <c r="AB740" s="578"/>
      <c r="AC740" s="578"/>
      <c r="AD740" s="578"/>
      <c r="AE740" s="578"/>
      <c r="AF740" s="578"/>
      <c r="AG740" s="578"/>
      <c r="AH740" s="578"/>
      <c r="AI740" s="578"/>
      <c r="AJ740" s="578"/>
      <c r="AK740" s="578"/>
      <c r="AL740" s="578"/>
      <c r="AM740" s="578"/>
      <c r="AN740" s="578"/>
      <c r="AO740" s="578"/>
      <c r="AP740" s="578"/>
      <c r="AQ740" s="578"/>
      <c r="AR740" s="580"/>
      <c r="AS740" s="578"/>
      <c r="AT740" s="578"/>
      <c r="AU740" s="580"/>
      <c r="AV740" s="578"/>
    </row>
    <row r="741" spans="1:48" s="2" customFormat="1">
      <c r="A741" s="556"/>
      <c r="B741" s="586"/>
      <c r="C741" s="498"/>
      <c r="D741" s="498"/>
      <c r="E741" s="498"/>
      <c r="F741" s="498"/>
      <c r="G741" s="498"/>
      <c r="H741" s="498"/>
      <c r="I741" s="498"/>
      <c r="J741" s="498"/>
      <c r="K741" s="498"/>
      <c r="L741" s="498"/>
      <c r="M741" s="498"/>
      <c r="N741" s="498"/>
      <c r="O741" s="498"/>
      <c r="P741" s="498"/>
      <c r="Q741" s="498"/>
      <c r="R741" s="498"/>
      <c r="S741" s="498"/>
      <c r="T741" s="498"/>
      <c r="U741" s="498"/>
      <c r="V741" s="498"/>
      <c r="W741" s="498"/>
      <c r="X741" s="498"/>
      <c r="Y741" s="498"/>
      <c r="Z741" s="498"/>
      <c r="AA741" s="498"/>
      <c r="AF741" s="521"/>
    </row>
    <row r="742" spans="1:48" s="2" customFormat="1">
      <c r="A742" s="608"/>
      <c r="C742" s="498"/>
      <c r="D742" s="498"/>
      <c r="E742" s="498"/>
      <c r="F742" s="498"/>
      <c r="G742" s="498"/>
      <c r="H742" s="498"/>
      <c r="I742" s="498"/>
      <c r="J742" s="498"/>
      <c r="K742" s="498"/>
      <c r="L742" s="498"/>
      <c r="M742" s="498"/>
      <c r="N742" s="498"/>
      <c r="O742" s="498"/>
      <c r="P742" s="498"/>
      <c r="Q742" s="498"/>
      <c r="R742" s="498"/>
      <c r="S742" s="498"/>
      <c r="T742" s="498"/>
      <c r="U742" s="498"/>
      <c r="V742" s="498"/>
      <c r="W742" s="498"/>
      <c r="X742" s="498"/>
      <c r="Y742" s="498"/>
      <c r="Z742" s="498"/>
      <c r="AA742" s="528"/>
      <c r="AB742" s="528"/>
      <c r="AC742" s="526"/>
      <c r="AD742" s="526"/>
      <c r="AE742" s="572"/>
      <c r="AF742" s="572"/>
      <c r="AG742" s="572"/>
      <c r="AH742" s="488"/>
      <c r="AI742" s="635"/>
      <c r="AJ742" s="635"/>
      <c r="AK742" s="526"/>
      <c r="AL742" s="526"/>
      <c r="AM742" s="526"/>
      <c r="AN742" s="526"/>
      <c r="AO742" s="526"/>
      <c r="AP742" s="526"/>
      <c r="AQ742" s="526"/>
      <c r="AR742" s="488"/>
      <c r="AS742" s="488"/>
      <c r="AT742" s="526"/>
      <c r="AU742" s="526"/>
      <c r="AV742" s="526"/>
    </row>
    <row r="743" spans="1:48" s="2" customFormat="1">
      <c r="A743" s="589"/>
      <c r="C743" s="636"/>
      <c r="D743" s="636"/>
      <c r="E743" s="636"/>
      <c r="F743" s="636"/>
      <c r="G743" s="636"/>
      <c r="H743" s="636"/>
      <c r="I743" s="636"/>
      <c r="J743" s="636"/>
      <c r="K743" s="636"/>
      <c r="L743" s="525"/>
      <c r="M743" s="498"/>
      <c r="N743" s="498"/>
      <c r="O743" s="498"/>
      <c r="P743" s="498"/>
      <c r="Q743" s="498"/>
      <c r="R743" s="498"/>
      <c r="S743" s="498"/>
      <c r="T743" s="498"/>
      <c r="U743" s="498"/>
      <c r="V743" s="498"/>
      <c r="W743" s="498"/>
      <c r="X743" s="498"/>
      <c r="Y743" s="498"/>
      <c r="Z743" s="498"/>
      <c r="AA743" s="528"/>
      <c r="AB743" s="528"/>
      <c r="AC743" s="526"/>
      <c r="AD743" s="526"/>
      <c r="AE743" s="572"/>
      <c r="AF743" s="572"/>
      <c r="AG743" s="572"/>
      <c r="AH743" s="526"/>
      <c r="AI743" s="635"/>
      <c r="AJ743" s="635"/>
      <c r="AK743" s="526"/>
      <c r="AL743" s="526"/>
      <c r="AM743" s="526"/>
      <c r="AN743" s="526"/>
      <c r="AO743" s="526"/>
      <c r="AP743" s="526"/>
      <c r="AQ743" s="526"/>
      <c r="AR743" s="488"/>
      <c r="AS743" s="488"/>
      <c r="AT743" s="526"/>
      <c r="AU743" s="526"/>
      <c r="AV743" s="526"/>
    </row>
    <row r="744" spans="1:48" s="2" customFormat="1">
      <c r="A744" s="589"/>
      <c r="C744" s="636"/>
      <c r="D744" s="636"/>
      <c r="E744" s="636"/>
      <c r="F744" s="636"/>
      <c r="G744" s="636"/>
      <c r="H744" s="636"/>
      <c r="I744" s="636"/>
      <c r="J744" s="636"/>
      <c r="K744" s="636"/>
      <c r="L744" s="525"/>
      <c r="M744" s="498"/>
      <c r="N744" s="498"/>
      <c r="O744" s="498"/>
      <c r="P744" s="498"/>
      <c r="Q744" s="498"/>
      <c r="R744" s="498"/>
      <c r="S744" s="498"/>
      <c r="T744" s="498"/>
      <c r="U744" s="498"/>
      <c r="V744" s="498"/>
      <c r="W744" s="498"/>
      <c r="X744" s="498"/>
      <c r="Y744" s="498"/>
      <c r="Z744" s="498"/>
      <c r="AA744" s="528"/>
      <c r="AB744" s="528"/>
      <c r="AC744" s="526"/>
      <c r="AD744" s="526"/>
      <c r="AE744" s="572"/>
      <c r="AF744" s="572"/>
      <c r="AG744" s="572"/>
      <c r="AH744" s="526"/>
      <c r="AI744" s="635"/>
      <c r="AJ744" s="635"/>
      <c r="AK744" s="526"/>
      <c r="AL744" s="526"/>
      <c r="AM744" s="526"/>
      <c r="AN744" s="526"/>
      <c r="AO744" s="526"/>
      <c r="AP744" s="526"/>
      <c r="AQ744" s="526"/>
      <c r="AR744" s="488"/>
      <c r="AS744" s="488"/>
      <c r="AT744" s="526"/>
      <c r="AU744" s="526"/>
      <c r="AV744" s="526"/>
    </row>
    <row r="745" spans="1:48" s="2" customFormat="1">
      <c r="A745" s="589"/>
      <c r="C745" s="636"/>
      <c r="D745" s="636"/>
      <c r="E745" s="636"/>
      <c r="F745" s="636"/>
      <c r="G745" s="636"/>
      <c r="H745" s="636"/>
      <c r="I745" s="636"/>
      <c r="J745" s="636"/>
      <c r="K745" s="636"/>
      <c r="L745" s="525"/>
      <c r="M745" s="498"/>
      <c r="N745" s="498"/>
      <c r="O745" s="498"/>
      <c r="P745" s="498"/>
      <c r="Q745" s="498"/>
      <c r="R745" s="498"/>
      <c r="S745" s="498"/>
      <c r="T745" s="498"/>
      <c r="U745" s="498"/>
      <c r="V745" s="498"/>
      <c r="W745" s="498"/>
      <c r="X745" s="498"/>
      <c r="Y745" s="498"/>
      <c r="Z745" s="498"/>
      <c r="AA745" s="528"/>
      <c r="AB745" s="528"/>
      <c r="AC745" s="526"/>
      <c r="AD745" s="526"/>
      <c r="AE745" s="572"/>
      <c r="AF745" s="572"/>
      <c r="AG745" s="572"/>
      <c r="AH745" s="526"/>
      <c r="AI745" s="635"/>
      <c r="AJ745" s="635"/>
      <c r="AK745" s="526"/>
      <c r="AL745" s="526"/>
      <c r="AM745" s="526"/>
      <c r="AN745" s="526"/>
      <c r="AO745" s="526"/>
      <c r="AP745" s="526"/>
      <c r="AQ745" s="526"/>
      <c r="AR745" s="488"/>
      <c r="AS745" s="488"/>
      <c r="AT745" s="526"/>
      <c r="AU745" s="526"/>
      <c r="AV745" s="526"/>
    </row>
    <row r="746" spans="1:48" s="2" customFormat="1">
      <c r="A746" s="589"/>
      <c r="C746" s="636"/>
      <c r="D746" s="636"/>
      <c r="E746" s="636"/>
      <c r="F746" s="636"/>
      <c r="G746" s="636"/>
      <c r="H746" s="636"/>
      <c r="I746" s="636"/>
      <c r="J746" s="636"/>
      <c r="K746" s="636"/>
      <c r="L746" s="525"/>
      <c r="M746" s="498"/>
      <c r="N746" s="498"/>
      <c r="O746" s="498"/>
      <c r="P746" s="498"/>
      <c r="Q746" s="498"/>
      <c r="R746" s="498"/>
      <c r="S746" s="498"/>
      <c r="T746" s="498"/>
      <c r="U746" s="498"/>
      <c r="V746" s="498"/>
      <c r="W746" s="498"/>
      <c r="X746" s="498"/>
      <c r="Y746" s="498"/>
      <c r="Z746" s="498"/>
      <c r="AA746" s="528"/>
      <c r="AB746" s="528"/>
      <c r="AC746" s="526"/>
      <c r="AD746" s="526"/>
      <c r="AE746" s="572"/>
      <c r="AF746" s="572"/>
      <c r="AG746" s="572"/>
      <c r="AH746" s="526"/>
      <c r="AI746" s="635"/>
      <c r="AJ746" s="635"/>
      <c r="AK746" s="526"/>
      <c r="AL746" s="526"/>
      <c r="AM746" s="526"/>
      <c r="AN746" s="526"/>
      <c r="AO746" s="526"/>
      <c r="AP746" s="526"/>
      <c r="AQ746" s="526"/>
      <c r="AR746" s="488"/>
      <c r="AS746" s="488"/>
      <c r="AT746" s="526"/>
      <c r="AU746" s="526"/>
      <c r="AV746" s="526"/>
    </row>
    <row r="747" spans="1:48" s="2" customFormat="1">
      <c r="A747" s="589"/>
      <c r="C747" s="636"/>
      <c r="D747" s="636"/>
      <c r="E747" s="636"/>
      <c r="F747" s="636"/>
      <c r="G747" s="636"/>
      <c r="H747" s="636"/>
      <c r="I747" s="636"/>
      <c r="J747" s="636"/>
      <c r="K747" s="636"/>
      <c r="L747" s="525"/>
      <c r="M747" s="498"/>
      <c r="N747" s="498"/>
      <c r="O747" s="498"/>
      <c r="P747" s="498"/>
      <c r="Q747" s="498"/>
      <c r="R747" s="498"/>
      <c r="S747" s="498"/>
      <c r="T747" s="498"/>
      <c r="U747" s="498"/>
      <c r="V747" s="498"/>
      <c r="W747" s="498"/>
      <c r="X747" s="498"/>
      <c r="Y747" s="498"/>
      <c r="Z747" s="498"/>
      <c r="AA747" s="528"/>
      <c r="AB747" s="528"/>
      <c r="AC747" s="526"/>
      <c r="AD747" s="526"/>
      <c r="AE747" s="572"/>
      <c r="AF747" s="572"/>
      <c r="AG747" s="572"/>
      <c r="AH747" s="526"/>
      <c r="AI747" s="635"/>
      <c r="AJ747" s="635"/>
      <c r="AK747" s="526"/>
      <c r="AL747" s="526"/>
      <c r="AM747" s="526"/>
      <c r="AN747" s="526"/>
      <c r="AO747" s="526"/>
      <c r="AP747" s="526"/>
      <c r="AQ747" s="526"/>
      <c r="AR747" s="488"/>
      <c r="AS747" s="488"/>
      <c r="AT747" s="526"/>
      <c r="AU747" s="526"/>
      <c r="AV747" s="526"/>
    </row>
    <row r="748" spans="1:48" s="2" customFormat="1">
      <c r="A748" s="589"/>
      <c r="C748" s="636"/>
      <c r="D748" s="636"/>
      <c r="E748" s="636"/>
      <c r="F748" s="636"/>
      <c r="G748" s="636"/>
      <c r="H748" s="636"/>
      <c r="I748" s="636"/>
      <c r="J748" s="636"/>
      <c r="K748" s="636"/>
      <c r="L748" s="525"/>
      <c r="M748" s="498"/>
      <c r="N748" s="498"/>
      <c r="O748" s="498"/>
      <c r="P748" s="498"/>
      <c r="Q748" s="498"/>
      <c r="R748" s="498"/>
      <c r="S748" s="498"/>
      <c r="T748" s="498"/>
      <c r="U748" s="498"/>
      <c r="V748" s="498"/>
      <c r="W748" s="498"/>
      <c r="X748" s="498"/>
      <c r="Y748" s="498"/>
      <c r="Z748" s="498"/>
      <c r="AA748" s="528"/>
      <c r="AB748" s="528"/>
      <c r="AC748" s="526"/>
      <c r="AD748" s="526"/>
      <c r="AE748" s="572"/>
      <c r="AF748" s="572"/>
      <c r="AG748" s="572"/>
      <c r="AH748" s="526"/>
      <c r="AI748" s="635"/>
      <c r="AJ748" s="635"/>
      <c r="AK748" s="526"/>
      <c r="AL748" s="526"/>
      <c r="AM748" s="526"/>
      <c r="AN748" s="526"/>
      <c r="AO748" s="526"/>
      <c r="AP748" s="526"/>
      <c r="AQ748" s="526"/>
      <c r="AR748" s="488"/>
      <c r="AS748" s="488"/>
      <c r="AT748" s="526"/>
      <c r="AU748" s="526"/>
      <c r="AV748" s="526"/>
    </row>
    <row r="749" spans="1:48" s="2" customFormat="1">
      <c r="A749" s="589"/>
      <c r="C749" s="636"/>
      <c r="D749" s="636"/>
      <c r="E749" s="636"/>
      <c r="F749" s="636"/>
      <c r="G749" s="636"/>
      <c r="H749" s="636"/>
      <c r="I749" s="636"/>
      <c r="J749" s="636"/>
      <c r="K749" s="636"/>
      <c r="L749" s="525"/>
      <c r="M749" s="498"/>
      <c r="N749" s="498"/>
      <c r="O749" s="498"/>
      <c r="P749" s="498"/>
      <c r="Q749" s="498"/>
      <c r="R749" s="498"/>
      <c r="S749" s="498"/>
      <c r="T749" s="498"/>
      <c r="U749" s="498"/>
      <c r="V749" s="498"/>
      <c r="W749" s="498"/>
      <c r="X749" s="498"/>
      <c r="Y749" s="498"/>
      <c r="Z749" s="498"/>
      <c r="AA749" s="528"/>
      <c r="AB749" s="528"/>
      <c r="AC749" s="526"/>
      <c r="AD749" s="526"/>
      <c r="AE749" s="572"/>
      <c r="AF749" s="572"/>
      <c r="AG749" s="572"/>
      <c r="AH749" s="526"/>
      <c r="AI749" s="635"/>
      <c r="AJ749" s="635"/>
      <c r="AK749" s="526"/>
      <c r="AL749" s="526"/>
      <c r="AM749" s="526"/>
      <c r="AN749" s="526"/>
      <c r="AO749" s="526"/>
      <c r="AP749" s="526"/>
      <c r="AQ749" s="526"/>
      <c r="AR749" s="488"/>
      <c r="AS749" s="488"/>
      <c r="AT749" s="526"/>
      <c r="AU749" s="526"/>
      <c r="AV749" s="526"/>
    </row>
    <row r="750" spans="1:48" s="2" customFormat="1">
      <c r="A750" s="589"/>
      <c r="C750" s="636"/>
      <c r="D750" s="636"/>
      <c r="E750" s="636"/>
      <c r="F750" s="636"/>
      <c r="G750" s="636"/>
      <c r="H750" s="636"/>
      <c r="I750" s="636"/>
      <c r="J750" s="636"/>
      <c r="K750" s="636"/>
      <c r="L750" s="525"/>
      <c r="M750" s="498"/>
      <c r="N750" s="498"/>
      <c r="O750" s="498"/>
      <c r="P750" s="498"/>
      <c r="Q750" s="498"/>
      <c r="R750" s="498"/>
      <c r="S750" s="498"/>
      <c r="T750" s="498"/>
      <c r="U750" s="498"/>
      <c r="V750" s="498"/>
      <c r="W750" s="498"/>
      <c r="X750" s="498"/>
      <c r="Y750" s="498"/>
      <c r="Z750" s="498"/>
      <c r="AA750" s="528"/>
      <c r="AB750" s="528"/>
      <c r="AC750" s="526"/>
      <c r="AD750" s="526"/>
      <c r="AE750" s="572"/>
      <c r="AF750" s="572"/>
      <c r="AG750" s="572"/>
      <c r="AH750" s="526"/>
      <c r="AI750" s="635"/>
      <c r="AJ750" s="635"/>
      <c r="AK750" s="526"/>
      <c r="AL750" s="526"/>
      <c r="AM750" s="526"/>
      <c r="AN750" s="526"/>
      <c r="AO750" s="526"/>
      <c r="AP750" s="526"/>
      <c r="AQ750" s="526"/>
      <c r="AR750" s="488"/>
      <c r="AS750" s="488"/>
      <c r="AT750" s="526"/>
      <c r="AU750" s="526"/>
      <c r="AV750" s="526"/>
    </row>
    <row r="751" spans="1:48" s="2" customFormat="1" ht="14.25" customHeight="1">
      <c r="A751" s="597"/>
      <c r="B751" s="586"/>
      <c r="C751" s="498"/>
      <c r="D751" s="498"/>
      <c r="E751" s="498"/>
      <c r="F751" s="498"/>
      <c r="G751" s="498"/>
      <c r="H751" s="498"/>
      <c r="I751" s="498"/>
      <c r="J751" s="498"/>
      <c r="K751" s="498"/>
      <c r="L751" s="498"/>
      <c r="M751" s="498"/>
      <c r="N751" s="498"/>
      <c r="O751" s="498"/>
      <c r="P751" s="498"/>
      <c r="Q751" s="498"/>
      <c r="R751" s="498"/>
      <c r="S751" s="498"/>
      <c r="T751" s="498"/>
      <c r="U751" s="498"/>
      <c r="V751" s="498"/>
      <c r="W751" s="498"/>
      <c r="X751" s="498"/>
      <c r="Y751" s="498"/>
      <c r="Z751" s="498"/>
      <c r="AA751" s="233"/>
      <c r="AB751" s="232"/>
      <c r="AC751" s="233"/>
      <c r="AD751" s="498"/>
      <c r="AE751" s="498"/>
      <c r="AF751" s="233"/>
      <c r="AH751" s="233"/>
      <c r="AI751" s="233"/>
      <c r="AO751" s="526"/>
    </row>
    <row r="752" spans="1:48" s="2" customFormat="1">
      <c r="A752" s="597"/>
      <c r="B752" s="621"/>
      <c r="C752" s="498"/>
      <c r="D752" s="498"/>
      <c r="E752" s="498"/>
      <c r="F752" s="498"/>
      <c r="G752" s="498"/>
      <c r="H752" s="498"/>
      <c r="I752" s="498"/>
      <c r="J752" s="498"/>
      <c r="K752" s="498"/>
      <c r="L752" s="498"/>
      <c r="M752" s="498"/>
      <c r="N752" s="498"/>
      <c r="O752" s="498"/>
      <c r="P752" s="498"/>
      <c r="Q752" s="498"/>
      <c r="R752" s="498"/>
      <c r="S752" s="498"/>
      <c r="T752" s="498"/>
      <c r="U752" s="498"/>
      <c r="V752" s="498"/>
      <c r="W752" s="498"/>
      <c r="X752" s="498"/>
      <c r="Y752" s="498"/>
      <c r="Z752" s="498"/>
      <c r="AA752" s="498"/>
      <c r="AD752" s="551"/>
      <c r="AO752" s="526"/>
    </row>
    <row r="753" spans="1:48" s="2" customFormat="1">
      <c r="A753" s="608"/>
      <c r="C753" s="636"/>
      <c r="D753" s="636"/>
      <c r="E753" s="636"/>
      <c r="F753" s="636"/>
      <c r="G753" s="636"/>
      <c r="H753" s="636"/>
      <c r="I753" s="636"/>
      <c r="J753" s="636"/>
      <c r="K753" s="498"/>
      <c r="L753" s="498"/>
      <c r="M753" s="498"/>
      <c r="N753" s="498"/>
      <c r="O753" s="498"/>
      <c r="P753" s="498"/>
      <c r="Q753" s="498"/>
      <c r="R753" s="498"/>
      <c r="S753" s="498"/>
      <c r="T753" s="498"/>
      <c r="U753" s="498"/>
      <c r="V753" s="498"/>
      <c r="W753" s="498"/>
      <c r="X753" s="498"/>
      <c r="Y753" s="498"/>
      <c r="Z753" s="498"/>
      <c r="AA753" s="502"/>
      <c r="AB753" s="523"/>
      <c r="AC753" s="507"/>
      <c r="AD753" s="551"/>
      <c r="AE753" s="573"/>
      <c r="AF753" s="573"/>
      <c r="AG753" s="573"/>
      <c r="AH753" s="573"/>
      <c r="AI753" s="573"/>
      <c r="AJ753" s="573"/>
      <c r="AP753" s="233"/>
      <c r="AQ753" s="233"/>
      <c r="AR753" s="233"/>
      <c r="AS753" s="233"/>
    </row>
    <row r="754" spans="1:48" s="2" customFormat="1">
      <c r="A754" s="589"/>
      <c r="C754" s="636"/>
      <c r="D754" s="636"/>
      <c r="E754" s="636"/>
      <c r="F754" s="636"/>
      <c r="G754" s="636"/>
      <c r="H754" s="636"/>
      <c r="I754" s="636"/>
      <c r="J754" s="636"/>
      <c r="K754" s="636"/>
      <c r="L754" s="525"/>
      <c r="M754" s="525"/>
      <c r="N754" s="498"/>
      <c r="O754" s="498"/>
      <c r="P754" s="498"/>
      <c r="Q754" s="498"/>
      <c r="R754" s="498"/>
      <c r="S754" s="498"/>
      <c r="T754" s="498"/>
      <c r="U754" s="498"/>
      <c r="V754" s="498"/>
      <c r="W754" s="498"/>
      <c r="X754" s="498"/>
      <c r="Y754" s="498"/>
      <c r="Z754" s="498"/>
      <c r="AA754" s="502"/>
      <c r="AB754" s="523"/>
      <c r="AC754" s="507"/>
      <c r="AD754" s="551"/>
      <c r="AE754" s="573"/>
      <c r="AF754" s="573"/>
      <c r="AG754" s="573"/>
      <c r="AH754" s="573"/>
      <c r="AI754" s="573"/>
      <c r="AJ754" s="573"/>
      <c r="AP754" s="233"/>
      <c r="AQ754" s="233"/>
      <c r="AR754" s="233"/>
      <c r="AS754" s="233"/>
    </row>
    <row r="755" spans="1:48" s="2" customFormat="1">
      <c r="A755" s="589"/>
      <c r="C755" s="636"/>
      <c r="D755" s="636"/>
      <c r="E755" s="636"/>
      <c r="F755" s="636"/>
      <c r="G755" s="636"/>
      <c r="H755" s="636"/>
      <c r="I755" s="636"/>
      <c r="J755" s="636"/>
      <c r="K755" s="636"/>
      <c r="L755" s="525"/>
      <c r="M755" s="525"/>
      <c r="N755" s="498"/>
      <c r="O755" s="498"/>
      <c r="P755" s="498"/>
      <c r="Q755" s="498"/>
      <c r="R755" s="498"/>
      <c r="S755" s="498"/>
      <c r="T755" s="498"/>
      <c r="U755" s="498"/>
      <c r="V755" s="498"/>
      <c r="W755" s="498"/>
      <c r="X755" s="498"/>
      <c r="Y755" s="498"/>
      <c r="Z755" s="498"/>
      <c r="AA755" s="502"/>
      <c r="AB755" s="523"/>
      <c r="AC755" s="507"/>
      <c r="AD755" s="551"/>
      <c r="AE755" s="573"/>
      <c r="AF755" s="573"/>
      <c r="AG755" s="573"/>
      <c r="AH755" s="573"/>
      <c r="AI755" s="573"/>
      <c r="AJ755" s="573"/>
      <c r="AP755" s="233"/>
      <c r="AQ755" s="233"/>
      <c r="AR755" s="233"/>
      <c r="AS755" s="233"/>
    </row>
    <row r="756" spans="1:48" s="2" customFormat="1">
      <c r="A756" s="589"/>
      <c r="C756" s="636"/>
      <c r="D756" s="636"/>
      <c r="E756" s="636"/>
      <c r="F756" s="636"/>
      <c r="G756" s="636"/>
      <c r="H756" s="636"/>
      <c r="I756" s="636"/>
      <c r="J756" s="636"/>
      <c r="K756" s="636"/>
      <c r="L756" s="525"/>
      <c r="M756" s="525"/>
      <c r="N756" s="498"/>
      <c r="O756" s="498"/>
      <c r="P756" s="498"/>
      <c r="Q756" s="498"/>
      <c r="R756" s="498"/>
      <c r="S756" s="498"/>
      <c r="T756" s="498"/>
      <c r="U756" s="498"/>
      <c r="V756" s="498"/>
      <c r="W756" s="498"/>
      <c r="X756" s="498"/>
      <c r="Y756" s="498"/>
      <c r="Z756" s="498"/>
      <c r="AA756" s="502"/>
      <c r="AB756" s="523"/>
      <c r="AC756" s="507"/>
      <c r="AD756" s="551"/>
      <c r="AE756" s="573"/>
      <c r="AF756" s="573"/>
      <c r="AG756" s="573"/>
      <c r="AH756" s="573"/>
      <c r="AI756" s="573"/>
      <c r="AJ756" s="573"/>
      <c r="AN756" s="233"/>
      <c r="AO756" s="233"/>
      <c r="AP756" s="233"/>
      <c r="AQ756" s="233"/>
      <c r="AR756" s="233"/>
      <c r="AS756" s="233"/>
    </row>
    <row r="757" spans="1:48" s="2" customFormat="1">
      <c r="A757" s="589"/>
      <c r="C757" s="636"/>
      <c r="D757" s="636"/>
      <c r="E757" s="636"/>
      <c r="F757" s="636"/>
      <c r="G757" s="636"/>
      <c r="H757" s="636"/>
      <c r="I757" s="636"/>
      <c r="J757" s="636"/>
      <c r="K757" s="636"/>
      <c r="L757" s="525"/>
      <c r="M757" s="525"/>
      <c r="N757" s="498"/>
      <c r="O757" s="498"/>
      <c r="P757" s="498"/>
      <c r="Q757" s="498"/>
      <c r="R757" s="498"/>
      <c r="S757" s="498"/>
      <c r="T757" s="498"/>
      <c r="U757" s="498"/>
      <c r="V757" s="498"/>
      <c r="W757" s="498"/>
      <c r="X757" s="498"/>
      <c r="Y757" s="498"/>
      <c r="Z757" s="498"/>
      <c r="AA757" s="502"/>
      <c r="AB757" s="523"/>
      <c r="AC757" s="507"/>
      <c r="AD757" s="551"/>
      <c r="AE757" s="573"/>
      <c r="AF757" s="573"/>
      <c r="AG757" s="573"/>
      <c r="AH757" s="573"/>
      <c r="AI757" s="573"/>
      <c r="AJ757" s="573"/>
      <c r="AN757" s="233"/>
      <c r="AO757" s="233"/>
      <c r="AP757" s="233"/>
      <c r="AQ757" s="233"/>
      <c r="AR757" s="233"/>
      <c r="AS757" s="233"/>
    </row>
    <row r="758" spans="1:48" s="2" customFormat="1">
      <c r="A758" s="589"/>
      <c r="C758" s="636"/>
      <c r="D758" s="636"/>
      <c r="E758" s="636"/>
      <c r="F758" s="636"/>
      <c r="G758" s="636"/>
      <c r="H758" s="636"/>
      <c r="I758" s="636"/>
      <c r="J758" s="636"/>
      <c r="K758" s="636"/>
      <c r="L758" s="525"/>
      <c r="M758" s="525"/>
      <c r="N758" s="498"/>
      <c r="O758" s="498"/>
      <c r="P758" s="498"/>
      <c r="Q758" s="498"/>
      <c r="R758" s="498"/>
      <c r="S758" s="498"/>
      <c r="T758" s="498"/>
      <c r="U758" s="498"/>
      <c r="V758" s="498"/>
      <c r="W758" s="498"/>
      <c r="X758" s="498"/>
      <c r="Y758" s="498"/>
      <c r="Z758" s="498"/>
      <c r="AA758" s="502"/>
      <c r="AB758" s="523"/>
      <c r="AC758" s="507"/>
      <c r="AD758" s="551"/>
      <c r="AE758" s="573"/>
      <c r="AF758" s="573"/>
      <c r="AG758" s="573"/>
      <c r="AH758" s="573"/>
      <c r="AI758" s="573"/>
      <c r="AJ758" s="573"/>
      <c r="AP758" s="233"/>
      <c r="AQ758" s="233"/>
      <c r="AR758" s="233"/>
      <c r="AS758" s="233"/>
      <c r="AV758" s="507"/>
    </row>
    <row r="759" spans="1:48" s="2" customFormat="1">
      <c r="A759" s="589"/>
      <c r="C759" s="636"/>
      <c r="D759" s="636"/>
      <c r="E759" s="636"/>
      <c r="F759" s="636"/>
      <c r="G759" s="636"/>
      <c r="H759" s="636"/>
      <c r="I759" s="636"/>
      <c r="J759" s="636"/>
      <c r="K759" s="636"/>
      <c r="L759" s="525"/>
      <c r="M759" s="525"/>
      <c r="N759" s="498"/>
      <c r="O759" s="498"/>
      <c r="P759" s="498"/>
      <c r="Q759" s="498"/>
      <c r="R759" s="498"/>
      <c r="S759" s="498"/>
      <c r="T759" s="498"/>
      <c r="U759" s="498"/>
      <c r="V759" s="498"/>
      <c r="W759" s="498"/>
      <c r="X759" s="498"/>
      <c r="Y759" s="498"/>
      <c r="Z759" s="498"/>
      <c r="AA759" s="502"/>
      <c r="AB759" s="523"/>
      <c r="AC759" s="507"/>
      <c r="AD759" s="551"/>
      <c r="AE759" s="573"/>
      <c r="AF759" s="573"/>
      <c r="AG759" s="573"/>
      <c r="AH759" s="573"/>
      <c r="AI759" s="573"/>
      <c r="AJ759" s="573"/>
      <c r="AP759" s="233"/>
      <c r="AQ759" s="233"/>
      <c r="AR759" s="233"/>
      <c r="AS759" s="233"/>
    </row>
    <row r="760" spans="1:48" s="2" customFormat="1">
      <c r="A760" s="589"/>
      <c r="C760" s="636"/>
      <c r="D760" s="636"/>
      <c r="E760" s="636"/>
      <c r="F760" s="636"/>
      <c r="G760" s="636"/>
      <c r="H760" s="636"/>
      <c r="I760" s="636"/>
      <c r="J760" s="636"/>
      <c r="K760" s="636"/>
      <c r="L760" s="525"/>
      <c r="M760" s="525"/>
      <c r="N760" s="498"/>
      <c r="O760" s="498"/>
      <c r="P760" s="498"/>
      <c r="Q760" s="498"/>
      <c r="R760" s="498"/>
      <c r="S760" s="498"/>
      <c r="T760" s="498"/>
      <c r="U760" s="498"/>
      <c r="V760" s="498"/>
      <c r="W760" s="498"/>
      <c r="X760" s="498"/>
      <c r="Y760" s="498"/>
      <c r="Z760" s="498"/>
      <c r="AA760" s="502"/>
      <c r="AB760" s="523"/>
      <c r="AC760" s="507"/>
      <c r="AD760" s="551"/>
      <c r="AE760" s="573"/>
      <c r="AF760" s="573"/>
      <c r="AG760" s="573"/>
      <c r="AH760" s="573"/>
      <c r="AI760" s="573"/>
      <c r="AJ760" s="573"/>
      <c r="AP760" s="233"/>
      <c r="AQ760" s="233"/>
      <c r="AR760" s="233"/>
      <c r="AS760" s="233"/>
    </row>
    <row r="761" spans="1:48" s="2" customFormat="1">
      <c r="A761" s="589"/>
      <c r="C761" s="636"/>
      <c r="D761" s="636"/>
      <c r="E761" s="636"/>
      <c r="F761" s="636"/>
      <c r="G761" s="636"/>
      <c r="H761" s="636"/>
      <c r="I761" s="636"/>
      <c r="J761" s="636"/>
      <c r="K761" s="636"/>
      <c r="L761" s="525"/>
      <c r="M761" s="525"/>
      <c r="N761" s="498"/>
      <c r="O761" s="498"/>
      <c r="P761" s="498"/>
      <c r="Q761" s="498"/>
      <c r="R761" s="498"/>
      <c r="S761" s="498"/>
      <c r="T761" s="498"/>
      <c r="U761" s="498"/>
      <c r="V761" s="498"/>
      <c r="W761" s="498"/>
      <c r="X761" s="498"/>
      <c r="Y761" s="498"/>
      <c r="Z761" s="498"/>
      <c r="AA761" s="502"/>
      <c r="AB761" s="523"/>
      <c r="AC761" s="507"/>
      <c r="AD761" s="551"/>
      <c r="AE761" s="573"/>
      <c r="AF761" s="573"/>
      <c r="AG761" s="573"/>
      <c r="AH761" s="573"/>
      <c r="AI761" s="573"/>
      <c r="AJ761" s="573"/>
      <c r="AO761" s="233"/>
      <c r="AP761" s="233"/>
      <c r="AQ761" s="233"/>
      <c r="AR761" s="233"/>
      <c r="AS761" s="233"/>
    </row>
    <row r="762" spans="1:48" s="2" customFormat="1">
      <c r="A762" s="637"/>
      <c r="B762" s="621"/>
      <c r="C762" s="636"/>
      <c r="D762" s="636"/>
      <c r="E762" s="636"/>
      <c r="F762" s="636"/>
      <c r="G762" s="636"/>
      <c r="H762" s="636"/>
      <c r="I762" s="636"/>
      <c r="J762" s="636"/>
      <c r="K762" s="636"/>
      <c r="L762" s="498"/>
      <c r="M762" s="498"/>
      <c r="N762" s="498"/>
      <c r="O762" s="498"/>
      <c r="P762" s="498"/>
      <c r="Q762" s="498"/>
      <c r="R762" s="498"/>
      <c r="S762" s="498"/>
      <c r="T762" s="498"/>
      <c r="U762" s="498"/>
      <c r="V762" s="498"/>
      <c r="W762" s="498"/>
      <c r="X762" s="498"/>
      <c r="Y762" s="498"/>
      <c r="Z762" s="498"/>
      <c r="AA762" s="498"/>
      <c r="AD762" s="551"/>
      <c r="AE762" s="498"/>
      <c r="AP762" s="233"/>
      <c r="AQ762" s="233"/>
      <c r="AR762" s="233"/>
    </row>
    <row r="763" spans="1:48" s="2" customFormat="1">
      <c r="A763" s="577"/>
      <c r="B763" s="578"/>
      <c r="C763" s="578"/>
      <c r="D763" s="578"/>
      <c r="E763" s="578"/>
      <c r="F763" s="578"/>
      <c r="G763" s="578"/>
      <c r="H763" s="578"/>
      <c r="I763" s="578"/>
      <c r="J763" s="578"/>
      <c r="K763" s="578"/>
      <c r="L763" s="578"/>
      <c r="M763" s="578"/>
      <c r="N763" s="578"/>
      <c r="O763" s="578"/>
      <c r="P763" s="578"/>
      <c r="Q763" s="578"/>
      <c r="R763" s="578"/>
      <c r="S763" s="578"/>
      <c r="T763" s="578"/>
      <c r="U763" s="578"/>
      <c r="V763" s="578"/>
      <c r="W763" s="578"/>
      <c r="X763" s="578"/>
      <c r="Y763" s="578"/>
      <c r="Z763" s="578"/>
      <c r="AA763" s="578"/>
      <c r="AB763" s="578"/>
      <c r="AC763" s="578"/>
      <c r="AD763" s="578"/>
      <c r="AE763" s="578"/>
      <c r="AF763" s="578"/>
      <c r="AG763" s="578"/>
      <c r="AH763" s="578"/>
      <c r="AI763" s="578"/>
      <c r="AJ763" s="578"/>
      <c r="AK763" s="493"/>
      <c r="AL763" s="578"/>
      <c r="AM763" s="578"/>
      <c r="AN763" s="578"/>
      <c r="AO763" s="578"/>
      <c r="AP763" s="578"/>
      <c r="AQ763" s="578"/>
      <c r="AR763" s="578"/>
      <c r="AS763" s="578"/>
      <c r="AT763" s="578"/>
    </row>
    <row r="764" spans="1:48" s="2" customFormat="1">
      <c r="A764" s="556"/>
      <c r="B764" s="497"/>
      <c r="C764" s="498"/>
      <c r="D764" s="498"/>
      <c r="E764" s="498"/>
      <c r="F764" s="498"/>
      <c r="G764" s="498"/>
      <c r="H764" s="498"/>
      <c r="I764" s="498"/>
      <c r="J764" s="498"/>
      <c r="K764" s="498"/>
      <c r="L764" s="498"/>
      <c r="M764" s="498"/>
      <c r="N764" s="498"/>
      <c r="O764" s="498"/>
      <c r="P764" s="498"/>
      <c r="Q764" s="498"/>
      <c r="R764" s="498"/>
      <c r="S764" s="498"/>
      <c r="T764" s="498"/>
      <c r="U764" s="498"/>
      <c r="V764" s="498"/>
      <c r="W764" s="498"/>
      <c r="X764" s="498"/>
      <c r="Y764" s="498"/>
      <c r="Z764" s="498"/>
      <c r="AA764" s="498"/>
    </row>
    <row r="765" spans="1:48" s="2" customFormat="1">
      <c r="A765" s="556"/>
      <c r="C765" s="498"/>
      <c r="D765" s="498"/>
      <c r="E765" s="498"/>
      <c r="F765" s="498"/>
      <c r="G765" s="498"/>
      <c r="H765" s="498"/>
      <c r="I765" s="498"/>
      <c r="J765" s="498"/>
      <c r="K765" s="498"/>
      <c r="L765" s="498"/>
      <c r="M765" s="498"/>
      <c r="N765" s="498"/>
      <c r="O765" s="498"/>
      <c r="P765" s="498"/>
      <c r="Q765" s="498"/>
      <c r="R765" s="498"/>
      <c r="S765" s="498"/>
      <c r="T765" s="498"/>
      <c r="U765" s="498"/>
      <c r="V765" s="498"/>
      <c r="W765" s="498"/>
      <c r="X765" s="498"/>
      <c r="Y765" s="498"/>
      <c r="Z765" s="498"/>
      <c r="AA765" s="498"/>
      <c r="AJ765" s="572"/>
      <c r="AK765" s="572"/>
      <c r="AL765" s="572"/>
      <c r="AM765" s="572"/>
      <c r="AT765" s="572"/>
    </row>
    <row r="766" spans="1:48" s="2" customFormat="1" ht="12.75" customHeight="1">
      <c r="A766" s="556"/>
      <c r="C766" s="498"/>
      <c r="D766" s="498"/>
      <c r="E766" s="498"/>
      <c r="F766" s="498"/>
      <c r="G766" s="498"/>
      <c r="H766" s="498"/>
      <c r="I766" s="498"/>
      <c r="J766" s="498"/>
      <c r="K766" s="525"/>
      <c r="L766" s="525"/>
      <c r="M766" s="525"/>
      <c r="N766" s="525"/>
      <c r="O766" s="525"/>
      <c r="P766" s="525"/>
      <c r="Q766" s="525"/>
      <c r="R766" s="525"/>
      <c r="S766" s="525"/>
      <c r="T766" s="525"/>
      <c r="U766" s="525"/>
      <c r="V766" s="525"/>
      <c r="W766" s="525"/>
      <c r="X766" s="525"/>
      <c r="Y766" s="525"/>
      <c r="Z766" s="525"/>
      <c r="AA766" s="525"/>
      <c r="AB766" s="525"/>
      <c r="AC766" s="528"/>
      <c r="AD766" s="638"/>
      <c r="AE766" s="528"/>
      <c r="AF766" s="528"/>
      <c r="AG766" s="525"/>
      <c r="AH766" s="639"/>
      <c r="AI766" s="572"/>
      <c r="AJ766" s="572"/>
      <c r="AK766" s="572"/>
      <c r="AL766" s="572"/>
      <c r="AM766" s="572"/>
      <c r="AN766" s="572"/>
      <c r="AO766" s="572"/>
      <c r="AP766" s="572"/>
      <c r="AQ766" s="572"/>
      <c r="AR766" s="572"/>
      <c r="AS766" s="572"/>
      <c r="AT766" s="572"/>
    </row>
    <row r="767" spans="1:48" s="2" customFormat="1" ht="12.75" customHeight="1">
      <c r="A767" s="589"/>
      <c r="C767" s="498"/>
      <c r="D767" s="498"/>
      <c r="E767" s="498"/>
      <c r="F767" s="498"/>
      <c r="G767" s="498"/>
      <c r="H767" s="498"/>
      <c r="I767" s="498"/>
      <c r="J767" s="498"/>
      <c r="K767" s="525"/>
      <c r="L767" s="525"/>
      <c r="M767" s="525"/>
      <c r="N767" s="525"/>
      <c r="O767" s="525"/>
      <c r="P767" s="525"/>
      <c r="Q767" s="525"/>
      <c r="R767" s="525"/>
      <c r="S767" s="525"/>
      <c r="T767" s="525"/>
      <c r="U767" s="525"/>
      <c r="V767" s="525"/>
      <c r="W767" s="525"/>
      <c r="X767" s="525"/>
      <c r="Y767" s="525"/>
      <c r="Z767" s="525"/>
      <c r="AA767" s="525"/>
      <c r="AB767" s="525"/>
      <c r="AC767" s="528"/>
      <c r="AD767" s="638"/>
      <c r="AE767" s="528"/>
      <c r="AF767" s="528"/>
      <c r="AG767" s="525"/>
      <c r="AH767" s="639"/>
      <c r="AI767" s="572"/>
      <c r="AJ767" s="572"/>
      <c r="AK767" s="572"/>
      <c r="AL767" s="572"/>
      <c r="AM767" s="572"/>
      <c r="AN767" s="572"/>
      <c r="AO767" s="572"/>
      <c r="AP767" s="572"/>
      <c r="AQ767" s="572"/>
      <c r="AR767" s="572"/>
      <c r="AS767" s="572"/>
      <c r="AT767" s="572"/>
    </row>
    <row r="768" spans="1:48" s="2" customFormat="1">
      <c r="A768" s="589"/>
      <c r="C768" s="498"/>
      <c r="D768" s="498"/>
      <c r="E768" s="498"/>
      <c r="F768" s="498"/>
      <c r="G768" s="498"/>
      <c r="H768" s="498"/>
      <c r="I768" s="498"/>
      <c r="J768" s="498"/>
      <c r="K768" s="525"/>
      <c r="L768" s="525"/>
      <c r="M768" s="525"/>
      <c r="N768" s="525"/>
      <c r="O768" s="525"/>
      <c r="P768" s="525"/>
      <c r="Q768" s="525"/>
      <c r="R768" s="525"/>
      <c r="S768" s="525"/>
      <c r="T768" s="525"/>
      <c r="U768" s="525"/>
      <c r="V768" s="525"/>
      <c r="W768" s="525"/>
      <c r="X768" s="525"/>
      <c r="Y768" s="525"/>
      <c r="Z768" s="525"/>
      <c r="AA768" s="525"/>
      <c r="AB768" s="525"/>
      <c r="AC768" s="528"/>
      <c r="AD768" s="638"/>
      <c r="AE768" s="528"/>
      <c r="AF768" s="528"/>
      <c r="AG768" s="525"/>
      <c r="AH768" s="639"/>
      <c r="AI768" s="572"/>
      <c r="AJ768" s="572"/>
      <c r="AK768" s="572"/>
      <c r="AL768" s="572"/>
      <c r="AM768" s="572"/>
      <c r="AN768" s="572"/>
      <c r="AO768" s="572"/>
      <c r="AP768" s="572"/>
      <c r="AQ768" s="572"/>
      <c r="AR768" s="572"/>
      <c r="AS768" s="572"/>
      <c r="AT768" s="572"/>
    </row>
    <row r="769" spans="1:46" s="2" customFormat="1">
      <c r="A769" s="589"/>
      <c r="C769" s="498"/>
      <c r="D769" s="498"/>
      <c r="E769" s="498"/>
      <c r="F769" s="498"/>
      <c r="G769" s="498"/>
      <c r="H769" s="498"/>
      <c r="I769" s="498"/>
      <c r="J769" s="498"/>
      <c r="K769" s="525"/>
      <c r="L769" s="525"/>
      <c r="M769" s="525"/>
      <c r="N769" s="525"/>
      <c r="O769" s="525"/>
      <c r="P769" s="525"/>
      <c r="Q769" s="525"/>
      <c r="R769" s="525"/>
      <c r="S769" s="525"/>
      <c r="T769" s="525"/>
      <c r="U769" s="525"/>
      <c r="V769" s="525"/>
      <c r="W769" s="525"/>
      <c r="X769" s="525"/>
      <c r="Y769" s="525"/>
      <c r="Z769" s="525"/>
      <c r="AA769" s="525"/>
      <c r="AB769" s="525"/>
      <c r="AC769" s="528"/>
      <c r="AD769" s="638"/>
      <c r="AE769" s="528"/>
      <c r="AF769" s="528"/>
      <c r="AG769" s="525"/>
      <c r="AH769" s="639"/>
      <c r="AI769" s="572"/>
      <c r="AJ769" s="572"/>
      <c r="AK769" s="572"/>
      <c r="AL769" s="572"/>
      <c r="AM769" s="572"/>
      <c r="AN769" s="572"/>
      <c r="AO769" s="572"/>
      <c r="AP769" s="572"/>
      <c r="AQ769" s="572"/>
      <c r="AR769" s="572"/>
      <c r="AS769" s="572"/>
      <c r="AT769" s="572"/>
    </row>
    <row r="770" spans="1:46" s="2" customFormat="1">
      <c r="A770" s="589"/>
      <c r="C770" s="498"/>
      <c r="D770" s="498"/>
      <c r="E770" s="498"/>
      <c r="F770" s="498"/>
      <c r="G770" s="498"/>
      <c r="H770" s="498"/>
      <c r="I770" s="498"/>
      <c r="J770" s="498"/>
      <c r="K770" s="525"/>
      <c r="L770" s="525"/>
      <c r="M770" s="525"/>
      <c r="N770" s="525"/>
      <c r="O770" s="525"/>
      <c r="P770" s="525"/>
      <c r="Q770" s="525"/>
      <c r="R770" s="525"/>
      <c r="S770" s="525"/>
      <c r="T770" s="525"/>
      <c r="U770" s="525"/>
      <c r="V770" s="525"/>
      <c r="W770" s="525"/>
      <c r="X770" s="525"/>
      <c r="Y770" s="525"/>
      <c r="Z770" s="525"/>
      <c r="AA770" s="525"/>
      <c r="AB770" s="525"/>
      <c r="AC770" s="528"/>
      <c r="AD770" s="638"/>
      <c r="AE770" s="528"/>
      <c r="AF770" s="528"/>
      <c r="AG770" s="525"/>
      <c r="AH770" s="639"/>
      <c r="AI770" s="572"/>
      <c r="AJ770" s="572"/>
      <c r="AK770" s="572"/>
      <c r="AL770" s="572"/>
      <c r="AM770" s="572"/>
      <c r="AN770" s="572"/>
      <c r="AO770" s="572"/>
      <c r="AP770" s="572"/>
      <c r="AQ770" s="572"/>
      <c r="AR770" s="572"/>
      <c r="AS770" s="572"/>
      <c r="AT770" s="572"/>
    </row>
    <row r="771" spans="1:46" s="2" customFormat="1">
      <c r="A771" s="589"/>
      <c r="C771" s="498"/>
      <c r="D771" s="498"/>
      <c r="E771" s="498"/>
      <c r="F771" s="498"/>
      <c r="G771" s="498"/>
      <c r="H771" s="498"/>
      <c r="I771" s="498"/>
      <c r="J771" s="498"/>
      <c r="K771" s="525"/>
      <c r="L771" s="525"/>
      <c r="M771" s="525"/>
      <c r="N771" s="525"/>
      <c r="O771" s="525"/>
      <c r="P771" s="525"/>
      <c r="Q771" s="525"/>
      <c r="R771" s="525"/>
      <c r="S771" s="525"/>
      <c r="T771" s="525"/>
      <c r="U771" s="525"/>
      <c r="V771" s="525"/>
      <c r="W771" s="525"/>
      <c r="X771" s="525"/>
      <c r="Y771" s="525"/>
      <c r="Z771" s="525"/>
      <c r="AA771" s="525"/>
      <c r="AB771" s="525"/>
      <c r="AC771" s="528"/>
      <c r="AD771" s="638"/>
      <c r="AE771" s="528"/>
      <c r="AF771" s="528"/>
      <c r="AG771" s="525"/>
      <c r="AH771" s="639"/>
      <c r="AI771" s="572"/>
      <c r="AJ771" s="572"/>
      <c r="AK771" s="572"/>
      <c r="AL771" s="572"/>
      <c r="AM771" s="572"/>
      <c r="AN771" s="572"/>
      <c r="AO771" s="572"/>
      <c r="AP771" s="572"/>
      <c r="AQ771" s="572"/>
      <c r="AR771" s="572"/>
      <c r="AS771" s="572"/>
      <c r="AT771" s="572"/>
    </row>
    <row r="772" spans="1:46" s="2" customFormat="1">
      <c r="A772" s="589"/>
      <c r="C772" s="498"/>
      <c r="D772" s="498"/>
      <c r="E772" s="498"/>
      <c r="F772" s="498"/>
      <c r="G772" s="498"/>
      <c r="H772" s="498"/>
      <c r="I772" s="498"/>
      <c r="J772" s="498"/>
      <c r="K772" s="525"/>
      <c r="L772" s="525"/>
      <c r="M772" s="525"/>
      <c r="N772" s="525"/>
      <c r="O772" s="525"/>
      <c r="P772" s="525"/>
      <c r="Q772" s="525"/>
      <c r="R772" s="525"/>
      <c r="S772" s="525"/>
      <c r="T772" s="525"/>
      <c r="U772" s="525"/>
      <c r="V772" s="525"/>
      <c r="W772" s="525"/>
      <c r="X772" s="525"/>
      <c r="Y772" s="525"/>
      <c r="Z772" s="525"/>
      <c r="AA772" s="525"/>
      <c r="AB772" s="525"/>
      <c r="AC772" s="528"/>
      <c r="AD772" s="638"/>
      <c r="AE772" s="528"/>
      <c r="AF772" s="528"/>
      <c r="AG772" s="525"/>
      <c r="AH772" s="639"/>
      <c r="AI772" s="572"/>
      <c r="AJ772" s="572"/>
      <c r="AK772" s="572"/>
      <c r="AL772" s="572"/>
      <c r="AM772" s="572"/>
      <c r="AN772" s="572"/>
      <c r="AO772" s="572"/>
      <c r="AP772" s="572"/>
      <c r="AQ772" s="572"/>
      <c r="AR772" s="572"/>
      <c r="AS772" s="572"/>
      <c r="AT772" s="572"/>
    </row>
    <row r="773" spans="1:46" s="2" customFormat="1">
      <c r="A773" s="589"/>
      <c r="C773" s="498"/>
      <c r="D773" s="498"/>
      <c r="E773" s="498"/>
      <c r="F773" s="498"/>
      <c r="G773" s="498"/>
      <c r="H773" s="498"/>
      <c r="I773" s="498"/>
      <c r="J773" s="498"/>
      <c r="K773" s="525"/>
      <c r="L773" s="525"/>
      <c r="M773" s="525"/>
      <c r="N773" s="525"/>
      <c r="O773" s="525"/>
      <c r="P773" s="525"/>
      <c r="Q773" s="525"/>
      <c r="R773" s="525"/>
      <c r="S773" s="525"/>
      <c r="T773" s="525"/>
      <c r="U773" s="525"/>
      <c r="V773" s="525"/>
      <c r="W773" s="525"/>
      <c r="X773" s="525"/>
      <c r="Y773" s="525"/>
      <c r="Z773" s="525"/>
      <c r="AA773" s="525"/>
      <c r="AB773" s="525"/>
      <c r="AC773" s="528"/>
      <c r="AD773" s="638"/>
      <c r="AE773" s="528"/>
      <c r="AF773" s="528"/>
      <c r="AG773" s="525"/>
      <c r="AH773" s="639"/>
      <c r="AI773" s="572"/>
      <c r="AJ773" s="572"/>
      <c r="AK773" s="572"/>
      <c r="AL773" s="572"/>
      <c r="AM773" s="572"/>
      <c r="AN773" s="572"/>
      <c r="AO773" s="572"/>
      <c r="AP773" s="572"/>
      <c r="AQ773" s="572"/>
      <c r="AR773" s="572"/>
      <c r="AS773" s="572"/>
      <c r="AT773" s="572"/>
    </row>
    <row r="774" spans="1:46" s="2" customFormat="1">
      <c r="A774" s="589"/>
      <c r="C774" s="498"/>
      <c r="D774" s="498"/>
      <c r="E774" s="498"/>
      <c r="F774" s="498"/>
      <c r="G774" s="498"/>
      <c r="H774" s="498"/>
      <c r="I774" s="498"/>
      <c r="J774" s="498"/>
      <c r="K774" s="525"/>
      <c r="L774" s="525"/>
      <c r="M774" s="525"/>
      <c r="N774" s="525"/>
      <c r="O774" s="525"/>
      <c r="P774" s="525"/>
      <c r="Q774" s="525"/>
      <c r="R774" s="525"/>
      <c r="S774" s="525"/>
      <c r="T774" s="525"/>
      <c r="U774" s="525"/>
      <c r="V774" s="525"/>
      <c r="W774" s="525"/>
      <c r="X774" s="525"/>
      <c r="Y774" s="525"/>
      <c r="Z774" s="525"/>
      <c r="AA774" s="525"/>
      <c r="AB774" s="525"/>
      <c r="AC774" s="528"/>
      <c r="AD774" s="638"/>
      <c r="AE774" s="528"/>
      <c r="AF774" s="528"/>
      <c r="AG774" s="525"/>
      <c r="AH774" s="639"/>
      <c r="AI774" s="572"/>
      <c r="AJ774" s="572"/>
      <c r="AK774" s="572"/>
      <c r="AL774" s="572"/>
      <c r="AM774" s="572"/>
      <c r="AN774" s="572"/>
      <c r="AO774" s="572"/>
      <c r="AP774" s="572"/>
      <c r="AQ774" s="572"/>
      <c r="AR774" s="572"/>
      <c r="AS774" s="572"/>
      <c r="AT774" s="572"/>
    </row>
    <row r="775" spans="1:46" s="2" customFormat="1">
      <c r="A775" s="556"/>
      <c r="B775" s="497"/>
      <c r="C775" s="498"/>
      <c r="D775" s="498"/>
      <c r="E775" s="498"/>
      <c r="F775" s="498"/>
      <c r="G775" s="498"/>
      <c r="H775" s="498"/>
      <c r="I775" s="498"/>
      <c r="J775" s="498"/>
      <c r="K775" s="525"/>
      <c r="L775" s="525"/>
      <c r="M775" s="525"/>
      <c r="N775" s="525"/>
      <c r="O775" s="525"/>
      <c r="P775" s="525"/>
      <c r="Q775" s="525"/>
      <c r="R775" s="525"/>
      <c r="S775" s="525"/>
      <c r="T775" s="525"/>
      <c r="U775" s="525"/>
      <c r="V775" s="525"/>
      <c r="W775" s="525"/>
      <c r="X775" s="525"/>
      <c r="Y775" s="525"/>
      <c r="Z775" s="525"/>
      <c r="AA775" s="525"/>
      <c r="AB775" s="526"/>
      <c r="AD775" s="640"/>
      <c r="AH775" s="639"/>
      <c r="AI775" s="572"/>
      <c r="AJ775" s="572"/>
      <c r="AK775" s="572"/>
      <c r="AL775" s="572"/>
      <c r="AM775" s="572"/>
      <c r="AN775" s="572"/>
      <c r="AO775" s="572"/>
      <c r="AP775" s="572"/>
      <c r="AQ775" s="572"/>
      <c r="AR775" s="572"/>
      <c r="AS775" s="572"/>
      <c r="AT775" s="572"/>
    </row>
    <row r="776" spans="1:46" s="2" customFormat="1">
      <c r="A776" s="556"/>
      <c r="C776" s="498"/>
      <c r="D776" s="498"/>
      <c r="E776" s="498"/>
      <c r="F776" s="498"/>
      <c r="G776" s="498"/>
      <c r="H776" s="498"/>
      <c r="I776" s="498"/>
      <c r="J776" s="498"/>
      <c r="K776" s="525"/>
      <c r="L776" s="525"/>
      <c r="M776" s="525"/>
      <c r="N776" s="525"/>
      <c r="O776" s="525"/>
      <c r="P776" s="525"/>
      <c r="Q776" s="525"/>
      <c r="R776" s="525"/>
      <c r="S776" s="525"/>
      <c r="T776" s="525"/>
      <c r="U776" s="525"/>
      <c r="V776" s="525"/>
      <c r="W776" s="525"/>
      <c r="X776" s="525"/>
      <c r="Y776" s="525"/>
      <c r="Z776" s="525"/>
      <c r="AA776" s="525"/>
      <c r="AB776" s="525"/>
      <c r="AC776" s="525"/>
      <c r="AD776" s="638"/>
      <c r="AE776" s="528"/>
      <c r="AF776" s="528"/>
      <c r="AG776" s="525"/>
      <c r="AH776" s="639"/>
      <c r="AI776" s="572"/>
      <c r="AJ776" s="572"/>
      <c r="AK776" s="572"/>
      <c r="AL776" s="572"/>
      <c r="AM776" s="572"/>
      <c r="AN776" s="572"/>
      <c r="AO776" s="572"/>
      <c r="AP776" s="572"/>
      <c r="AQ776" s="572"/>
      <c r="AR776" s="572"/>
      <c r="AS776" s="572"/>
      <c r="AT776" s="572"/>
    </row>
    <row r="777" spans="1:46" s="2" customFormat="1">
      <c r="A777" s="589"/>
      <c r="C777" s="498"/>
      <c r="D777" s="498"/>
      <c r="E777" s="498"/>
      <c r="F777" s="498"/>
      <c r="G777" s="498"/>
      <c r="H777" s="498"/>
      <c r="I777" s="498"/>
      <c r="J777" s="498"/>
      <c r="K777" s="525"/>
      <c r="L777" s="525"/>
      <c r="M777" s="525"/>
      <c r="N777" s="525"/>
      <c r="O777" s="525"/>
      <c r="P777" s="525"/>
      <c r="Q777" s="525"/>
      <c r="R777" s="525"/>
      <c r="S777" s="525"/>
      <c r="T777" s="525"/>
      <c r="U777" s="525"/>
      <c r="V777" s="525"/>
      <c r="W777" s="525"/>
      <c r="X777" s="525"/>
      <c r="Y777" s="525"/>
      <c r="Z777" s="525"/>
      <c r="AA777" s="525"/>
      <c r="AB777" s="525"/>
      <c r="AC777" s="525"/>
      <c r="AD777" s="638"/>
      <c r="AE777" s="528"/>
      <c r="AF777" s="528"/>
      <c r="AG777" s="525"/>
      <c r="AH777" s="639"/>
      <c r="AI777" s="572"/>
      <c r="AJ777" s="572"/>
      <c r="AK777" s="572"/>
      <c r="AL777" s="572"/>
      <c r="AM777" s="572"/>
      <c r="AN777" s="572"/>
      <c r="AO777" s="572"/>
      <c r="AP777" s="572"/>
      <c r="AQ777" s="572"/>
      <c r="AR777" s="572"/>
      <c r="AS777" s="572"/>
      <c r="AT777" s="572"/>
    </row>
    <row r="778" spans="1:46" s="2" customFormat="1">
      <c r="A778" s="589"/>
      <c r="C778" s="498"/>
      <c r="D778" s="498"/>
      <c r="E778" s="498"/>
      <c r="F778" s="498"/>
      <c r="G778" s="498"/>
      <c r="H778" s="498"/>
      <c r="I778" s="498"/>
      <c r="J778" s="498"/>
      <c r="K778" s="525"/>
      <c r="L778" s="525"/>
      <c r="M778" s="525"/>
      <c r="N778" s="525"/>
      <c r="O778" s="525"/>
      <c r="P778" s="525"/>
      <c r="Q778" s="525"/>
      <c r="R778" s="525"/>
      <c r="S778" s="525"/>
      <c r="T778" s="525"/>
      <c r="U778" s="525"/>
      <c r="V778" s="525"/>
      <c r="W778" s="525"/>
      <c r="X778" s="525"/>
      <c r="Y778" s="525"/>
      <c r="Z778" s="525"/>
      <c r="AA778" s="525"/>
      <c r="AB778" s="525"/>
      <c r="AC778" s="525"/>
      <c r="AD778" s="638"/>
      <c r="AE778" s="528"/>
      <c r="AF778" s="528"/>
      <c r="AG778" s="525"/>
      <c r="AH778" s="639"/>
      <c r="AI778" s="572"/>
      <c r="AJ778" s="572"/>
      <c r="AK778" s="572"/>
      <c r="AL778" s="572"/>
      <c r="AM778" s="572"/>
      <c r="AN778" s="572"/>
      <c r="AO778" s="572"/>
      <c r="AP778" s="572"/>
      <c r="AQ778" s="572"/>
      <c r="AR778" s="572"/>
      <c r="AS778" s="572"/>
      <c r="AT778" s="572"/>
    </row>
    <row r="779" spans="1:46" s="2" customFormat="1">
      <c r="A779" s="589"/>
      <c r="C779" s="498"/>
      <c r="D779" s="498"/>
      <c r="E779" s="498"/>
      <c r="F779" s="498"/>
      <c r="G779" s="498"/>
      <c r="H779" s="498"/>
      <c r="I779" s="498"/>
      <c r="J779" s="498"/>
      <c r="K779" s="525"/>
      <c r="L779" s="525"/>
      <c r="M779" s="525"/>
      <c r="N779" s="525"/>
      <c r="O779" s="525"/>
      <c r="P779" s="525"/>
      <c r="Q779" s="525"/>
      <c r="R779" s="525"/>
      <c r="S779" s="525"/>
      <c r="T779" s="525"/>
      <c r="U779" s="525"/>
      <c r="V779" s="525"/>
      <c r="W779" s="525"/>
      <c r="X779" s="525"/>
      <c r="Y779" s="525"/>
      <c r="Z779" s="525"/>
      <c r="AA779" s="525"/>
      <c r="AB779" s="525"/>
      <c r="AC779" s="525"/>
      <c r="AD779" s="638"/>
      <c r="AE779" s="528"/>
      <c r="AF779" s="528"/>
      <c r="AG779" s="525"/>
      <c r="AH779" s="639"/>
      <c r="AI779" s="572"/>
      <c r="AJ779" s="572"/>
      <c r="AK779" s="572"/>
      <c r="AL779" s="572"/>
      <c r="AM779" s="572"/>
      <c r="AN779" s="572"/>
      <c r="AO779" s="572"/>
      <c r="AP779" s="572"/>
      <c r="AQ779" s="572"/>
      <c r="AR779" s="572"/>
      <c r="AS779" s="572"/>
      <c r="AT779" s="572"/>
    </row>
    <row r="780" spans="1:46" s="2" customFormat="1" ht="14.25" customHeight="1">
      <c r="A780" s="589"/>
      <c r="C780" s="498"/>
      <c r="D780" s="498"/>
      <c r="E780" s="498"/>
      <c r="F780" s="498"/>
      <c r="G780" s="498"/>
      <c r="H780" s="498"/>
      <c r="I780" s="498"/>
      <c r="J780" s="498"/>
      <c r="K780" s="525"/>
      <c r="L780" s="525"/>
      <c r="M780" s="525"/>
      <c r="N780" s="525"/>
      <c r="O780" s="525"/>
      <c r="P780" s="525"/>
      <c r="Q780" s="525"/>
      <c r="R780" s="525"/>
      <c r="S780" s="525"/>
      <c r="T780" s="525"/>
      <c r="U780" s="525"/>
      <c r="V780" s="525"/>
      <c r="W780" s="525"/>
      <c r="X780" s="525"/>
      <c r="Y780" s="525"/>
      <c r="Z780" s="525"/>
      <c r="AA780" s="525"/>
      <c r="AB780" s="525"/>
      <c r="AC780" s="613"/>
      <c r="AD780" s="638"/>
      <c r="AE780" s="528"/>
      <c r="AF780" s="528"/>
      <c r="AG780" s="525"/>
      <c r="AH780" s="639"/>
      <c r="AI780" s="572"/>
      <c r="AJ780" s="572"/>
      <c r="AK780" s="572"/>
      <c r="AL780" s="572"/>
      <c r="AM780" s="572"/>
      <c r="AN780" s="572"/>
      <c r="AO780" s="572"/>
      <c r="AP780" s="572"/>
      <c r="AQ780" s="572"/>
      <c r="AR780" s="572"/>
      <c r="AS780" s="572"/>
      <c r="AT780" s="572"/>
    </row>
    <row r="781" spans="1:46" s="2" customFormat="1" ht="16.5" customHeight="1">
      <c r="A781" s="589"/>
      <c r="C781" s="498"/>
      <c r="D781" s="498"/>
      <c r="E781" s="498"/>
      <c r="F781" s="498"/>
      <c r="G781" s="498"/>
      <c r="H781" s="498"/>
      <c r="I781" s="498"/>
      <c r="J781" s="498"/>
      <c r="K781" s="525"/>
      <c r="L781" s="525"/>
      <c r="M781" s="525"/>
      <c r="N781" s="525"/>
      <c r="O781" s="525"/>
      <c r="P781" s="525"/>
      <c r="Q781" s="525"/>
      <c r="R781" s="525"/>
      <c r="S781" s="525"/>
      <c r="T781" s="525"/>
      <c r="U781" s="525"/>
      <c r="V781" s="525"/>
      <c r="W781" s="525"/>
      <c r="X781" s="525"/>
      <c r="Y781" s="525"/>
      <c r="Z781" s="525"/>
      <c r="AA781" s="525"/>
      <c r="AB781" s="525"/>
      <c r="AC781" s="525"/>
      <c r="AD781" s="638"/>
      <c r="AE781" s="528"/>
      <c r="AF781" s="528"/>
      <c r="AG781" s="525"/>
      <c r="AH781" s="639"/>
      <c r="AI781" s="572"/>
      <c r="AJ781" s="572"/>
      <c r="AK781" s="572"/>
      <c r="AL781" s="572"/>
      <c r="AM781" s="572"/>
      <c r="AN781" s="572"/>
      <c r="AO781" s="572"/>
      <c r="AP781" s="572"/>
      <c r="AQ781" s="572"/>
      <c r="AR781" s="572"/>
      <c r="AS781" s="572"/>
      <c r="AT781" s="572"/>
    </row>
    <row r="782" spans="1:46" s="2" customFormat="1">
      <c r="A782" s="589"/>
      <c r="C782" s="498"/>
      <c r="D782" s="498"/>
      <c r="E782" s="498"/>
      <c r="F782" s="498"/>
      <c r="G782" s="498"/>
      <c r="H782" s="498"/>
      <c r="I782" s="498"/>
      <c r="J782" s="498"/>
      <c r="K782" s="525"/>
      <c r="L782" s="525"/>
      <c r="M782" s="525"/>
      <c r="N782" s="525"/>
      <c r="O782" s="525"/>
      <c r="P782" s="525"/>
      <c r="Q782" s="525"/>
      <c r="R782" s="525"/>
      <c r="S782" s="525"/>
      <c r="T782" s="525"/>
      <c r="U782" s="525"/>
      <c r="V782" s="525"/>
      <c r="W782" s="525"/>
      <c r="X782" s="525"/>
      <c r="Y782" s="525"/>
      <c r="Z782" s="525"/>
      <c r="AA782" s="525"/>
      <c r="AB782" s="525"/>
      <c r="AC782" s="525"/>
      <c r="AD782" s="638"/>
      <c r="AE782" s="528"/>
      <c r="AF782" s="528"/>
      <c r="AG782" s="525"/>
      <c r="AH782" s="639"/>
      <c r="AI782" s="572"/>
      <c r="AJ782" s="572"/>
      <c r="AK782" s="572"/>
      <c r="AL782" s="572"/>
      <c r="AM782" s="572"/>
      <c r="AN782" s="572"/>
      <c r="AO782" s="572"/>
      <c r="AP782" s="572"/>
      <c r="AQ782" s="572"/>
      <c r="AR782" s="572"/>
      <c r="AS782" s="572"/>
      <c r="AT782" s="572"/>
    </row>
    <row r="783" spans="1:46" s="2" customFormat="1" ht="15" customHeight="1">
      <c r="A783" s="589"/>
      <c r="C783" s="498"/>
      <c r="D783" s="498"/>
      <c r="E783" s="498"/>
      <c r="F783" s="498"/>
      <c r="G783" s="498"/>
      <c r="H783" s="498"/>
      <c r="I783" s="498"/>
      <c r="J783" s="498"/>
      <c r="K783" s="525"/>
      <c r="L783" s="525"/>
      <c r="M783" s="525"/>
      <c r="N783" s="525"/>
      <c r="O783" s="525"/>
      <c r="P783" s="525"/>
      <c r="Q783" s="525"/>
      <c r="R783" s="525"/>
      <c r="S783" s="525"/>
      <c r="T783" s="525"/>
      <c r="U783" s="525"/>
      <c r="V783" s="525"/>
      <c r="W783" s="525"/>
      <c r="X783" s="525"/>
      <c r="Y783" s="525"/>
      <c r="Z783" s="525"/>
      <c r="AA783" s="525"/>
      <c r="AB783" s="613"/>
      <c r="AC783" s="613"/>
      <c r="AD783" s="638"/>
      <c r="AE783" s="528"/>
      <c r="AF783" s="528"/>
      <c r="AG783" s="525"/>
      <c r="AH783" s="639"/>
      <c r="AI783" s="572"/>
      <c r="AJ783" s="572"/>
      <c r="AK783" s="572"/>
      <c r="AL783" s="572"/>
      <c r="AM783" s="572"/>
      <c r="AN783" s="572"/>
      <c r="AO783" s="572"/>
      <c r="AP783" s="572"/>
      <c r="AQ783" s="572"/>
      <c r="AR783" s="572"/>
      <c r="AS783" s="572"/>
      <c r="AT783" s="572"/>
    </row>
    <row r="784" spans="1:46" s="2" customFormat="1">
      <c r="A784" s="589"/>
      <c r="C784" s="498"/>
      <c r="D784" s="498"/>
      <c r="E784" s="498"/>
      <c r="F784" s="498"/>
      <c r="G784" s="498"/>
      <c r="H784" s="498"/>
      <c r="I784" s="498"/>
      <c r="J784" s="498"/>
      <c r="K784" s="525"/>
      <c r="L784" s="525"/>
      <c r="M784" s="525"/>
      <c r="N784" s="525"/>
      <c r="O784" s="525"/>
      <c r="P784" s="525"/>
      <c r="Q784" s="525"/>
      <c r="R784" s="525"/>
      <c r="S784" s="525"/>
      <c r="T784" s="525"/>
      <c r="U784" s="525"/>
      <c r="V784" s="525"/>
      <c r="W784" s="525"/>
      <c r="X784" s="525"/>
      <c r="Y784" s="525"/>
      <c r="Z784" s="525"/>
      <c r="AA784" s="525"/>
      <c r="AB784" s="525"/>
      <c r="AC784" s="525"/>
      <c r="AD784" s="638"/>
      <c r="AE784" s="528"/>
      <c r="AF784" s="528"/>
      <c r="AG784" s="525"/>
      <c r="AH784" s="639"/>
      <c r="AI784" s="572"/>
      <c r="AJ784" s="572"/>
      <c r="AK784" s="572"/>
      <c r="AL784" s="572"/>
      <c r="AM784" s="572"/>
      <c r="AN784" s="572"/>
      <c r="AO784" s="572"/>
      <c r="AP784" s="572"/>
      <c r="AQ784" s="572"/>
      <c r="AR784" s="572"/>
      <c r="AS784" s="572"/>
      <c r="AT784" s="572"/>
    </row>
    <row r="785" spans="1:46" s="2" customFormat="1">
      <c r="A785" s="556"/>
      <c r="C785" s="498"/>
      <c r="D785" s="498"/>
      <c r="E785" s="498"/>
      <c r="F785" s="498"/>
      <c r="G785" s="498"/>
      <c r="H785" s="498"/>
      <c r="I785" s="498"/>
      <c r="J785" s="498"/>
      <c r="K785" s="525"/>
      <c r="L785" s="525"/>
      <c r="M785" s="525"/>
      <c r="N785" s="525"/>
      <c r="O785" s="525"/>
      <c r="P785" s="525"/>
      <c r="Q785" s="525"/>
      <c r="R785" s="525"/>
      <c r="S785" s="525"/>
      <c r="T785" s="525"/>
      <c r="U785" s="525"/>
      <c r="V785" s="525"/>
      <c r="W785" s="525"/>
      <c r="X785" s="525"/>
      <c r="Y785" s="525"/>
      <c r="Z785" s="525"/>
      <c r="AA785" s="525"/>
      <c r="AD785" s="551"/>
    </row>
    <row r="786" spans="1:46" s="2" customFormat="1">
      <c r="A786" s="556"/>
      <c r="C786" s="498"/>
      <c r="D786" s="498"/>
      <c r="E786" s="498"/>
      <c r="F786" s="498"/>
      <c r="G786" s="498"/>
      <c r="H786" s="498"/>
      <c r="I786" s="498"/>
      <c r="J786" s="498"/>
      <c r="K786" s="525"/>
      <c r="L786" s="525"/>
      <c r="M786" s="525"/>
      <c r="N786" s="525"/>
      <c r="O786" s="525"/>
      <c r="P786" s="525"/>
      <c r="Q786" s="525"/>
      <c r="R786" s="525"/>
      <c r="S786" s="525"/>
      <c r="T786" s="525"/>
      <c r="U786" s="525"/>
      <c r="V786" s="525"/>
      <c r="W786" s="525"/>
      <c r="X786" s="525"/>
      <c r="Y786" s="525"/>
      <c r="Z786" s="525"/>
      <c r="AA786" s="525"/>
      <c r="AD786" s="638"/>
      <c r="AE786" s="525"/>
      <c r="AF786" s="525"/>
      <c r="AG786" s="528"/>
      <c r="AH786" s="525"/>
      <c r="AI786" s="572"/>
      <c r="AJ786" s="572"/>
      <c r="AL786" s="572"/>
      <c r="AM786" s="572"/>
      <c r="AO786" s="572"/>
      <c r="AP786" s="572"/>
      <c r="AQ786" s="572"/>
      <c r="AR786" s="572"/>
      <c r="AS786" s="572"/>
      <c r="AT786" s="572"/>
    </row>
    <row r="787" spans="1:46" s="2" customFormat="1">
      <c r="A787" s="556"/>
      <c r="C787" s="498"/>
      <c r="D787" s="498"/>
      <c r="E787" s="498"/>
      <c r="F787" s="498"/>
      <c r="G787" s="498"/>
      <c r="H787" s="498"/>
      <c r="I787" s="498"/>
      <c r="J787" s="498"/>
      <c r="K787" s="525"/>
      <c r="L787" s="525"/>
      <c r="M787" s="525"/>
      <c r="N787" s="525"/>
      <c r="O787" s="525"/>
      <c r="P787" s="525"/>
      <c r="Q787" s="525"/>
      <c r="R787" s="525"/>
      <c r="S787" s="525"/>
      <c r="T787" s="525"/>
      <c r="U787" s="525"/>
      <c r="V787" s="525"/>
      <c r="W787" s="525"/>
      <c r="X787" s="525"/>
      <c r="Y787" s="525"/>
      <c r="Z787" s="525"/>
      <c r="AA787" s="525"/>
      <c r="AD787" s="638"/>
      <c r="AE787" s="525"/>
      <c r="AF787" s="525"/>
      <c r="AG787" s="525"/>
      <c r="AH787" s="525"/>
      <c r="AI787" s="572"/>
      <c r="AJ787" s="572"/>
      <c r="AL787" s="572"/>
      <c r="AM787" s="572"/>
      <c r="AO787" s="572"/>
      <c r="AP787" s="572"/>
      <c r="AQ787" s="572"/>
      <c r="AR787" s="572"/>
      <c r="AS787" s="572"/>
      <c r="AT787" s="572"/>
    </row>
    <row r="788" spans="1:46" s="2" customFormat="1">
      <c r="A788" s="556"/>
      <c r="C788" s="498"/>
      <c r="D788" s="498"/>
      <c r="E788" s="498"/>
      <c r="F788" s="498"/>
      <c r="G788" s="498"/>
      <c r="H788" s="498"/>
      <c r="I788" s="498"/>
      <c r="J788" s="498"/>
      <c r="K788" s="525"/>
      <c r="L788" s="525"/>
      <c r="M788" s="525"/>
      <c r="N788" s="525"/>
      <c r="O788" s="525"/>
      <c r="P788" s="525"/>
      <c r="Q788" s="525"/>
      <c r="R788" s="525"/>
      <c r="S788" s="525"/>
      <c r="T788" s="525"/>
      <c r="U788" s="525"/>
      <c r="V788" s="525"/>
      <c r="W788" s="525"/>
      <c r="X788" s="525"/>
      <c r="Y788" s="525"/>
      <c r="Z788" s="525"/>
      <c r="AA788" s="525"/>
      <c r="AD788" s="638"/>
      <c r="AE788" s="525"/>
      <c r="AF788" s="525"/>
      <c r="AG788" s="528"/>
      <c r="AH788" s="525"/>
      <c r="AI788" s="572"/>
      <c r="AJ788" s="572"/>
      <c r="AL788" s="572"/>
      <c r="AM788" s="572"/>
      <c r="AO788" s="572"/>
      <c r="AP788" s="572"/>
      <c r="AQ788" s="572"/>
      <c r="AR788" s="572"/>
      <c r="AS788" s="572"/>
      <c r="AT788" s="572"/>
    </row>
    <row r="789" spans="1:46" s="2" customFormat="1">
      <c r="A789" s="589"/>
      <c r="C789" s="498"/>
      <c r="D789" s="498"/>
      <c r="E789" s="498"/>
      <c r="F789" s="498"/>
      <c r="G789" s="498"/>
      <c r="H789" s="498"/>
      <c r="I789" s="498"/>
      <c r="J789" s="498"/>
      <c r="K789" s="525"/>
      <c r="L789" s="525"/>
      <c r="M789" s="525"/>
      <c r="N789" s="525"/>
      <c r="O789" s="525"/>
      <c r="P789" s="525"/>
      <c r="Q789" s="525"/>
      <c r="R789" s="525"/>
      <c r="S789" s="525"/>
      <c r="T789" s="525"/>
      <c r="U789" s="525"/>
      <c r="V789" s="525"/>
      <c r="W789" s="525"/>
      <c r="X789" s="525"/>
      <c r="Y789" s="525"/>
      <c r="Z789" s="525"/>
      <c r="AA789" s="525"/>
      <c r="AC789" s="606"/>
      <c r="AD789" s="638"/>
      <c r="AE789" s="613"/>
      <c r="AF789" s="641"/>
      <c r="AG789" s="528"/>
      <c r="AH789" s="613"/>
      <c r="AI789" s="572"/>
      <c r="AJ789" s="572"/>
      <c r="AL789" s="572"/>
      <c r="AM789" s="572"/>
      <c r="AO789" s="572"/>
      <c r="AP789" s="572"/>
      <c r="AQ789" s="572"/>
      <c r="AR789" s="572"/>
      <c r="AS789" s="572"/>
      <c r="AT789" s="572"/>
    </row>
    <row r="790" spans="1:46" s="2" customFormat="1">
      <c r="A790" s="589"/>
      <c r="C790" s="498"/>
      <c r="D790" s="498"/>
      <c r="E790" s="498"/>
      <c r="F790" s="498"/>
      <c r="G790" s="498"/>
      <c r="H790" s="498"/>
      <c r="I790" s="498"/>
      <c r="J790" s="498"/>
      <c r="K790" s="525"/>
      <c r="L790" s="525"/>
      <c r="M790" s="525"/>
      <c r="N790" s="525"/>
      <c r="O790" s="525"/>
      <c r="P790" s="525"/>
      <c r="Q790" s="525"/>
      <c r="R790" s="525"/>
      <c r="S790" s="525"/>
      <c r="T790" s="525"/>
      <c r="U790" s="525"/>
      <c r="V790" s="525"/>
      <c r="W790" s="525"/>
      <c r="X790" s="525"/>
      <c r="Y790" s="525"/>
      <c r="Z790" s="525"/>
      <c r="AA790" s="525"/>
      <c r="AC790" s="606"/>
      <c r="AD790" s="638"/>
      <c r="AE790" s="613"/>
      <c r="AF790" s="641"/>
      <c r="AG790" s="528"/>
      <c r="AH790" s="613"/>
      <c r="AI790" s="572"/>
      <c r="AJ790" s="572"/>
      <c r="AL790" s="572"/>
      <c r="AM790" s="572"/>
      <c r="AO790" s="572"/>
      <c r="AP790" s="572"/>
      <c r="AQ790" s="572"/>
      <c r="AR790" s="572"/>
      <c r="AS790" s="572"/>
      <c r="AT790" s="572"/>
    </row>
    <row r="791" spans="1:46" s="2" customFormat="1">
      <c r="A791" s="589"/>
      <c r="C791" s="498"/>
      <c r="D791" s="498"/>
      <c r="E791" s="498"/>
      <c r="F791" s="498"/>
      <c r="G791" s="498"/>
      <c r="H791" s="498"/>
      <c r="I791" s="498"/>
      <c r="J791" s="498"/>
      <c r="K791" s="525"/>
      <c r="L791" s="525"/>
      <c r="M791" s="525"/>
      <c r="N791" s="525"/>
      <c r="O791" s="525"/>
      <c r="P791" s="525"/>
      <c r="Q791" s="525"/>
      <c r="R791" s="525"/>
      <c r="S791" s="525"/>
      <c r="T791" s="525"/>
      <c r="U791" s="525"/>
      <c r="V791" s="525"/>
      <c r="W791" s="525"/>
      <c r="X791" s="525"/>
      <c r="Y791" s="525"/>
      <c r="Z791" s="525"/>
      <c r="AA791" s="525"/>
      <c r="AC791" s="613"/>
      <c r="AD791" s="638"/>
      <c r="AE791" s="613"/>
      <c r="AF791" s="641"/>
      <c r="AG791" s="528"/>
      <c r="AH791" s="613"/>
      <c r="AI791" s="572"/>
      <c r="AJ791" s="572"/>
      <c r="AL791" s="572"/>
      <c r="AM791" s="572"/>
      <c r="AO791" s="572"/>
      <c r="AP791" s="572"/>
      <c r="AQ791" s="572"/>
      <c r="AR791" s="572"/>
      <c r="AS791" s="572"/>
      <c r="AT791" s="572"/>
    </row>
    <row r="792" spans="1:46" s="2" customFormat="1">
      <c r="A792" s="589"/>
      <c r="C792" s="498"/>
      <c r="D792" s="498"/>
      <c r="E792" s="498"/>
      <c r="F792" s="498"/>
      <c r="G792" s="498"/>
      <c r="H792" s="498"/>
      <c r="I792" s="498"/>
      <c r="J792" s="498"/>
      <c r="K792" s="525"/>
      <c r="L792" s="525"/>
      <c r="M792" s="525"/>
      <c r="N792" s="525"/>
      <c r="O792" s="525"/>
      <c r="P792" s="525"/>
      <c r="Q792" s="525"/>
      <c r="R792" s="525"/>
      <c r="S792" s="525"/>
      <c r="T792" s="525"/>
      <c r="U792" s="525"/>
      <c r="V792" s="525"/>
      <c r="W792" s="525"/>
      <c r="X792" s="525"/>
      <c r="Y792" s="525"/>
      <c r="Z792" s="525"/>
      <c r="AA792" s="525"/>
      <c r="AC792" s="613"/>
      <c r="AD792" s="638"/>
      <c r="AE792" s="613"/>
      <c r="AF792" s="641"/>
      <c r="AG792" s="528"/>
      <c r="AH792" s="613"/>
      <c r="AI792" s="572"/>
      <c r="AJ792" s="572"/>
      <c r="AL792" s="572"/>
      <c r="AM792" s="572"/>
      <c r="AO792" s="572"/>
      <c r="AP792" s="572"/>
      <c r="AQ792" s="572"/>
      <c r="AR792" s="572"/>
      <c r="AS792" s="572"/>
      <c r="AT792" s="572"/>
    </row>
    <row r="793" spans="1:46" s="2" customFormat="1">
      <c r="A793" s="589"/>
      <c r="C793" s="498"/>
      <c r="D793" s="498"/>
      <c r="E793" s="498"/>
      <c r="F793" s="498"/>
      <c r="G793" s="498"/>
      <c r="H793" s="498"/>
      <c r="I793" s="498"/>
      <c r="J793" s="498"/>
      <c r="K793" s="525"/>
      <c r="L793" s="525"/>
      <c r="M793" s="525"/>
      <c r="N793" s="525"/>
      <c r="O793" s="525"/>
      <c r="P793" s="525"/>
      <c r="Q793" s="525"/>
      <c r="R793" s="525"/>
      <c r="S793" s="525"/>
      <c r="T793" s="525"/>
      <c r="U793" s="525"/>
      <c r="V793" s="525"/>
      <c r="W793" s="525"/>
      <c r="X793" s="525"/>
      <c r="Y793" s="525"/>
      <c r="Z793" s="525"/>
      <c r="AA793" s="525"/>
      <c r="AC793" s="613"/>
      <c r="AD793" s="638"/>
      <c r="AE793" s="613"/>
      <c r="AF793" s="641"/>
      <c r="AG793" s="528"/>
      <c r="AH793" s="613"/>
      <c r="AI793" s="572"/>
      <c r="AJ793" s="572"/>
      <c r="AL793" s="572"/>
      <c r="AM793" s="572"/>
      <c r="AO793" s="572"/>
      <c r="AP793" s="572"/>
      <c r="AQ793" s="572"/>
      <c r="AR793" s="572"/>
      <c r="AS793" s="572"/>
      <c r="AT793" s="572"/>
    </row>
    <row r="794" spans="1:46" s="2" customFormat="1">
      <c r="A794" s="589"/>
      <c r="C794" s="498"/>
      <c r="D794" s="498"/>
      <c r="E794" s="498"/>
      <c r="F794" s="498"/>
      <c r="G794" s="498"/>
      <c r="H794" s="498"/>
      <c r="I794" s="498"/>
      <c r="J794" s="498"/>
      <c r="K794" s="525"/>
      <c r="L794" s="525"/>
      <c r="M794" s="525"/>
      <c r="N794" s="525"/>
      <c r="O794" s="525"/>
      <c r="P794" s="525"/>
      <c r="Q794" s="525"/>
      <c r="R794" s="525"/>
      <c r="S794" s="525"/>
      <c r="T794" s="525"/>
      <c r="U794" s="525"/>
      <c r="V794" s="525"/>
      <c r="W794" s="525"/>
      <c r="X794" s="525"/>
      <c r="Y794" s="525"/>
      <c r="Z794" s="525"/>
      <c r="AA794" s="525"/>
      <c r="AC794" s="613"/>
      <c r="AD794" s="638"/>
      <c r="AE794" s="613"/>
      <c r="AF794" s="641"/>
      <c r="AG794" s="528"/>
      <c r="AH794" s="613"/>
      <c r="AI794" s="572"/>
      <c r="AJ794" s="572"/>
      <c r="AL794" s="572"/>
      <c r="AM794" s="572"/>
      <c r="AO794" s="572"/>
      <c r="AP794" s="572"/>
      <c r="AQ794" s="572"/>
      <c r="AR794" s="572"/>
      <c r="AS794" s="572"/>
      <c r="AT794" s="572"/>
    </row>
    <row r="795" spans="1:46" s="2" customFormat="1">
      <c r="A795" s="589"/>
      <c r="C795" s="498"/>
      <c r="D795" s="498"/>
      <c r="E795" s="498"/>
      <c r="F795" s="498"/>
      <c r="G795" s="498"/>
      <c r="H795" s="498"/>
      <c r="I795" s="498"/>
      <c r="J795" s="498"/>
      <c r="K795" s="525"/>
      <c r="L795" s="525"/>
      <c r="M795" s="525"/>
      <c r="N795" s="525"/>
      <c r="O795" s="525"/>
      <c r="P795" s="525"/>
      <c r="Q795" s="525"/>
      <c r="R795" s="525"/>
      <c r="S795" s="525"/>
      <c r="T795" s="525"/>
      <c r="U795" s="525"/>
      <c r="V795" s="525"/>
      <c r="W795" s="525"/>
      <c r="X795" s="525"/>
      <c r="Y795" s="525"/>
      <c r="Z795" s="525"/>
      <c r="AA795" s="525"/>
      <c r="AC795" s="613"/>
      <c r="AD795" s="638"/>
      <c r="AE795" s="613"/>
      <c r="AF795" s="641"/>
      <c r="AG795" s="528"/>
      <c r="AH795" s="613"/>
      <c r="AI795" s="572"/>
      <c r="AJ795" s="572"/>
      <c r="AL795" s="572"/>
      <c r="AM795" s="572"/>
      <c r="AO795" s="572"/>
      <c r="AP795" s="572"/>
      <c r="AQ795" s="572"/>
      <c r="AR795" s="572"/>
      <c r="AS795" s="572"/>
      <c r="AT795" s="572"/>
    </row>
    <row r="796" spans="1:46" s="2" customFormat="1">
      <c r="A796" s="589"/>
      <c r="C796" s="498"/>
      <c r="D796" s="498"/>
      <c r="E796" s="498"/>
      <c r="F796" s="498"/>
      <c r="G796" s="498"/>
      <c r="H796" s="498"/>
      <c r="I796" s="498"/>
      <c r="J796" s="498"/>
      <c r="K796" s="525"/>
      <c r="L796" s="525"/>
      <c r="M796" s="525"/>
      <c r="N796" s="525"/>
      <c r="O796" s="525"/>
      <c r="P796" s="525"/>
      <c r="Q796" s="525"/>
      <c r="R796" s="525"/>
      <c r="S796" s="525"/>
      <c r="T796" s="525"/>
      <c r="U796" s="525"/>
      <c r="V796" s="525"/>
      <c r="W796" s="525"/>
      <c r="X796" s="525"/>
      <c r="Y796" s="525"/>
      <c r="Z796" s="525"/>
      <c r="AA796" s="525"/>
      <c r="AC796" s="613"/>
      <c r="AD796" s="638"/>
      <c r="AE796" s="613"/>
      <c r="AF796" s="641"/>
      <c r="AG796" s="528"/>
      <c r="AH796" s="613"/>
      <c r="AI796" s="572"/>
      <c r="AJ796" s="572"/>
      <c r="AL796" s="572"/>
      <c r="AM796" s="572"/>
      <c r="AO796" s="572"/>
      <c r="AP796" s="572"/>
      <c r="AQ796" s="572"/>
      <c r="AR796" s="572"/>
      <c r="AS796" s="572"/>
      <c r="AT796" s="572"/>
    </row>
    <row r="797" spans="1:46" s="2" customFormat="1">
      <c r="A797" s="556"/>
      <c r="C797" s="498"/>
      <c r="D797" s="498"/>
      <c r="E797" s="498"/>
      <c r="F797" s="498"/>
      <c r="G797" s="498"/>
      <c r="H797" s="498"/>
      <c r="I797" s="498"/>
      <c r="J797" s="498"/>
      <c r="K797" s="525"/>
      <c r="L797" s="525"/>
      <c r="M797" s="525"/>
      <c r="N797" s="525"/>
      <c r="O797" s="525"/>
      <c r="P797" s="525"/>
      <c r="Q797" s="525"/>
      <c r="R797" s="525"/>
      <c r="S797" s="525"/>
      <c r="T797" s="525"/>
      <c r="U797" s="525"/>
      <c r="V797" s="525"/>
      <c r="W797" s="525"/>
      <c r="X797" s="525"/>
      <c r="Y797" s="525"/>
      <c r="Z797" s="525"/>
      <c r="AA797" s="525"/>
      <c r="AD797" s="551"/>
      <c r="AG797" s="528"/>
      <c r="AI797" s="572"/>
      <c r="AJ797" s="572"/>
      <c r="AL797" s="572"/>
      <c r="AM797" s="572"/>
      <c r="AO797" s="572"/>
      <c r="AP797" s="572"/>
      <c r="AQ797" s="572"/>
      <c r="AR797" s="572"/>
      <c r="AS797" s="572"/>
      <c r="AT797" s="572"/>
    </row>
    <row r="798" spans="1:46" s="2" customFormat="1">
      <c r="A798" s="556"/>
      <c r="C798" s="498"/>
      <c r="D798" s="498"/>
      <c r="E798" s="498"/>
      <c r="F798" s="498"/>
      <c r="G798" s="498"/>
      <c r="H798" s="498"/>
      <c r="I798" s="498"/>
      <c r="J798" s="498"/>
      <c r="K798" s="525"/>
      <c r="L798" s="525"/>
      <c r="M798" s="525"/>
      <c r="N798" s="525"/>
      <c r="O798" s="525"/>
      <c r="P798" s="525"/>
      <c r="Q798" s="525"/>
      <c r="R798" s="525"/>
      <c r="S798" s="525"/>
      <c r="T798" s="525"/>
      <c r="U798" s="525"/>
      <c r="V798" s="525"/>
      <c r="W798" s="525"/>
      <c r="X798" s="525"/>
      <c r="Y798" s="525"/>
      <c r="Z798" s="525"/>
      <c r="AA798" s="525"/>
      <c r="AD798" s="638"/>
      <c r="AE798" s="502"/>
      <c r="AF798" s="642"/>
      <c r="AG798" s="528"/>
      <c r="AH798" s="502"/>
      <c r="AI798" s="572"/>
      <c r="AJ798" s="572"/>
      <c r="AL798" s="572"/>
      <c r="AM798" s="572"/>
      <c r="AO798" s="572"/>
      <c r="AP798" s="572"/>
      <c r="AQ798" s="572"/>
      <c r="AR798" s="572"/>
      <c r="AS798" s="572"/>
      <c r="AT798" s="572"/>
    </row>
    <row r="799" spans="1:46" s="2" customFormat="1">
      <c r="A799" s="589"/>
      <c r="C799" s="498"/>
      <c r="D799" s="498"/>
      <c r="E799" s="498"/>
      <c r="F799" s="498"/>
      <c r="G799" s="498"/>
      <c r="H799" s="498"/>
      <c r="I799" s="498"/>
      <c r="J799" s="498"/>
      <c r="K799" s="525"/>
      <c r="L799" s="525"/>
      <c r="M799" s="525"/>
      <c r="N799" s="525"/>
      <c r="O799" s="525"/>
      <c r="P799" s="525"/>
      <c r="Q799" s="525"/>
      <c r="R799" s="525"/>
      <c r="S799" s="525"/>
      <c r="T799" s="525"/>
      <c r="U799" s="525"/>
      <c r="V799" s="525"/>
      <c r="W799" s="525"/>
      <c r="X799" s="525"/>
      <c r="Y799" s="525"/>
      <c r="Z799" s="525"/>
      <c r="AA799" s="525"/>
      <c r="AD799" s="638"/>
      <c r="AE799" s="643"/>
      <c r="AF799" s="641"/>
      <c r="AG799" s="528"/>
      <c r="AH799" s="643"/>
      <c r="AI799" s="572"/>
      <c r="AJ799" s="572"/>
      <c r="AL799" s="572"/>
      <c r="AM799" s="572"/>
      <c r="AO799" s="572"/>
      <c r="AP799" s="572"/>
      <c r="AQ799" s="572"/>
      <c r="AR799" s="572"/>
      <c r="AS799" s="572"/>
      <c r="AT799" s="572"/>
    </row>
    <row r="800" spans="1:46" s="2" customFormat="1">
      <c r="A800" s="589"/>
      <c r="C800" s="498"/>
      <c r="D800" s="498"/>
      <c r="E800" s="498"/>
      <c r="F800" s="498"/>
      <c r="G800" s="498"/>
      <c r="H800" s="498"/>
      <c r="I800" s="498"/>
      <c r="J800" s="498"/>
      <c r="K800" s="525"/>
      <c r="L800" s="525"/>
      <c r="M800" s="525"/>
      <c r="N800" s="525"/>
      <c r="O800" s="525"/>
      <c r="P800" s="525"/>
      <c r="Q800" s="525"/>
      <c r="R800" s="525"/>
      <c r="S800" s="525"/>
      <c r="T800" s="525"/>
      <c r="U800" s="525"/>
      <c r="V800" s="525"/>
      <c r="W800" s="525"/>
      <c r="X800" s="525"/>
      <c r="Y800" s="525"/>
      <c r="Z800" s="525"/>
      <c r="AA800" s="525"/>
      <c r="AD800" s="638"/>
      <c r="AE800" s="643"/>
      <c r="AF800" s="641"/>
      <c r="AG800" s="528"/>
      <c r="AH800" s="643"/>
      <c r="AI800" s="572"/>
      <c r="AJ800" s="572"/>
      <c r="AL800" s="572"/>
      <c r="AM800" s="572"/>
      <c r="AO800" s="572"/>
      <c r="AP800" s="572"/>
      <c r="AQ800" s="572"/>
      <c r="AR800" s="572"/>
      <c r="AS800" s="572"/>
      <c r="AT800" s="572"/>
    </row>
    <row r="801" spans="1:46" s="2" customFormat="1">
      <c r="A801" s="589"/>
      <c r="C801" s="498"/>
      <c r="D801" s="498"/>
      <c r="E801" s="498"/>
      <c r="F801" s="498"/>
      <c r="G801" s="498"/>
      <c r="H801" s="498"/>
      <c r="I801" s="498"/>
      <c r="J801" s="498"/>
      <c r="K801" s="525"/>
      <c r="L801" s="525"/>
      <c r="M801" s="525"/>
      <c r="N801" s="525"/>
      <c r="O801" s="525"/>
      <c r="P801" s="525"/>
      <c r="Q801" s="525"/>
      <c r="R801" s="525"/>
      <c r="S801" s="525"/>
      <c r="T801" s="525"/>
      <c r="U801" s="525"/>
      <c r="V801" s="525"/>
      <c r="W801" s="525"/>
      <c r="X801" s="525"/>
      <c r="Y801" s="525"/>
      <c r="Z801" s="525"/>
      <c r="AA801" s="525"/>
      <c r="AD801" s="638"/>
      <c r="AE801" s="643"/>
      <c r="AF801" s="641"/>
      <c r="AG801" s="528"/>
      <c r="AH801" s="643"/>
      <c r="AI801" s="572"/>
      <c r="AJ801" s="572"/>
      <c r="AL801" s="572"/>
      <c r="AM801" s="572"/>
      <c r="AO801" s="572"/>
      <c r="AP801" s="572"/>
      <c r="AQ801" s="572"/>
      <c r="AR801" s="572"/>
      <c r="AS801" s="572"/>
      <c r="AT801" s="572"/>
    </row>
    <row r="802" spans="1:46" s="2" customFormat="1">
      <c r="A802" s="589"/>
      <c r="C802" s="498"/>
      <c r="D802" s="498"/>
      <c r="E802" s="498"/>
      <c r="F802" s="498"/>
      <c r="G802" s="498"/>
      <c r="H802" s="498"/>
      <c r="I802" s="498"/>
      <c r="J802" s="498"/>
      <c r="K802" s="525"/>
      <c r="L802" s="525"/>
      <c r="M802" s="525"/>
      <c r="N802" s="525"/>
      <c r="O802" s="525"/>
      <c r="P802" s="525"/>
      <c r="Q802" s="525"/>
      <c r="R802" s="525"/>
      <c r="S802" s="525"/>
      <c r="T802" s="525"/>
      <c r="U802" s="525"/>
      <c r="V802" s="525"/>
      <c r="W802" s="525"/>
      <c r="X802" s="525"/>
      <c r="Y802" s="525"/>
      <c r="Z802" s="525"/>
      <c r="AA802" s="525"/>
      <c r="AD802" s="638"/>
      <c r="AE802" s="643"/>
      <c r="AF802" s="641"/>
      <c r="AG802" s="528"/>
      <c r="AH802" s="643"/>
      <c r="AI802" s="572"/>
      <c r="AJ802" s="572"/>
      <c r="AL802" s="572"/>
      <c r="AM802" s="572"/>
      <c r="AO802" s="572"/>
      <c r="AP802" s="572"/>
      <c r="AQ802" s="572"/>
      <c r="AR802" s="572"/>
      <c r="AS802" s="572"/>
      <c r="AT802" s="572"/>
    </row>
    <row r="803" spans="1:46" s="2" customFormat="1">
      <c r="A803" s="589"/>
      <c r="C803" s="498"/>
      <c r="D803" s="498"/>
      <c r="E803" s="498"/>
      <c r="F803" s="498"/>
      <c r="G803" s="498"/>
      <c r="H803" s="498"/>
      <c r="I803" s="498"/>
      <c r="J803" s="498"/>
      <c r="K803" s="525"/>
      <c r="L803" s="525"/>
      <c r="M803" s="525"/>
      <c r="N803" s="525"/>
      <c r="O803" s="525"/>
      <c r="P803" s="525"/>
      <c r="Q803" s="525"/>
      <c r="R803" s="525"/>
      <c r="S803" s="525"/>
      <c r="T803" s="525"/>
      <c r="U803" s="525"/>
      <c r="V803" s="525"/>
      <c r="W803" s="525"/>
      <c r="X803" s="525"/>
      <c r="Y803" s="525"/>
      <c r="Z803" s="525"/>
      <c r="AA803" s="525"/>
      <c r="AD803" s="638"/>
      <c r="AE803" s="643"/>
      <c r="AF803" s="641"/>
      <c r="AG803" s="528"/>
      <c r="AH803" s="643"/>
      <c r="AI803" s="572"/>
      <c r="AJ803" s="572"/>
      <c r="AL803" s="572"/>
      <c r="AM803" s="572"/>
      <c r="AO803" s="572"/>
      <c r="AP803" s="572"/>
      <c r="AQ803" s="572"/>
      <c r="AR803" s="572"/>
      <c r="AS803" s="572"/>
      <c r="AT803" s="572"/>
    </row>
    <row r="804" spans="1:46" s="2" customFormat="1">
      <c r="A804" s="589"/>
      <c r="C804" s="498"/>
      <c r="D804" s="498"/>
      <c r="E804" s="498"/>
      <c r="F804" s="498"/>
      <c r="G804" s="498"/>
      <c r="H804" s="498"/>
      <c r="I804" s="498"/>
      <c r="J804" s="498"/>
      <c r="K804" s="525"/>
      <c r="L804" s="525"/>
      <c r="M804" s="525"/>
      <c r="N804" s="525"/>
      <c r="O804" s="525"/>
      <c r="P804" s="525"/>
      <c r="Q804" s="525"/>
      <c r="R804" s="525"/>
      <c r="S804" s="525"/>
      <c r="T804" s="525"/>
      <c r="U804" s="525"/>
      <c r="V804" s="525"/>
      <c r="W804" s="525"/>
      <c r="X804" s="525"/>
      <c r="Y804" s="525"/>
      <c r="Z804" s="525"/>
      <c r="AA804" s="525"/>
      <c r="AD804" s="638"/>
      <c r="AE804" s="643"/>
      <c r="AF804" s="641"/>
      <c r="AG804" s="528"/>
      <c r="AH804" s="643"/>
      <c r="AI804" s="572"/>
      <c r="AJ804" s="572"/>
      <c r="AL804" s="572"/>
      <c r="AM804" s="572"/>
      <c r="AO804" s="572"/>
      <c r="AP804" s="572"/>
      <c r="AQ804" s="572"/>
      <c r="AR804" s="572"/>
      <c r="AS804" s="572"/>
      <c r="AT804" s="572"/>
    </row>
    <row r="805" spans="1:46" s="2" customFormat="1">
      <c r="A805" s="589"/>
      <c r="C805" s="498"/>
      <c r="D805" s="498"/>
      <c r="E805" s="498"/>
      <c r="F805" s="498"/>
      <c r="G805" s="498"/>
      <c r="H805" s="498"/>
      <c r="I805" s="498"/>
      <c r="J805" s="498"/>
      <c r="K805" s="525"/>
      <c r="L805" s="525"/>
      <c r="M805" s="525"/>
      <c r="N805" s="525"/>
      <c r="O805" s="525"/>
      <c r="P805" s="525"/>
      <c r="Q805" s="525"/>
      <c r="R805" s="525"/>
      <c r="S805" s="525"/>
      <c r="T805" s="525"/>
      <c r="U805" s="525"/>
      <c r="V805" s="525"/>
      <c r="W805" s="525"/>
      <c r="X805" s="525"/>
      <c r="Y805" s="525"/>
      <c r="Z805" s="525"/>
      <c r="AA805" s="525"/>
      <c r="AD805" s="638"/>
      <c r="AE805" s="643"/>
      <c r="AF805" s="641"/>
      <c r="AG805" s="528"/>
      <c r="AH805" s="643"/>
      <c r="AI805" s="572"/>
      <c r="AJ805" s="572"/>
      <c r="AL805" s="572"/>
      <c r="AM805" s="572"/>
      <c r="AO805" s="572"/>
      <c r="AP805" s="572"/>
      <c r="AQ805" s="572"/>
      <c r="AR805" s="572"/>
      <c r="AS805" s="572"/>
      <c r="AT805" s="572"/>
    </row>
    <row r="806" spans="1:46" s="2" customFormat="1">
      <c r="A806" s="589"/>
      <c r="C806" s="498"/>
      <c r="D806" s="498"/>
      <c r="E806" s="498"/>
      <c r="F806" s="498"/>
      <c r="G806" s="498"/>
      <c r="H806" s="498"/>
      <c r="I806" s="498"/>
      <c r="J806" s="498"/>
      <c r="K806" s="525"/>
      <c r="L806" s="525"/>
      <c r="M806" s="525"/>
      <c r="N806" s="525"/>
      <c r="O806" s="525"/>
      <c r="P806" s="525"/>
      <c r="Q806" s="525"/>
      <c r="R806" s="525"/>
      <c r="S806" s="525"/>
      <c r="T806" s="525"/>
      <c r="U806" s="525"/>
      <c r="V806" s="525"/>
      <c r="W806" s="525"/>
      <c r="X806" s="525"/>
      <c r="Y806" s="525"/>
      <c r="Z806" s="525"/>
      <c r="AA806" s="525"/>
      <c r="AD806" s="638"/>
      <c r="AE806" s="643"/>
      <c r="AF806" s="641"/>
      <c r="AG806" s="528"/>
      <c r="AH806" s="643"/>
      <c r="AI806" s="572"/>
      <c r="AJ806" s="572"/>
      <c r="AL806" s="572"/>
      <c r="AM806" s="572"/>
      <c r="AO806" s="572"/>
      <c r="AP806" s="572"/>
      <c r="AQ806" s="572"/>
      <c r="AR806" s="572"/>
      <c r="AS806" s="572"/>
      <c r="AT806" s="572"/>
    </row>
    <row r="807" spans="1:46" s="2" customFormat="1">
      <c r="A807" s="556"/>
      <c r="C807" s="498"/>
      <c r="D807" s="498"/>
      <c r="E807" s="498"/>
      <c r="F807" s="498"/>
      <c r="G807" s="498"/>
      <c r="H807" s="498"/>
      <c r="I807" s="498"/>
      <c r="J807" s="498"/>
      <c r="K807" s="525"/>
      <c r="L807" s="525"/>
      <c r="M807" s="525"/>
      <c r="N807" s="525"/>
      <c r="O807" s="525"/>
      <c r="P807" s="525"/>
      <c r="Q807" s="525"/>
      <c r="R807" s="525"/>
      <c r="S807" s="525"/>
      <c r="T807" s="525"/>
      <c r="U807" s="525"/>
      <c r="V807" s="525"/>
      <c r="W807" s="525"/>
      <c r="X807" s="525"/>
      <c r="Y807" s="525"/>
      <c r="Z807" s="525"/>
      <c r="AA807" s="525"/>
      <c r="AD807" s="640"/>
      <c r="AG807" s="528"/>
      <c r="AI807" s="572"/>
      <c r="AJ807" s="572"/>
      <c r="AL807" s="572"/>
      <c r="AM807" s="572"/>
      <c r="AO807" s="572"/>
      <c r="AP807" s="572"/>
      <c r="AQ807" s="572"/>
      <c r="AR807" s="572"/>
      <c r="AS807" s="572"/>
      <c r="AT807" s="572"/>
    </row>
    <row r="808" spans="1:46" s="2" customFormat="1">
      <c r="A808" s="556"/>
      <c r="C808" s="498"/>
      <c r="D808" s="498"/>
      <c r="E808" s="498"/>
      <c r="F808" s="498"/>
      <c r="G808" s="498"/>
      <c r="H808" s="498"/>
      <c r="I808" s="498"/>
      <c r="J808" s="498"/>
      <c r="K808" s="525"/>
      <c r="L808" s="525"/>
      <c r="M808" s="525"/>
      <c r="N808" s="525"/>
      <c r="O808" s="525"/>
      <c r="P808" s="525"/>
      <c r="Q808" s="525"/>
      <c r="R808" s="525"/>
      <c r="S808" s="525"/>
      <c r="T808" s="525"/>
      <c r="U808" s="525"/>
      <c r="V808" s="525"/>
      <c r="W808" s="525"/>
      <c r="X808" s="525"/>
      <c r="Y808" s="525"/>
      <c r="Z808" s="525"/>
      <c r="AA808" s="525"/>
      <c r="AD808" s="638"/>
      <c r="AE808" s="502"/>
      <c r="AF808" s="642"/>
      <c r="AG808" s="528"/>
      <c r="AH808" s="528"/>
      <c r="AI808" s="572"/>
      <c r="AJ808" s="572"/>
      <c r="AL808" s="572"/>
      <c r="AM808" s="572"/>
      <c r="AO808" s="572"/>
      <c r="AP808" s="572"/>
      <c r="AQ808" s="572"/>
      <c r="AR808" s="572"/>
      <c r="AS808" s="572"/>
      <c r="AT808" s="572"/>
    </row>
    <row r="809" spans="1:46" s="2" customFormat="1">
      <c r="A809" s="589"/>
      <c r="C809" s="498"/>
      <c r="D809" s="498"/>
      <c r="E809" s="498"/>
      <c r="F809" s="498"/>
      <c r="G809" s="498"/>
      <c r="H809" s="498"/>
      <c r="I809" s="498"/>
      <c r="J809" s="498"/>
      <c r="K809" s="525"/>
      <c r="L809" s="525"/>
      <c r="M809" s="525"/>
      <c r="N809" s="525"/>
      <c r="O809" s="525"/>
      <c r="P809" s="525"/>
      <c r="Q809" s="525"/>
      <c r="R809" s="525"/>
      <c r="S809" s="525"/>
      <c r="T809" s="525"/>
      <c r="U809" s="525"/>
      <c r="V809" s="525"/>
      <c r="W809" s="525"/>
      <c r="X809" s="525"/>
      <c r="Y809" s="525"/>
      <c r="Z809" s="525"/>
      <c r="AA809" s="525"/>
      <c r="AD809" s="638"/>
      <c r="AE809" s="643"/>
      <c r="AF809" s="641"/>
      <c r="AG809" s="528"/>
      <c r="AH809" s="643"/>
      <c r="AI809" s="572"/>
      <c r="AJ809" s="572"/>
      <c r="AL809" s="572"/>
      <c r="AM809" s="572"/>
      <c r="AO809" s="572"/>
      <c r="AP809" s="572"/>
      <c r="AQ809" s="572"/>
      <c r="AR809" s="572"/>
      <c r="AS809" s="572"/>
      <c r="AT809" s="572"/>
    </row>
    <row r="810" spans="1:46" s="2" customFormat="1">
      <c r="A810" s="589"/>
      <c r="C810" s="498"/>
      <c r="D810" s="498"/>
      <c r="E810" s="498"/>
      <c r="F810" s="498"/>
      <c r="G810" s="498"/>
      <c r="H810" s="498"/>
      <c r="I810" s="498"/>
      <c r="J810" s="498"/>
      <c r="K810" s="525"/>
      <c r="L810" s="525"/>
      <c r="M810" s="525"/>
      <c r="N810" s="525"/>
      <c r="O810" s="525"/>
      <c r="P810" s="525"/>
      <c r="Q810" s="525"/>
      <c r="R810" s="525"/>
      <c r="S810" s="525"/>
      <c r="T810" s="525"/>
      <c r="U810" s="525"/>
      <c r="V810" s="525"/>
      <c r="W810" s="525"/>
      <c r="X810" s="525"/>
      <c r="Y810" s="525"/>
      <c r="Z810" s="525"/>
      <c r="AA810" s="525"/>
      <c r="AD810" s="638"/>
      <c r="AE810" s="643"/>
      <c r="AF810" s="641"/>
      <c r="AG810" s="528"/>
      <c r="AH810" s="643"/>
      <c r="AI810" s="572"/>
      <c r="AJ810" s="572"/>
      <c r="AL810" s="572"/>
      <c r="AM810" s="572"/>
      <c r="AO810" s="572"/>
      <c r="AP810" s="572"/>
      <c r="AQ810" s="572"/>
      <c r="AR810" s="572"/>
      <c r="AS810" s="572"/>
      <c r="AT810" s="572"/>
    </row>
    <row r="811" spans="1:46" s="2" customFormat="1">
      <c r="A811" s="589"/>
      <c r="C811" s="498"/>
      <c r="D811" s="498"/>
      <c r="E811" s="498"/>
      <c r="F811" s="498"/>
      <c r="G811" s="498"/>
      <c r="H811" s="498"/>
      <c r="I811" s="498"/>
      <c r="J811" s="498"/>
      <c r="K811" s="525"/>
      <c r="L811" s="525"/>
      <c r="M811" s="525"/>
      <c r="N811" s="525"/>
      <c r="O811" s="525"/>
      <c r="P811" s="525"/>
      <c r="Q811" s="525"/>
      <c r="R811" s="525"/>
      <c r="S811" s="525"/>
      <c r="T811" s="525"/>
      <c r="U811" s="525"/>
      <c r="V811" s="525"/>
      <c r="W811" s="525"/>
      <c r="X811" s="525"/>
      <c r="Y811" s="525"/>
      <c r="Z811" s="525"/>
      <c r="AA811" s="525"/>
      <c r="AC811" s="502"/>
      <c r="AD811" s="638"/>
      <c r="AE811" s="643"/>
      <c r="AF811" s="641"/>
      <c r="AG811" s="528"/>
      <c r="AH811" s="643"/>
      <c r="AI811" s="572"/>
      <c r="AJ811" s="572"/>
      <c r="AL811" s="572"/>
      <c r="AM811" s="572"/>
      <c r="AO811" s="572"/>
      <c r="AP811" s="572"/>
      <c r="AQ811" s="572"/>
      <c r="AR811" s="572"/>
      <c r="AS811" s="572"/>
      <c r="AT811" s="572"/>
    </row>
    <row r="812" spans="1:46" s="2" customFormat="1">
      <c r="A812" s="589"/>
      <c r="C812" s="498"/>
      <c r="D812" s="498"/>
      <c r="E812" s="498"/>
      <c r="F812" s="498"/>
      <c r="G812" s="498"/>
      <c r="H812" s="498"/>
      <c r="I812" s="498"/>
      <c r="J812" s="498"/>
      <c r="K812" s="525"/>
      <c r="L812" s="525"/>
      <c r="M812" s="525"/>
      <c r="N812" s="525"/>
      <c r="O812" s="525"/>
      <c r="P812" s="525"/>
      <c r="Q812" s="525"/>
      <c r="R812" s="525"/>
      <c r="S812" s="525"/>
      <c r="T812" s="525"/>
      <c r="U812" s="525"/>
      <c r="V812" s="525"/>
      <c r="W812" s="525"/>
      <c r="X812" s="525"/>
      <c r="Y812" s="525"/>
      <c r="Z812" s="525"/>
      <c r="AA812" s="525"/>
      <c r="AC812" s="502"/>
      <c r="AD812" s="638"/>
      <c r="AE812" s="643"/>
      <c r="AF812" s="641"/>
      <c r="AG812" s="528"/>
      <c r="AH812" s="643"/>
      <c r="AI812" s="572"/>
      <c r="AJ812" s="572"/>
      <c r="AL812" s="572"/>
      <c r="AM812" s="572"/>
      <c r="AO812" s="572"/>
      <c r="AP812" s="572"/>
      <c r="AQ812" s="572"/>
      <c r="AR812" s="572"/>
      <c r="AS812" s="572"/>
      <c r="AT812" s="572"/>
    </row>
    <row r="813" spans="1:46" s="2" customFormat="1">
      <c r="A813" s="589"/>
      <c r="C813" s="498"/>
      <c r="D813" s="498"/>
      <c r="E813" s="498"/>
      <c r="F813" s="498"/>
      <c r="G813" s="498"/>
      <c r="H813" s="498"/>
      <c r="I813" s="498"/>
      <c r="J813" s="498"/>
      <c r="K813" s="525"/>
      <c r="L813" s="525"/>
      <c r="M813" s="525"/>
      <c r="N813" s="525"/>
      <c r="O813" s="525"/>
      <c r="P813" s="525"/>
      <c r="Q813" s="525"/>
      <c r="R813" s="525"/>
      <c r="S813" s="525"/>
      <c r="T813" s="525"/>
      <c r="U813" s="525"/>
      <c r="V813" s="525"/>
      <c r="W813" s="525"/>
      <c r="X813" s="525"/>
      <c r="Y813" s="525"/>
      <c r="Z813" s="525"/>
      <c r="AA813" s="525"/>
      <c r="AC813" s="502"/>
      <c r="AD813" s="638"/>
      <c r="AE813" s="643"/>
      <c r="AF813" s="641"/>
      <c r="AG813" s="528"/>
      <c r="AH813" s="643"/>
      <c r="AI813" s="572"/>
      <c r="AJ813" s="572"/>
      <c r="AL813" s="572"/>
      <c r="AM813" s="572"/>
      <c r="AO813" s="572"/>
      <c r="AP813" s="572"/>
      <c r="AQ813" s="572"/>
      <c r="AR813" s="572"/>
      <c r="AS813" s="572"/>
      <c r="AT813" s="572"/>
    </row>
    <row r="814" spans="1:46" s="2" customFormat="1">
      <c r="A814" s="589"/>
      <c r="C814" s="498"/>
      <c r="D814" s="498"/>
      <c r="E814" s="498"/>
      <c r="F814" s="498"/>
      <c r="G814" s="498"/>
      <c r="H814" s="498"/>
      <c r="I814" s="498"/>
      <c r="J814" s="498"/>
      <c r="K814" s="525"/>
      <c r="L814" s="525"/>
      <c r="M814" s="525"/>
      <c r="N814" s="525"/>
      <c r="O814" s="525"/>
      <c r="P814" s="525"/>
      <c r="Q814" s="525"/>
      <c r="R814" s="525"/>
      <c r="S814" s="525"/>
      <c r="T814" s="525"/>
      <c r="U814" s="525"/>
      <c r="V814" s="525"/>
      <c r="W814" s="525"/>
      <c r="X814" s="525"/>
      <c r="Y814" s="525"/>
      <c r="Z814" s="525"/>
      <c r="AA814" s="525"/>
      <c r="AC814" s="502"/>
      <c r="AD814" s="638"/>
      <c r="AE814" s="643"/>
      <c r="AF814" s="641"/>
      <c r="AG814" s="528"/>
      <c r="AH814" s="643"/>
      <c r="AI814" s="572"/>
      <c r="AJ814" s="572"/>
      <c r="AL814" s="572"/>
      <c r="AM814" s="572"/>
      <c r="AO814" s="572"/>
      <c r="AP814" s="572"/>
      <c r="AQ814" s="572"/>
      <c r="AR814" s="572"/>
      <c r="AS814" s="572"/>
      <c r="AT814" s="572"/>
    </row>
    <row r="815" spans="1:46" s="2" customFormat="1">
      <c r="A815" s="589"/>
      <c r="C815" s="498"/>
      <c r="D815" s="498"/>
      <c r="E815" s="498"/>
      <c r="F815" s="498"/>
      <c r="G815" s="498"/>
      <c r="H815" s="498"/>
      <c r="I815" s="498"/>
      <c r="J815" s="498"/>
      <c r="K815" s="525"/>
      <c r="L815" s="525"/>
      <c r="M815" s="525"/>
      <c r="N815" s="525"/>
      <c r="O815" s="525"/>
      <c r="P815" s="525"/>
      <c r="Q815" s="525"/>
      <c r="R815" s="525"/>
      <c r="S815" s="525"/>
      <c r="T815" s="525"/>
      <c r="U815" s="525"/>
      <c r="V815" s="525"/>
      <c r="W815" s="525"/>
      <c r="X815" s="525"/>
      <c r="Y815" s="525"/>
      <c r="Z815" s="525"/>
      <c r="AA815" s="525"/>
      <c r="AC815" s="502"/>
      <c r="AD815" s="638"/>
      <c r="AE815" s="643"/>
      <c r="AF815" s="641"/>
      <c r="AG815" s="528"/>
      <c r="AH815" s="643"/>
      <c r="AI815" s="572"/>
      <c r="AJ815" s="572"/>
      <c r="AL815" s="572"/>
      <c r="AM815" s="572"/>
      <c r="AO815" s="572"/>
      <c r="AP815" s="572"/>
      <c r="AQ815" s="572"/>
      <c r="AR815" s="572"/>
      <c r="AS815" s="572"/>
      <c r="AT815" s="572"/>
    </row>
    <row r="816" spans="1:46" s="2" customFormat="1">
      <c r="A816" s="589"/>
      <c r="C816" s="498"/>
      <c r="D816" s="498"/>
      <c r="E816" s="498"/>
      <c r="F816" s="498"/>
      <c r="G816" s="498"/>
      <c r="H816" s="498"/>
      <c r="I816" s="498"/>
      <c r="J816" s="498"/>
      <c r="K816" s="525"/>
      <c r="L816" s="525"/>
      <c r="M816" s="525"/>
      <c r="N816" s="525"/>
      <c r="O816" s="525"/>
      <c r="P816" s="525"/>
      <c r="Q816" s="525"/>
      <c r="R816" s="525"/>
      <c r="S816" s="525"/>
      <c r="T816" s="525"/>
      <c r="U816" s="525"/>
      <c r="V816" s="525"/>
      <c r="W816" s="525"/>
      <c r="X816" s="525"/>
      <c r="Y816" s="525"/>
      <c r="Z816" s="525"/>
      <c r="AA816" s="525"/>
      <c r="AC816" s="502"/>
      <c r="AD816" s="638"/>
      <c r="AE816" s="643"/>
      <c r="AF816" s="641"/>
      <c r="AG816" s="528"/>
      <c r="AH816" s="643"/>
      <c r="AI816" s="572"/>
      <c r="AJ816" s="572"/>
      <c r="AL816" s="572"/>
      <c r="AM816" s="572"/>
      <c r="AO816" s="572"/>
      <c r="AP816" s="572"/>
      <c r="AQ816" s="572"/>
      <c r="AR816" s="572"/>
      <c r="AS816" s="572"/>
      <c r="AT816" s="572"/>
    </row>
    <row r="817" spans="1:46" s="2" customFormat="1">
      <c r="A817" s="556"/>
      <c r="C817" s="498"/>
      <c r="D817" s="498"/>
      <c r="E817" s="498"/>
      <c r="F817" s="498"/>
      <c r="G817" s="498"/>
      <c r="H817" s="498"/>
      <c r="I817" s="498"/>
      <c r="J817" s="498"/>
      <c r="K817" s="525"/>
      <c r="L817" s="525"/>
      <c r="M817" s="525"/>
      <c r="N817" s="525"/>
      <c r="O817" s="525"/>
      <c r="P817" s="525"/>
      <c r="Q817" s="525"/>
      <c r="R817" s="525"/>
      <c r="S817" s="525"/>
      <c r="T817" s="525"/>
      <c r="U817" s="525"/>
      <c r="V817" s="525"/>
      <c r="W817" s="525"/>
      <c r="X817" s="525"/>
      <c r="Y817" s="525"/>
      <c r="Z817" s="525"/>
      <c r="AA817" s="525"/>
      <c r="AD817" s="638"/>
      <c r="AF817" s="526"/>
      <c r="AG817" s="528"/>
      <c r="AH817" s="526"/>
      <c r="AI817" s="572"/>
      <c r="AJ817" s="572"/>
      <c r="AL817" s="572"/>
      <c r="AM817" s="572"/>
      <c r="AO817" s="572"/>
      <c r="AP817" s="572"/>
      <c r="AQ817" s="572"/>
      <c r="AR817" s="572"/>
      <c r="AS817" s="572"/>
      <c r="AT817" s="572"/>
    </row>
    <row r="818" spans="1:46" s="2" customFormat="1">
      <c r="A818" s="556"/>
      <c r="AE818" s="498"/>
      <c r="AF818" s="498"/>
      <c r="AG818" s="528"/>
      <c r="AH818" s="498"/>
      <c r="AI818" s="572"/>
      <c r="AJ818" s="572"/>
      <c r="AL818" s="572"/>
      <c r="AM818" s="572"/>
      <c r="AO818" s="572"/>
      <c r="AP818" s="572"/>
      <c r="AQ818" s="572"/>
      <c r="AR818" s="572"/>
      <c r="AS818" s="572"/>
      <c r="AT818" s="572"/>
    </row>
    <row r="819" spans="1:46" s="2" customFormat="1">
      <c r="A819" s="556"/>
      <c r="C819" s="498"/>
      <c r="D819" s="498"/>
      <c r="E819" s="498"/>
      <c r="F819" s="498"/>
      <c r="G819" s="498"/>
      <c r="H819" s="498"/>
      <c r="I819" s="498"/>
      <c r="J819" s="498"/>
      <c r="K819" s="525"/>
      <c r="L819" s="525"/>
      <c r="M819" s="525"/>
      <c r="N819" s="525"/>
      <c r="O819" s="525"/>
      <c r="P819" s="525"/>
      <c r="Q819" s="525"/>
      <c r="R819" s="525"/>
      <c r="S819" s="525"/>
      <c r="T819" s="525"/>
      <c r="U819" s="525"/>
      <c r="V819" s="525"/>
      <c r="W819" s="525"/>
      <c r="X819" s="525"/>
      <c r="Y819" s="525"/>
      <c r="Z819" s="525"/>
      <c r="AA819" s="525"/>
      <c r="AD819" s="638"/>
      <c r="AE819" s="643"/>
      <c r="AF819" s="642"/>
      <c r="AG819" s="528"/>
      <c r="AH819" s="643"/>
      <c r="AI819" s="572"/>
      <c r="AJ819" s="572"/>
      <c r="AL819" s="572"/>
      <c r="AM819" s="572"/>
      <c r="AO819" s="572"/>
      <c r="AP819" s="572"/>
      <c r="AQ819" s="572"/>
      <c r="AR819" s="572"/>
      <c r="AS819" s="572"/>
      <c r="AT819" s="572"/>
    </row>
    <row r="820" spans="1:46" s="2" customFormat="1">
      <c r="A820" s="589"/>
      <c r="C820" s="498"/>
      <c r="D820" s="498"/>
      <c r="E820" s="498"/>
      <c r="F820" s="498"/>
      <c r="G820" s="498"/>
      <c r="H820" s="498"/>
      <c r="I820" s="498"/>
      <c r="J820" s="498"/>
      <c r="K820" s="525"/>
      <c r="L820" s="525"/>
      <c r="M820" s="525"/>
      <c r="N820" s="525"/>
      <c r="O820" s="525"/>
      <c r="P820" s="525"/>
      <c r="Q820" s="525"/>
      <c r="R820" s="525"/>
      <c r="S820" s="525"/>
      <c r="T820" s="525"/>
      <c r="U820" s="525"/>
      <c r="V820" s="525"/>
      <c r="W820" s="525"/>
      <c r="X820" s="525"/>
      <c r="Y820" s="525"/>
      <c r="Z820" s="525"/>
      <c r="AA820" s="525"/>
      <c r="AD820" s="638"/>
      <c r="AE820" s="643"/>
      <c r="AF820" s="641"/>
      <c r="AG820" s="528"/>
      <c r="AH820" s="643"/>
      <c r="AI820" s="572"/>
      <c r="AJ820" s="572"/>
      <c r="AL820" s="572"/>
      <c r="AM820" s="572"/>
      <c r="AO820" s="572"/>
      <c r="AP820" s="572"/>
      <c r="AQ820" s="572"/>
      <c r="AR820" s="572"/>
      <c r="AS820" s="572"/>
      <c r="AT820" s="572"/>
    </row>
    <row r="821" spans="1:46" s="2" customFormat="1">
      <c r="A821" s="589"/>
      <c r="C821" s="498"/>
      <c r="D821" s="498"/>
      <c r="E821" s="498"/>
      <c r="F821" s="498"/>
      <c r="G821" s="498"/>
      <c r="H821" s="498"/>
      <c r="I821" s="498"/>
      <c r="J821" s="498"/>
      <c r="K821" s="525"/>
      <c r="L821" s="525"/>
      <c r="M821" s="525"/>
      <c r="N821" s="525"/>
      <c r="O821" s="525"/>
      <c r="P821" s="525"/>
      <c r="Q821" s="525"/>
      <c r="R821" s="525"/>
      <c r="S821" s="525"/>
      <c r="T821" s="525"/>
      <c r="U821" s="525"/>
      <c r="V821" s="525"/>
      <c r="W821" s="525"/>
      <c r="X821" s="525"/>
      <c r="Y821" s="525"/>
      <c r="Z821" s="525"/>
      <c r="AA821" s="525"/>
      <c r="AD821" s="638"/>
      <c r="AE821" s="643"/>
      <c r="AF821" s="641"/>
      <c r="AG821" s="528"/>
      <c r="AH821" s="643"/>
      <c r="AI821" s="572"/>
      <c r="AJ821" s="572"/>
      <c r="AL821" s="572"/>
      <c r="AM821" s="572"/>
      <c r="AO821" s="572"/>
      <c r="AP821" s="572"/>
      <c r="AQ821" s="572"/>
      <c r="AR821" s="572"/>
      <c r="AS821" s="572"/>
      <c r="AT821" s="572"/>
    </row>
    <row r="822" spans="1:46" s="2" customFormat="1">
      <c r="A822" s="589"/>
      <c r="C822" s="498"/>
      <c r="D822" s="498"/>
      <c r="E822" s="498"/>
      <c r="F822" s="498"/>
      <c r="G822" s="498"/>
      <c r="H822" s="498"/>
      <c r="I822" s="498"/>
      <c r="J822" s="498"/>
      <c r="K822" s="525"/>
      <c r="L822" s="525"/>
      <c r="M822" s="525"/>
      <c r="N822" s="525"/>
      <c r="O822" s="525"/>
      <c r="P822" s="525"/>
      <c r="Q822" s="525"/>
      <c r="R822" s="525"/>
      <c r="S822" s="525"/>
      <c r="T822" s="525"/>
      <c r="U822" s="525"/>
      <c r="V822" s="525"/>
      <c r="W822" s="525"/>
      <c r="X822" s="525"/>
      <c r="Y822" s="525"/>
      <c r="Z822" s="525"/>
      <c r="AA822" s="525"/>
      <c r="AC822" s="502"/>
      <c r="AD822" s="638"/>
      <c r="AE822" s="643"/>
      <c r="AF822" s="641"/>
      <c r="AG822" s="528"/>
      <c r="AH822" s="643"/>
      <c r="AI822" s="572"/>
      <c r="AJ822" s="572"/>
      <c r="AL822" s="572"/>
      <c r="AM822" s="572"/>
      <c r="AO822" s="572"/>
      <c r="AP822" s="572"/>
      <c r="AQ822" s="572"/>
      <c r="AR822" s="572"/>
      <c r="AS822" s="572"/>
      <c r="AT822" s="572"/>
    </row>
    <row r="823" spans="1:46" s="2" customFormat="1">
      <c r="A823" s="589"/>
      <c r="C823" s="498"/>
      <c r="D823" s="498"/>
      <c r="E823" s="498"/>
      <c r="F823" s="498"/>
      <c r="G823" s="498"/>
      <c r="H823" s="498"/>
      <c r="I823" s="498"/>
      <c r="J823" s="498"/>
      <c r="K823" s="525"/>
      <c r="L823" s="525"/>
      <c r="M823" s="525"/>
      <c r="N823" s="525"/>
      <c r="O823" s="525"/>
      <c r="P823" s="525"/>
      <c r="Q823" s="525"/>
      <c r="R823" s="525"/>
      <c r="S823" s="525"/>
      <c r="T823" s="525"/>
      <c r="U823" s="525"/>
      <c r="V823" s="525"/>
      <c r="W823" s="525"/>
      <c r="X823" s="525"/>
      <c r="Y823" s="525"/>
      <c r="Z823" s="525"/>
      <c r="AA823" s="525"/>
      <c r="AC823" s="502"/>
      <c r="AD823" s="638"/>
      <c r="AE823" s="643"/>
      <c r="AF823" s="641"/>
      <c r="AG823" s="528"/>
      <c r="AH823" s="643"/>
      <c r="AI823" s="572"/>
      <c r="AJ823" s="572"/>
      <c r="AL823" s="572"/>
      <c r="AM823" s="572"/>
      <c r="AO823" s="572"/>
      <c r="AP823" s="572"/>
      <c r="AQ823" s="572"/>
      <c r="AR823" s="572"/>
      <c r="AS823" s="572"/>
      <c r="AT823" s="572"/>
    </row>
    <row r="824" spans="1:46" s="2" customFormat="1">
      <c r="A824" s="589"/>
      <c r="C824" s="498"/>
      <c r="D824" s="498"/>
      <c r="E824" s="498"/>
      <c r="F824" s="498"/>
      <c r="G824" s="498"/>
      <c r="H824" s="498"/>
      <c r="I824" s="498"/>
      <c r="J824" s="498"/>
      <c r="K824" s="525"/>
      <c r="L824" s="525"/>
      <c r="M824" s="525"/>
      <c r="N824" s="525"/>
      <c r="O824" s="525"/>
      <c r="P824" s="525"/>
      <c r="Q824" s="525"/>
      <c r="R824" s="525"/>
      <c r="S824" s="525"/>
      <c r="T824" s="525"/>
      <c r="U824" s="525"/>
      <c r="V824" s="525"/>
      <c r="W824" s="525"/>
      <c r="X824" s="525"/>
      <c r="Y824" s="525"/>
      <c r="Z824" s="525"/>
      <c r="AA824" s="525"/>
      <c r="AC824" s="502"/>
      <c r="AD824" s="638"/>
      <c r="AE824" s="643"/>
      <c r="AF824" s="641"/>
      <c r="AG824" s="528"/>
      <c r="AH824" s="643"/>
      <c r="AI824" s="572"/>
      <c r="AJ824" s="572"/>
      <c r="AL824" s="572"/>
      <c r="AM824" s="572"/>
      <c r="AO824" s="572"/>
      <c r="AP824" s="572"/>
      <c r="AQ824" s="572"/>
      <c r="AR824" s="572"/>
      <c r="AS824" s="572"/>
      <c r="AT824" s="572"/>
    </row>
    <row r="825" spans="1:46" s="2" customFormat="1">
      <c r="A825" s="589"/>
      <c r="C825" s="498"/>
      <c r="D825" s="498"/>
      <c r="E825" s="498"/>
      <c r="F825" s="498"/>
      <c r="G825" s="498"/>
      <c r="H825" s="498"/>
      <c r="I825" s="498"/>
      <c r="J825" s="498"/>
      <c r="K825" s="525"/>
      <c r="L825" s="525"/>
      <c r="M825" s="525"/>
      <c r="N825" s="525"/>
      <c r="O825" s="525"/>
      <c r="P825" s="525"/>
      <c r="Q825" s="525"/>
      <c r="R825" s="525"/>
      <c r="S825" s="525"/>
      <c r="T825" s="525"/>
      <c r="U825" s="525"/>
      <c r="V825" s="525"/>
      <c r="W825" s="525"/>
      <c r="X825" s="525"/>
      <c r="Y825" s="525"/>
      <c r="Z825" s="525"/>
      <c r="AA825" s="525"/>
      <c r="AC825" s="502"/>
      <c r="AD825" s="638"/>
      <c r="AE825" s="643"/>
      <c r="AF825" s="641"/>
      <c r="AG825" s="528"/>
      <c r="AH825" s="643"/>
      <c r="AI825" s="572"/>
      <c r="AJ825" s="572"/>
      <c r="AL825" s="572"/>
      <c r="AM825" s="572"/>
      <c r="AO825" s="572"/>
      <c r="AP825" s="572"/>
      <c r="AQ825" s="572"/>
      <c r="AR825" s="572"/>
      <c r="AS825" s="572"/>
      <c r="AT825" s="572"/>
    </row>
    <row r="826" spans="1:46" s="2" customFormat="1">
      <c r="A826" s="589"/>
      <c r="C826" s="498"/>
      <c r="D826" s="498"/>
      <c r="E826" s="498"/>
      <c r="F826" s="498"/>
      <c r="G826" s="498"/>
      <c r="H826" s="498"/>
      <c r="I826" s="498"/>
      <c r="J826" s="498"/>
      <c r="K826" s="525"/>
      <c r="L826" s="525"/>
      <c r="M826" s="525"/>
      <c r="N826" s="525"/>
      <c r="O826" s="525"/>
      <c r="P826" s="525"/>
      <c r="Q826" s="525"/>
      <c r="R826" s="525"/>
      <c r="S826" s="525"/>
      <c r="T826" s="525"/>
      <c r="U826" s="525"/>
      <c r="V826" s="525"/>
      <c r="W826" s="525"/>
      <c r="X826" s="525"/>
      <c r="Y826" s="525"/>
      <c r="Z826" s="525"/>
      <c r="AA826" s="525"/>
      <c r="AC826" s="502"/>
      <c r="AD826" s="638"/>
      <c r="AE826" s="643"/>
      <c r="AF826" s="641"/>
      <c r="AG826" s="528"/>
      <c r="AH826" s="643"/>
      <c r="AI826" s="572"/>
      <c r="AJ826" s="572"/>
      <c r="AL826" s="572"/>
      <c r="AM826" s="572"/>
      <c r="AO826" s="572"/>
      <c r="AP826" s="572"/>
      <c r="AQ826" s="572"/>
      <c r="AR826" s="572"/>
      <c r="AS826" s="572"/>
      <c r="AT826" s="572"/>
    </row>
    <row r="827" spans="1:46" s="2" customFormat="1">
      <c r="A827" s="589"/>
      <c r="C827" s="498"/>
      <c r="D827" s="498"/>
      <c r="E827" s="498"/>
      <c r="F827" s="498"/>
      <c r="G827" s="498"/>
      <c r="H827" s="498"/>
      <c r="I827" s="498"/>
      <c r="J827" s="498"/>
      <c r="K827" s="525"/>
      <c r="L827" s="525"/>
      <c r="M827" s="525"/>
      <c r="N827" s="525"/>
      <c r="O827" s="525"/>
      <c r="P827" s="525"/>
      <c r="Q827" s="525"/>
      <c r="R827" s="525"/>
      <c r="S827" s="525"/>
      <c r="T827" s="525"/>
      <c r="U827" s="525"/>
      <c r="V827" s="525"/>
      <c r="W827" s="525"/>
      <c r="X827" s="525"/>
      <c r="Y827" s="525"/>
      <c r="Z827" s="525"/>
      <c r="AA827" s="525"/>
      <c r="AC827" s="502"/>
      <c r="AD827" s="638"/>
      <c r="AE827" s="643"/>
      <c r="AF827" s="641"/>
      <c r="AG827" s="528"/>
      <c r="AH827" s="643"/>
      <c r="AI827" s="572"/>
      <c r="AJ827" s="572"/>
      <c r="AL827" s="572"/>
      <c r="AM827" s="572"/>
      <c r="AO827" s="572"/>
      <c r="AP827" s="572"/>
      <c r="AQ827" s="572"/>
      <c r="AR827" s="572"/>
      <c r="AS827" s="572"/>
      <c r="AT827" s="572"/>
    </row>
    <row r="828" spans="1:46" s="2" customFormat="1">
      <c r="A828" s="556"/>
      <c r="C828" s="498"/>
      <c r="D828" s="498"/>
      <c r="E828" s="498"/>
      <c r="F828" s="498"/>
      <c r="G828" s="498"/>
      <c r="H828" s="498"/>
      <c r="I828" s="498"/>
      <c r="J828" s="498"/>
      <c r="K828" s="525"/>
      <c r="L828" s="525"/>
      <c r="M828" s="525"/>
      <c r="N828" s="525"/>
      <c r="O828" s="525"/>
      <c r="P828" s="525"/>
      <c r="Q828" s="525"/>
      <c r="R828" s="525"/>
      <c r="S828" s="525"/>
      <c r="T828" s="525"/>
      <c r="U828" s="525"/>
      <c r="V828" s="525"/>
      <c r="W828" s="525"/>
      <c r="X828" s="525"/>
      <c r="Y828" s="525"/>
      <c r="Z828" s="525"/>
      <c r="AA828" s="525"/>
      <c r="AD828" s="640"/>
      <c r="AE828" s="144"/>
      <c r="AF828" s="144"/>
      <c r="AG828" s="528"/>
      <c r="AH828" s="144"/>
      <c r="AI828" s="572"/>
      <c r="AJ828" s="572"/>
      <c r="AL828" s="572"/>
      <c r="AM828" s="572"/>
      <c r="AO828" s="572"/>
      <c r="AP828" s="572"/>
      <c r="AQ828" s="572"/>
      <c r="AR828" s="572"/>
      <c r="AS828" s="572"/>
      <c r="AT828" s="572"/>
    </row>
    <row r="829" spans="1:46" s="2" customFormat="1">
      <c r="A829" s="556"/>
      <c r="C829" s="498"/>
      <c r="D829" s="498"/>
      <c r="E829" s="498"/>
      <c r="F829" s="498"/>
      <c r="G829" s="498"/>
      <c r="H829" s="498"/>
      <c r="I829" s="498"/>
      <c r="J829" s="498"/>
      <c r="K829" s="525"/>
      <c r="L829" s="525"/>
      <c r="M829" s="525"/>
      <c r="N829" s="525"/>
      <c r="O829" s="525"/>
      <c r="P829" s="525"/>
      <c r="Q829" s="525"/>
      <c r="R829" s="525"/>
      <c r="S829" s="525"/>
      <c r="T829" s="525"/>
      <c r="U829" s="525"/>
      <c r="V829" s="525"/>
      <c r="W829" s="525"/>
      <c r="X829" s="525"/>
      <c r="Y829" s="525"/>
      <c r="Z829" s="525"/>
      <c r="AA829" s="525"/>
      <c r="AD829" s="638"/>
      <c r="AE829" s="525"/>
      <c r="AF829" s="642"/>
      <c r="AG829" s="528"/>
      <c r="AH829" s="525"/>
      <c r="AI829" s="572"/>
      <c r="AJ829" s="572"/>
      <c r="AL829" s="572"/>
      <c r="AM829" s="572"/>
      <c r="AO829" s="572"/>
      <c r="AP829" s="572"/>
      <c r="AQ829" s="572"/>
      <c r="AR829" s="572"/>
      <c r="AS829" s="572"/>
      <c r="AT829" s="572"/>
    </row>
    <row r="830" spans="1:46" s="2" customFormat="1">
      <c r="A830" s="589"/>
      <c r="C830" s="498"/>
      <c r="D830" s="498"/>
      <c r="E830" s="498"/>
      <c r="F830" s="498"/>
      <c r="G830" s="498"/>
      <c r="H830" s="498"/>
      <c r="I830" s="498"/>
      <c r="J830" s="498"/>
      <c r="K830" s="525"/>
      <c r="L830" s="525"/>
      <c r="M830" s="525"/>
      <c r="N830" s="525"/>
      <c r="O830" s="525"/>
      <c r="P830" s="525"/>
      <c r="Q830" s="525"/>
      <c r="R830" s="525"/>
      <c r="S830" s="525"/>
      <c r="T830" s="525"/>
      <c r="U830" s="525"/>
      <c r="V830" s="525"/>
      <c r="W830" s="525"/>
      <c r="X830" s="525"/>
      <c r="Y830" s="525"/>
      <c r="Z830" s="525"/>
      <c r="AA830" s="525"/>
      <c r="AD830" s="638"/>
      <c r="AE830" s="643"/>
      <c r="AF830" s="641"/>
      <c r="AG830" s="528"/>
      <c r="AH830" s="643"/>
      <c r="AI830" s="572"/>
      <c r="AJ830" s="572"/>
      <c r="AL830" s="572"/>
      <c r="AM830" s="572"/>
      <c r="AO830" s="572"/>
      <c r="AP830" s="572"/>
      <c r="AQ830" s="572"/>
      <c r="AR830" s="572"/>
      <c r="AS830" s="572"/>
      <c r="AT830" s="572"/>
    </row>
    <row r="831" spans="1:46" s="2" customFormat="1">
      <c r="A831" s="589"/>
      <c r="C831" s="498"/>
      <c r="D831" s="498"/>
      <c r="E831" s="498"/>
      <c r="F831" s="498"/>
      <c r="G831" s="498"/>
      <c r="H831" s="498"/>
      <c r="I831" s="498"/>
      <c r="J831" s="498"/>
      <c r="K831" s="525"/>
      <c r="L831" s="525"/>
      <c r="M831" s="525"/>
      <c r="N831" s="525"/>
      <c r="O831" s="525"/>
      <c r="P831" s="525"/>
      <c r="Q831" s="525"/>
      <c r="R831" s="525"/>
      <c r="S831" s="525"/>
      <c r="T831" s="525"/>
      <c r="U831" s="525"/>
      <c r="V831" s="525"/>
      <c r="W831" s="525"/>
      <c r="X831" s="525"/>
      <c r="Y831" s="525"/>
      <c r="Z831" s="525"/>
      <c r="AA831" s="525"/>
      <c r="AD831" s="638"/>
      <c r="AE831" s="643"/>
      <c r="AF831" s="641"/>
      <c r="AG831" s="528"/>
      <c r="AH831" s="643"/>
      <c r="AI831" s="572"/>
      <c r="AJ831" s="572"/>
      <c r="AL831" s="572"/>
      <c r="AM831" s="572"/>
      <c r="AO831" s="572"/>
      <c r="AP831" s="572"/>
      <c r="AQ831" s="572"/>
      <c r="AR831" s="572"/>
      <c r="AS831" s="572"/>
      <c r="AT831" s="572"/>
    </row>
    <row r="832" spans="1:46" s="2" customFormat="1">
      <c r="A832" s="589"/>
      <c r="C832" s="498"/>
      <c r="D832" s="498"/>
      <c r="E832" s="498"/>
      <c r="F832" s="498"/>
      <c r="G832" s="498"/>
      <c r="H832" s="498"/>
      <c r="I832" s="498"/>
      <c r="J832" s="498"/>
      <c r="K832" s="525"/>
      <c r="L832" s="525"/>
      <c r="M832" s="525"/>
      <c r="N832" s="525"/>
      <c r="O832" s="525"/>
      <c r="P832" s="525"/>
      <c r="Q832" s="525"/>
      <c r="R832" s="525"/>
      <c r="S832" s="525"/>
      <c r="T832" s="525"/>
      <c r="U832" s="525"/>
      <c r="V832" s="525"/>
      <c r="W832" s="525"/>
      <c r="X832" s="525"/>
      <c r="Y832" s="525"/>
      <c r="Z832" s="525"/>
      <c r="AA832" s="525"/>
      <c r="AD832" s="638"/>
      <c r="AE832" s="643"/>
      <c r="AF832" s="641"/>
      <c r="AG832" s="528"/>
      <c r="AH832" s="643"/>
      <c r="AI832" s="572"/>
      <c r="AJ832" s="572"/>
      <c r="AL832" s="572"/>
      <c r="AM832" s="572"/>
      <c r="AO832" s="572"/>
      <c r="AP832" s="572"/>
      <c r="AQ832" s="572"/>
      <c r="AR832" s="572"/>
      <c r="AS832" s="572"/>
      <c r="AT832" s="572"/>
    </row>
    <row r="833" spans="1:46" s="2" customFormat="1">
      <c r="A833" s="589"/>
      <c r="C833" s="498"/>
      <c r="D833" s="498"/>
      <c r="E833" s="498"/>
      <c r="F833" s="498"/>
      <c r="G833" s="498"/>
      <c r="H833" s="498"/>
      <c r="I833" s="498"/>
      <c r="J833" s="498"/>
      <c r="K833" s="525"/>
      <c r="L833" s="525"/>
      <c r="M833" s="525"/>
      <c r="N833" s="525"/>
      <c r="O833" s="525"/>
      <c r="P833" s="525"/>
      <c r="Q833" s="525"/>
      <c r="R833" s="525"/>
      <c r="S833" s="525"/>
      <c r="T833" s="525"/>
      <c r="U833" s="525"/>
      <c r="V833" s="525"/>
      <c r="W833" s="525"/>
      <c r="X833" s="525"/>
      <c r="Y833" s="525"/>
      <c r="Z833" s="525"/>
      <c r="AA833" s="525"/>
      <c r="AD833" s="638"/>
      <c r="AE833" s="643"/>
      <c r="AF833" s="641"/>
      <c r="AG833" s="528"/>
      <c r="AH833" s="643"/>
      <c r="AI833" s="572"/>
      <c r="AJ833" s="572"/>
      <c r="AL833" s="572"/>
      <c r="AM833" s="572"/>
      <c r="AO833" s="572"/>
      <c r="AP833" s="572"/>
      <c r="AQ833" s="572"/>
      <c r="AR833" s="572"/>
      <c r="AS833" s="572"/>
      <c r="AT833" s="572"/>
    </row>
    <row r="834" spans="1:46" s="2" customFormat="1">
      <c r="A834" s="589"/>
      <c r="C834" s="498"/>
      <c r="D834" s="498"/>
      <c r="E834" s="498"/>
      <c r="F834" s="498"/>
      <c r="G834" s="498"/>
      <c r="H834" s="498"/>
      <c r="I834" s="498"/>
      <c r="J834" s="498"/>
      <c r="K834" s="525"/>
      <c r="L834" s="525"/>
      <c r="M834" s="525"/>
      <c r="N834" s="525"/>
      <c r="O834" s="525"/>
      <c r="P834" s="525"/>
      <c r="Q834" s="525"/>
      <c r="R834" s="525"/>
      <c r="S834" s="525"/>
      <c r="T834" s="525"/>
      <c r="U834" s="525"/>
      <c r="V834" s="525"/>
      <c r="W834" s="525"/>
      <c r="X834" s="525"/>
      <c r="Y834" s="525"/>
      <c r="Z834" s="525"/>
      <c r="AA834" s="525"/>
      <c r="AD834" s="638"/>
      <c r="AE834" s="643"/>
      <c r="AF834" s="641"/>
      <c r="AG834" s="528"/>
      <c r="AH834" s="643"/>
      <c r="AI834" s="572"/>
      <c r="AJ834" s="572"/>
      <c r="AL834" s="572"/>
      <c r="AM834" s="572"/>
      <c r="AO834" s="572"/>
      <c r="AP834" s="572"/>
      <c r="AQ834" s="572"/>
      <c r="AR834" s="572"/>
      <c r="AS834" s="572"/>
      <c r="AT834" s="572"/>
    </row>
    <row r="835" spans="1:46" s="2" customFormat="1">
      <c r="A835" s="589"/>
      <c r="C835" s="498"/>
      <c r="D835" s="498"/>
      <c r="E835" s="498"/>
      <c r="F835" s="498"/>
      <c r="G835" s="498"/>
      <c r="H835" s="498"/>
      <c r="I835" s="498"/>
      <c r="J835" s="498"/>
      <c r="K835" s="525"/>
      <c r="L835" s="525"/>
      <c r="M835" s="525"/>
      <c r="N835" s="525"/>
      <c r="O835" s="525"/>
      <c r="P835" s="525"/>
      <c r="Q835" s="525"/>
      <c r="R835" s="525"/>
      <c r="S835" s="525"/>
      <c r="T835" s="525"/>
      <c r="U835" s="525"/>
      <c r="V835" s="525"/>
      <c r="W835" s="525"/>
      <c r="X835" s="525"/>
      <c r="Y835" s="525"/>
      <c r="Z835" s="525"/>
      <c r="AA835" s="525"/>
      <c r="AD835" s="638"/>
      <c r="AE835" s="643"/>
      <c r="AF835" s="641"/>
      <c r="AG835" s="528"/>
      <c r="AH835" s="643"/>
      <c r="AI835" s="572"/>
      <c r="AJ835" s="572"/>
      <c r="AL835" s="572"/>
      <c r="AM835" s="572"/>
      <c r="AO835" s="572"/>
      <c r="AP835" s="572"/>
      <c r="AQ835" s="572"/>
      <c r="AR835" s="572"/>
      <c r="AS835" s="572"/>
      <c r="AT835" s="572"/>
    </row>
    <row r="836" spans="1:46" s="2" customFormat="1">
      <c r="A836" s="589"/>
      <c r="C836" s="498"/>
      <c r="D836" s="498"/>
      <c r="E836" s="498"/>
      <c r="F836" s="498"/>
      <c r="G836" s="498"/>
      <c r="H836" s="498"/>
      <c r="I836" s="498"/>
      <c r="J836" s="498"/>
      <c r="K836" s="525"/>
      <c r="L836" s="525"/>
      <c r="M836" s="525"/>
      <c r="N836" s="525"/>
      <c r="O836" s="525"/>
      <c r="P836" s="525"/>
      <c r="Q836" s="525"/>
      <c r="R836" s="525"/>
      <c r="S836" s="525"/>
      <c r="T836" s="525"/>
      <c r="U836" s="525"/>
      <c r="V836" s="525"/>
      <c r="W836" s="525"/>
      <c r="X836" s="525"/>
      <c r="Y836" s="525"/>
      <c r="Z836" s="525"/>
      <c r="AA836" s="525"/>
      <c r="AD836" s="638"/>
      <c r="AE836" s="643"/>
      <c r="AF836" s="641"/>
      <c r="AG836" s="528"/>
      <c r="AH836" s="643"/>
      <c r="AI836" s="572"/>
      <c r="AJ836" s="572"/>
      <c r="AL836" s="572"/>
      <c r="AM836" s="572"/>
      <c r="AO836" s="572"/>
      <c r="AP836" s="572"/>
      <c r="AQ836" s="572"/>
      <c r="AR836" s="572"/>
      <c r="AS836" s="572"/>
      <c r="AT836" s="572"/>
    </row>
    <row r="837" spans="1:46" s="2" customFormat="1">
      <c r="A837" s="589"/>
      <c r="C837" s="498"/>
      <c r="D837" s="498"/>
      <c r="E837" s="498"/>
      <c r="F837" s="498"/>
      <c r="G837" s="498"/>
      <c r="H837" s="498"/>
      <c r="I837" s="498"/>
      <c r="J837" s="498"/>
      <c r="K837" s="525"/>
      <c r="L837" s="525"/>
      <c r="M837" s="525"/>
      <c r="N837" s="525"/>
      <c r="O837" s="525"/>
      <c r="P837" s="525"/>
      <c r="Q837" s="525"/>
      <c r="R837" s="525"/>
      <c r="S837" s="525"/>
      <c r="T837" s="525"/>
      <c r="U837" s="525"/>
      <c r="V837" s="525"/>
      <c r="W837" s="525"/>
      <c r="X837" s="525"/>
      <c r="Y837" s="525"/>
      <c r="Z837" s="525"/>
      <c r="AA837" s="525"/>
      <c r="AD837" s="638"/>
      <c r="AE837" s="643"/>
      <c r="AF837" s="641"/>
      <c r="AG837" s="528"/>
      <c r="AH837" s="643"/>
      <c r="AI837" s="572"/>
      <c r="AJ837" s="572"/>
      <c r="AL837" s="572"/>
      <c r="AM837" s="572"/>
      <c r="AO837" s="572"/>
      <c r="AP837" s="572"/>
      <c r="AQ837" s="572"/>
      <c r="AR837" s="572"/>
      <c r="AS837" s="572"/>
      <c r="AT837" s="572"/>
    </row>
    <row r="838" spans="1:46" s="2" customFormat="1">
      <c r="A838" s="556"/>
      <c r="C838" s="498"/>
      <c r="D838" s="498"/>
      <c r="E838" s="498"/>
      <c r="F838" s="498"/>
      <c r="G838" s="498"/>
      <c r="H838" s="498"/>
      <c r="I838" s="498"/>
      <c r="J838" s="498"/>
      <c r="K838" s="525"/>
      <c r="L838" s="525"/>
      <c r="M838" s="525"/>
      <c r="N838" s="525"/>
      <c r="O838" s="525"/>
      <c r="P838" s="525"/>
      <c r="Q838" s="525"/>
      <c r="R838" s="525"/>
      <c r="S838" s="525"/>
      <c r="T838" s="525"/>
      <c r="U838" s="525"/>
      <c r="V838" s="525"/>
      <c r="W838" s="525"/>
      <c r="X838" s="525"/>
      <c r="Y838" s="525"/>
      <c r="Z838" s="525"/>
      <c r="AA838" s="525"/>
      <c r="AD838" s="551"/>
      <c r="AG838" s="528"/>
      <c r="AI838" s="572"/>
      <c r="AJ838" s="572"/>
      <c r="AL838" s="572"/>
      <c r="AM838" s="572"/>
      <c r="AO838" s="572"/>
      <c r="AP838" s="572"/>
      <c r="AQ838" s="572"/>
      <c r="AR838" s="572"/>
      <c r="AS838" s="572"/>
      <c r="AT838" s="572"/>
    </row>
    <row r="839" spans="1:46" s="2" customFormat="1">
      <c r="A839" s="556"/>
      <c r="C839" s="498"/>
      <c r="D839" s="498"/>
      <c r="E839" s="498"/>
      <c r="F839" s="498"/>
      <c r="G839" s="498"/>
      <c r="H839" s="498"/>
      <c r="I839" s="498"/>
      <c r="J839" s="498"/>
      <c r="K839" s="525"/>
      <c r="L839" s="525"/>
      <c r="M839" s="525"/>
      <c r="N839" s="525"/>
      <c r="O839" s="525"/>
      <c r="P839" s="525"/>
      <c r="Q839" s="525"/>
      <c r="R839" s="525"/>
      <c r="S839" s="525"/>
      <c r="T839" s="525"/>
      <c r="U839" s="525"/>
      <c r="V839" s="525"/>
      <c r="W839" s="525"/>
      <c r="X839" s="525"/>
      <c r="Y839" s="525"/>
      <c r="Z839" s="525"/>
      <c r="AA839" s="525"/>
      <c r="AB839" s="528"/>
      <c r="AD839" s="638"/>
      <c r="AE839" s="525"/>
      <c r="AF839" s="642"/>
      <c r="AG839" s="528"/>
      <c r="AH839" s="525"/>
      <c r="AI839" s="572"/>
      <c r="AJ839" s="572"/>
      <c r="AL839" s="572"/>
      <c r="AM839" s="572"/>
      <c r="AO839" s="572"/>
      <c r="AP839" s="572"/>
      <c r="AQ839" s="572"/>
      <c r="AR839" s="572"/>
      <c r="AS839" s="572"/>
      <c r="AT839" s="572"/>
    </row>
    <row r="840" spans="1:46" s="2" customFormat="1">
      <c r="A840" s="589"/>
      <c r="C840" s="498"/>
      <c r="D840" s="498"/>
      <c r="E840" s="498"/>
      <c r="F840" s="498"/>
      <c r="G840" s="498"/>
      <c r="H840" s="498"/>
      <c r="I840" s="498"/>
      <c r="J840" s="498"/>
      <c r="K840" s="525"/>
      <c r="L840" s="525"/>
      <c r="M840" s="525"/>
      <c r="N840" s="525"/>
      <c r="O840" s="525"/>
      <c r="P840" s="525"/>
      <c r="Q840" s="525"/>
      <c r="R840" s="525"/>
      <c r="S840" s="525"/>
      <c r="T840" s="525"/>
      <c r="U840" s="525"/>
      <c r="V840" s="525"/>
      <c r="W840" s="525"/>
      <c r="X840" s="525"/>
      <c r="Y840" s="525"/>
      <c r="Z840" s="525"/>
      <c r="AA840" s="525"/>
      <c r="AD840" s="638"/>
      <c r="AE840" s="643"/>
      <c r="AF840" s="641"/>
      <c r="AG840" s="528"/>
      <c r="AH840" s="643"/>
      <c r="AI840" s="572"/>
      <c r="AJ840" s="572"/>
      <c r="AL840" s="572"/>
      <c r="AM840" s="572"/>
      <c r="AO840" s="572"/>
      <c r="AP840" s="572"/>
      <c r="AQ840" s="572"/>
      <c r="AR840" s="572"/>
      <c r="AS840" s="572"/>
      <c r="AT840" s="572"/>
    </row>
    <row r="841" spans="1:46" s="2" customFormat="1">
      <c r="A841" s="589"/>
      <c r="C841" s="498"/>
      <c r="D841" s="498"/>
      <c r="E841" s="498"/>
      <c r="F841" s="498"/>
      <c r="G841" s="498"/>
      <c r="H841" s="498"/>
      <c r="I841" s="498"/>
      <c r="J841" s="498"/>
      <c r="K841" s="525"/>
      <c r="L841" s="525"/>
      <c r="M841" s="525"/>
      <c r="N841" s="525"/>
      <c r="O841" s="525"/>
      <c r="P841" s="525"/>
      <c r="Q841" s="525"/>
      <c r="R841" s="525"/>
      <c r="S841" s="525"/>
      <c r="T841" s="525"/>
      <c r="U841" s="525"/>
      <c r="V841" s="525"/>
      <c r="W841" s="525"/>
      <c r="X841" s="525"/>
      <c r="Y841" s="525"/>
      <c r="Z841" s="525"/>
      <c r="AA841" s="525"/>
      <c r="AD841" s="638"/>
      <c r="AE841" s="643"/>
      <c r="AF841" s="641"/>
      <c r="AG841" s="528"/>
      <c r="AH841" s="643"/>
      <c r="AI841" s="572"/>
      <c r="AJ841" s="572"/>
      <c r="AL841" s="572"/>
      <c r="AM841" s="572"/>
      <c r="AO841" s="572"/>
      <c r="AP841" s="572"/>
      <c r="AQ841" s="572"/>
      <c r="AR841" s="572"/>
      <c r="AS841" s="572"/>
      <c r="AT841" s="572"/>
    </row>
    <row r="842" spans="1:46" s="2" customFormat="1">
      <c r="A842" s="589"/>
      <c r="C842" s="498"/>
      <c r="D842" s="498"/>
      <c r="E842" s="498"/>
      <c r="F842" s="498"/>
      <c r="G842" s="498"/>
      <c r="H842" s="498"/>
      <c r="I842" s="498"/>
      <c r="J842" s="498"/>
      <c r="K842" s="525"/>
      <c r="L842" s="525"/>
      <c r="M842" s="525"/>
      <c r="N842" s="525"/>
      <c r="O842" s="525"/>
      <c r="P842" s="525"/>
      <c r="Q842" s="525"/>
      <c r="R842" s="525"/>
      <c r="S842" s="525"/>
      <c r="T842" s="525"/>
      <c r="U842" s="525"/>
      <c r="V842" s="525"/>
      <c r="W842" s="525"/>
      <c r="X842" s="525"/>
      <c r="Y842" s="525"/>
      <c r="Z842" s="525"/>
      <c r="AA842" s="525"/>
      <c r="AC842" s="613"/>
      <c r="AD842" s="638"/>
      <c r="AE842" s="643"/>
      <c r="AF842" s="641"/>
      <c r="AG842" s="528"/>
      <c r="AH842" s="643"/>
      <c r="AI842" s="572"/>
      <c r="AJ842" s="572"/>
      <c r="AL842" s="572"/>
      <c r="AM842" s="572"/>
      <c r="AO842" s="572"/>
      <c r="AP842" s="572"/>
      <c r="AQ842" s="572"/>
      <c r="AR842" s="572"/>
      <c r="AS842" s="572"/>
      <c r="AT842" s="572"/>
    </row>
    <row r="843" spans="1:46" s="2" customFormat="1">
      <c r="A843" s="589"/>
      <c r="C843" s="498"/>
      <c r="D843" s="498"/>
      <c r="E843" s="498"/>
      <c r="F843" s="498"/>
      <c r="G843" s="498"/>
      <c r="H843" s="498"/>
      <c r="I843" s="498"/>
      <c r="J843" s="498"/>
      <c r="K843" s="525"/>
      <c r="L843" s="525"/>
      <c r="M843" s="525"/>
      <c r="N843" s="525"/>
      <c r="O843" s="525"/>
      <c r="P843" s="525"/>
      <c r="Q843" s="525"/>
      <c r="R843" s="525"/>
      <c r="S843" s="525"/>
      <c r="T843" s="525"/>
      <c r="U843" s="525"/>
      <c r="V843" s="525"/>
      <c r="W843" s="525"/>
      <c r="X843" s="525"/>
      <c r="Y843" s="525"/>
      <c r="Z843" s="525"/>
      <c r="AA843" s="525"/>
      <c r="AC843" s="613"/>
      <c r="AD843" s="638"/>
      <c r="AE843" s="643"/>
      <c r="AF843" s="641"/>
      <c r="AG843" s="528"/>
      <c r="AH843" s="643"/>
      <c r="AI843" s="572"/>
      <c r="AJ843" s="572"/>
      <c r="AL843" s="572"/>
      <c r="AM843" s="572"/>
      <c r="AO843" s="572"/>
      <c r="AP843" s="572"/>
      <c r="AQ843" s="572"/>
      <c r="AR843" s="572"/>
      <c r="AS843" s="572"/>
      <c r="AT843" s="572"/>
    </row>
    <row r="844" spans="1:46" s="2" customFormat="1">
      <c r="A844" s="589"/>
      <c r="C844" s="498"/>
      <c r="D844" s="498"/>
      <c r="E844" s="498"/>
      <c r="F844" s="498"/>
      <c r="G844" s="498"/>
      <c r="H844" s="498"/>
      <c r="I844" s="498"/>
      <c r="J844" s="498"/>
      <c r="K844" s="525"/>
      <c r="L844" s="525"/>
      <c r="M844" s="525"/>
      <c r="N844" s="525"/>
      <c r="O844" s="525"/>
      <c r="P844" s="525"/>
      <c r="Q844" s="525"/>
      <c r="R844" s="525"/>
      <c r="S844" s="525"/>
      <c r="T844" s="525"/>
      <c r="U844" s="525"/>
      <c r="V844" s="525"/>
      <c r="W844" s="525"/>
      <c r="X844" s="525"/>
      <c r="Y844" s="525"/>
      <c r="Z844" s="525"/>
      <c r="AA844" s="525"/>
      <c r="AC844" s="613"/>
      <c r="AD844" s="638"/>
      <c r="AE844" s="643"/>
      <c r="AF844" s="641"/>
      <c r="AG844" s="528"/>
      <c r="AH844" s="643"/>
      <c r="AI844" s="572"/>
      <c r="AJ844" s="572"/>
      <c r="AL844" s="572"/>
      <c r="AM844" s="572"/>
      <c r="AO844" s="572"/>
      <c r="AP844" s="572"/>
      <c r="AQ844" s="572"/>
      <c r="AR844" s="572"/>
      <c r="AS844" s="572"/>
      <c r="AT844" s="572"/>
    </row>
    <row r="845" spans="1:46" s="2" customFormat="1">
      <c r="A845" s="589"/>
      <c r="C845" s="498"/>
      <c r="D845" s="498"/>
      <c r="E845" s="498"/>
      <c r="F845" s="498"/>
      <c r="G845" s="498"/>
      <c r="H845" s="498"/>
      <c r="I845" s="498"/>
      <c r="J845" s="498"/>
      <c r="K845" s="525"/>
      <c r="L845" s="525"/>
      <c r="M845" s="525"/>
      <c r="N845" s="525"/>
      <c r="O845" s="525"/>
      <c r="P845" s="525"/>
      <c r="Q845" s="525"/>
      <c r="R845" s="525"/>
      <c r="S845" s="525"/>
      <c r="T845" s="525"/>
      <c r="U845" s="525"/>
      <c r="V845" s="525"/>
      <c r="W845" s="525"/>
      <c r="X845" s="525"/>
      <c r="Y845" s="525"/>
      <c r="Z845" s="525"/>
      <c r="AA845" s="525"/>
      <c r="AC845" s="613"/>
      <c r="AD845" s="638"/>
      <c r="AE845" s="643"/>
      <c r="AF845" s="641"/>
      <c r="AG845" s="528"/>
      <c r="AH845" s="643"/>
      <c r="AI845" s="572"/>
      <c r="AJ845" s="572"/>
      <c r="AL845" s="572"/>
      <c r="AM845" s="572"/>
      <c r="AO845" s="572"/>
      <c r="AP845" s="572"/>
      <c r="AQ845" s="572"/>
      <c r="AR845" s="572"/>
      <c r="AS845" s="572"/>
      <c r="AT845" s="572"/>
    </row>
    <row r="846" spans="1:46" s="2" customFormat="1">
      <c r="A846" s="589"/>
      <c r="C846" s="498"/>
      <c r="D846" s="498"/>
      <c r="E846" s="498"/>
      <c r="F846" s="498"/>
      <c r="G846" s="498"/>
      <c r="H846" s="498"/>
      <c r="I846" s="498"/>
      <c r="J846" s="498"/>
      <c r="K846" s="525"/>
      <c r="L846" s="525"/>
      <c r="M846" s="525"/>
      <c r="N846" s="525"/>
      <c r="O846" s="525"/>
      <c r="P846" s="525"/>
      <c r="Q846" s="525"/>
      <c r="R846" s="525"/>
      <c r="S846" s="525"/>
      <c r="T846" s="525"/>
      <c r="U846" s="525"/>
      <c r="V846" s="525"/>
      <c r="W846" s="525"/>
      <c r="X846" s="525"/>
      <c r="Y846" s="525"/>
      <c r="Z846" s="525"/>
      <c r="AA846" s="525"/>
      <c r="AC846" s="613"/>
      <c r="AD846" s="638"/>
      <c r="AE846" s="643"/>
      <c r="AF846" s="641"/>
      <c r="AG846" s="528"/>
      <c r="AH846" s="643"/>
      <c r="AI846" s="572"/>
      <c r="AJ846" s="572"/>
      <c r="AL846" s="572"/>
      <c r="AM846" s="572"/>
      <c r="AO846" s="572"/>
      <c r="AP846" s="572"/>
      <c r="AQ846" s="572"/>
      <c r="AR846" s="572"/>
      <c r="AS846" s="572"/>
      <c r="AT846" s="572"/>
    </row>
    <row r="847" spans="1:46" s="2" customFormat="1">
      <c r="A847" s="589"/>
      <c r="C847" s="498"/>
      <c r="D847" s="498"/>
      <c r="E847" s="498"/>
      <c r="F847" s="498"/>
      <c r="G847" s="498"/>
      <c r="H847" s="498"/>
      <c r="I847" s="498"/>
      <c r="J847" s="498"/>
      <c r="K847" s="525"/>
      <c r="L847" s="525"/>
      <c r="M847" s="525"/>
      <c r="N847" s="525"/>
      <c r="O847" s="525"/>
      <c r="P847" s="525"/>
      <c r="Q847" s="525"/>
      <c r="R847" s="525"/>
      <c r="S847" s="525"/>
      <c r="T847" s="525"/>
      <c r="U847" s="525"/>
      <c r="V847" s="525"/>
      <c r="W847" s="525"/>
      <c r="X847" s="525"/>
      <c r="Y847" s="525"/>
      <c r="Z847" s="525"/>
      <c r="AA847" s="525"/>
      <c r="AC847" s="613"/>
      <c r="AD847" s="638"/>
      <c r="AE847" s="643"/>
      <c r="AF847" s="641"/>
      <c r="AG847" s="528"/>
      <c r="AH847" s="525"/>
      <c r="AI847" s="572"/>
      <c r="AJ847" s="572"/>
      <c r="AL847" s="572"/>
      <c r="AO847" s="572"/>
      <c r="AP847" s="572"/>
      <c r="AQ847" s="572"/>
      <c r="AR847" s="572"/>
      <c r="AS847" s="572"/>
      <c r="AT847" s="572"/>
    </row>
    <row r="848" spans="1:46" s="2" customFormat="1" ht="33" customHeight="1">
      <c r="A848" s="644"/>
      <c r="B848" s="570"/>
      <c r="C848" s="570"/>
      <c r="D848" s="570"/>
      <c r="E848" s="570"/>
      <c r="F848" s="570"/>
      <c r="G848" s="570"/>
      <c r="H848" s="570"/>
      <c r="I848" s="570"/>
      <c r="J848" s="570"/>
      <c r="K848" s="570"/>
      <c r="L848" s="570"/>
      <c r="M848" s="570"/>
      <c r="N848" s="570"/>
      <c r="O848" s="570"/>
      <c r="P848" s="570"/>
      <c r="Q848" s="570"/>
      <c r="R848" s="570"/>
      <c r="S848" s="570"/>
      <c r="T848" s="570"/>
      <c r="U848" s="570"/>
      <c r="V848" s="570"/>
      <c r="W848" s="570"/>
      <c r="X848" s="570"/>
      <c r="Y848" s="570"/>
      <c r="Z848" s="570"/>
      <c r="AA848" s="570"/>
      <c r="AB848" s="570"/>
      <c r="AC848" s="570"/>
      <c r="AD848" s="570"/>
      <c r="AE848" s="645"/>
      <c r="AF848" s="645"/>
      <c r="AG848" s="645"/>
      <c r="AH848" s="645"/>
      <c r="AI848" s="645"/>
      <c r="AJ848" s="645"/>
      <c r="AK848" s="645"/>
      <c r="AL848" s="645"/>
    </row>
    <row r="849" spans="1:38" s="2" customFormat="1">
      <c r="A849" s="597"/>
      <c r="B849" s="497"/>
      <c r="C849" s="498"/>
      <c r="D849" s="498"/>
      <c r="E849" s="498"/>
      <c r="F849" s="498"/>
      <c r="G849" s="498"/>
      <c r="H849" s="498"/>
      <c r="I849" s="498"/>
      <c r="J849" s="498"/>
      <c r="K849" s="498"/>
      <c r="L849" s="498"/>
      <c r="M849" s="498"/>
      <c r="N849" s="498"/>
      <c r="O849" s="498"/>
      <c r="P849" s="498"/>
      <c r="Q849" s="498"/>
      <c r="R849" s="498"/>
      <c r="S849" s="498"/>
      <c r="T849" s="498"/>
      <c r="U849" s="498"/>
      <c r="V849" s="498"/>
      <c r="W849" s="498"/>
      <c r="X849" s="498"/>
      <c r="Y849" s="498"/>
      <c r="Z849" s="498"/>
      <c r="AA849" s="498"/>
      <c r="AB849" s="507"/>
      <c r="AD849" s="551"/>
    </row>
    <row r="850" spans="1:38" s="2" customFormat="1">
      <c r="A850" s="646"/>
      <c r="B850" s="497"/>
      <c r="C850" s="498"/>
      <c r="D850" s="498"/>
      <c r="E850" s="498"/>
      <c r="F850" s="498"/>
      <c r="G850" s="498"/>
      <c r="H850" s="498"/>
      <c r="I850" s="498"/>
      <c r="J850" s="498"/>
      <c r="K850" s="498"/>
      <c r="L850" s="498"/>
      <c r="M850" s="498"/>
      <c r="N850" s="498"/>
      <c r="O850" s="498"/>
      <c r="P850" s="498"/>
      <c r="Q850" s="498"/>
      <c r="R850" s="498"/>
      <c r="S850" s="498"/>
      <c r="T850" s="498"/>
      <c r="U850" s="498"/>
      <c r="V850" s="498"/>
      <c r="W850" s="498"/>
      <c r="X850" s="498"/>
      <c r="Y850" s="498"/>
      <c r="Z850" s="498"/>
      <c r="AA850" s="498"/>
      <c r="AD850" s="551"/>
      <c r="AF850" s="507"/>
      <c r="AJ850" s="507"/>
      <c r="AK850" s="507"/>
    </row>
    <row r="851" spans="1:38" s="2" customFormat="1">
      <c r="A851" s="646"/>
      <c r="B851" s="497"/>
      <c r="C851" s="498"/>
      <c r="D851" s="498"/>
      <c r="E851" s="498"/>
      <c r="F851" s="498"/>
      <c r="G851" s="498"/>
      <c r="H851" s="498"/>
      <c r="I851" s="498"/>
      <c r="J851" s="498"/>
      <c r="K851" s="498"/>
      <c r="L851" s="498"/>
      <c r="M851" s="498"/>
      <c r="N851" s="498"/>
      <c r="O851" s="498"/>
      <c r="P851" s="498"/>
      <c r="Q851" s="498"/>
      <c r="R851" s="498"/>
      <c r="S851" s="498"/>
      <c r="T851" s="498"/>
      <c r="U851" s="498"/>
      <c r="V851" s="498"/>
      <c r="W851" s="498"/>
      <c r="X851" s="498"/>
      <c r="Y851" s="498"/>
      <c r="Z851" s="498"/>
      <c r="AA851" s="498"/>
      <c r="AD851" s="551"/>
      <c r="AE851" s="507"/>
      <c r="AF851" s="507"/>
      <c r="AI851" s="507"/>
      <c r="AJ851" s="507"/>
      <c r="AK851" s="507"/>
    </row>
    <row r="852" spans="1:38" s="2" customFormat="1">
      <c r="A852" s="646"/>
      <c r="B852" s="497"/>
      <c r="C852" s="498"/>
      <c r="D852" s="498"/>
      <c r="E852" s="498"/>
      <c r="F852" s="498"/>
      <c r="G852" s="498"/>
      <c r="H852" s="498"/>
      <c r="I852" s="498"/>
      <c r="J852" s="498"/>
      <c r="K852" s="498"/>
      <c r="L852" s="498"/>
      <c r="M852" s="498"/>
      <c r="N852" s="498"/>
      <c r="O852" s="498"/>
      <c r="P852" s="498"/>
      <c r="Q852" s="498"/>
      <c r="R852" s="498"/>
      <c r="S852" s="498"/>
      <c r="T852" s="498"/>
      <c r="U852" s="498"/>
      <c r="V852" s="498"/>
      <c r="W852" s="498"/>
      <c r="X852" s="498"/>
      <c r="Y852" s="498"/>
      <c r="Z852" s="498"/>
      <c r="AA852" s="498"/>
      <c r="AD852" s="551"/>
    </row>
    <row r="853" spans="1:38" s="2" customFormat="1">
      <c r="A853" s="597"/>
      <c r="B853" s="497"/>
      <c r="C853" s="498"/>
      <c r="D853" s="498"/>
      <c r="E853" s="498"/>
      <c r="F853" s="498"/>
      <c r="G853" s="498"/>
      <c r="H853" s="498"/>
      <c r="I853" s="498"/>
      <c r="J853" s="498"/>
      <c r="K853" s="498"/>
      <c r="L853" s="498"/>
      <c r="M853" s="498"/>
      <c r="N853" s="498"/>
      <c r="O853" s="498"/>
      <c r="P853" s="498"/>
      <c r="Q853" s="498"/>
      <c r="R853" s="498"/>
      <c r="S853" s="498"/>
      <c r="T853" s="498"/>
      <c r="U853" s="498"/>
      <c r="V853" s="498"/>
      <c r="W853" s="498"/>
      <c r="X853" s="498"/>
      <c r="Y853" s="498"/>
      <c r="Z853" s="498"/>
      <c r="AA853" s="498"/>
      <c r="AD853" s="551"/>
      <c r="AF853" s="521"/>
      <c r="AJ853" s="507"/>
      <c r="AK853" s="507"/>
    </row>
    <row r="854" spans="1:38" s="2" customFormat="1">
      <c r="A854" s="597"/>
      <c r="B854" s="497"/>
      <c r="C854" s="498"/>
      <c r="D854" s="498"/>
      <c r="E854" s="498"/>
      <c r="F854" s="498"/>
      <c r="G854" s="498"/>
      <c r="H854" s="498"/>
      <c r="I854" s="498"/>
      <c r="J854" s="498"/>
      <c r="K854" s="498"/>
      <c r="L854" s="498"/>
      <c r="M854" s="498"/>
      <c r="N854" s="498"/>
      <c r="O854" s="498"/>
      <c r="P854" s="498"/>
      <c r="Q854" s="498"/>
      <c r="R854" s="498"/>
      <c r="S854" s="498"/>
      <c r="T854" s="498"/>
      <c r="U854" s="498"/>
      <c r="V854" s="498"/>
      <c r="W854" s="498"/>
      <c r="X854" s="498"/>
      <c r="Y854" s="498"/>
      <c r="Z854" s="498"/>
      <c r="AA854" s="498"/>
      <c r="AC854" s="507"/>
      <c r="AD854" s="551"/>
      <c r="AF854" s="521"/>
      <c r="AI854" s="507"/>
      <c r="AJ854" s="507"/>
      <c r="AK854" s="521"/>
    </row>
    <row r="855" spans="1:38" s="2" customFormat="1">
      <c r="A855" s="597"/>
      <c r="B855" s="497"/>
      <c r="C855" s="498"/>
      <c r="D855" s="498"/>
      <c r="E855" s="498"/>
      <c r="F855" s="498"/>
      <c r="G855" s="498"/>
      <c r="H855" s="498"/>
      <c r="I855" s="498"/>
      <c r="J855" s="498"/>
      <c r="K855" s="498"/>
      <c r="L855" s="498"/>
      <c r="M855" s="498"/>
      <c r="N855" s="498"/>
      <c r="O855" s="498"/>
      <c r="P855" s="498"/>
      <c r="Q855" s="498"/>
      <c r="R855" s="498"/>
      <c r="S855" s="498"/>
      <c r="T855" s="498"/>
      <c r="U855" s="498"/>
      <c r="V855" s="498"/>
      <c r="W855" s="498"/>
      <c r="X855" s="498"/>
      <c r="Y855" s="498"/>
      <c r="Z855" s="498"/>
      <c r="AA855" s="498"/>
      <c r="AC855" s="507"/>
      <c r="AD855" s="551"/>
      <c r="AF855" s="514"/>
      <c r="AJ855" s="507"/>
      <c r="AK855" s="507"/>
      <c r="AL855" s="507"/>
    </row>
    <row r="856" spans="1:38" s="2" customFormat="1">
      <c r="A856" s="597"/>
      <c r="B856" s="497"/>
      <c r="C856" s="498"/>
      <c r="D856" s="498"/>
      <c r="E856" s="498"/>
      <c r="F856" s="498"/>
      <c r="G856" s="498"/>
      <c r="H856" s="498"/>
      <c r="I856" s="498"/>
      <c r="J856" s="498"/>
      <c r="K856" s="498"/>
      <c r="L856" s="498"/>
      <c r="M856" s="498"/>
      <c r="N856" s="498"/>
      <c r="O856" s="498"/>
      <c r="P856" s="498"/>
      <c r="Q856" s="498"/>
      <c r="R856" s="498"/>
      <c r="S856" s="498"/>
      <c r="T856" s="498"/>
      <c r="U856" s="498"/>
      <c r="V856" s="498"/>
      <c r="W856" s="498"/>
      <c r="X856" s="498"/>
      <c r="Y856" s="498"/>
      <c r="Z856" s="498"/>
      <c r="AA856" s="498"/>
      <c r="AB856" s="498"/>
      <c r="AC856" s="498"/>
      <c r="AD856" s="542"/>
      <c r="AE856" s="542"/>
      <c r="AF856" s="542"/>
      <c r="AG856" s="542"/>
      <c r="AH856" s="521"/>
      <c r="AI856" s="521"/>
      <c r="AJ856" s="521"/>
      <c r="AK856" s="521"/>
      <c r="AL856" s="542"/>
    </row>
    <row r="857" spans="1:38" s="2" customFormat="1">
      <c r="A857" s="597"/>
      <c r="B857" s="497"/>
      <c r="C857" s="498"/>
      <c r="D857" s="498"/>
      <c r="E857" s="498"/>
      <c r="F857" s="498"/>
      <c r="G857" s="498"/>
      <c r="H857" s="498"/>
      <c r="I857" s="498"/>
      <c r="J857" s="498"/>
      <c r="K857" s="498"/>
      <c r="L857" s="498"/>
      <c r="M857" s="498"/>
      <c r="N857" s="498"/>
      <c r="O857" s="498"/>
      <c r="P857" s="498"/>
      <c r="Q857" s="498"/>
      <c r="R857" s="498"/>
      <c r="S857" s="498"/>
      <c r="T857" s="498"/>
      <c r="U857" s="498"/>
      <c r="V857" s="498"/>
      <c r="W857" s="498"/>
      <c r="X857" s="498"/>
      <c r="Y857" s="498"/>
      <c r="Z857" s="498"/>
      <c r="AA857" s="498"/>
      <c r="AB857" s="498"/>
      <c r="AC857" s="498"/>
      <c r="AD857" s="542"/>
      <c r="AE857" s="542"/>
      <c r="AF857" s="542"/>
      <c r="AG857" s="542"/>
      <c r="AH857" s="521"/>
      <c r="AI857" s="514"/>
      <c r="AJ857" s="521"/>
      <c r="AK857" s="521"/>
      <c r="AL857" s="542"/>
    </row>
    <row r="858" spans="1:38" s="2" customFormat="1">
      <c r="A858" s="597"/>
      <c r="B858" s="497"/>
      <c r="C858" s="498"/>
      <c r="D858" s="498"/>
      <c r="E858" s="498"/>
      <c r="F858" s="498"/>
      <c r="G858" s="498"/>
      <c r="H858" s="498"/>
      <c r="I858" s="498"/>
      <c r="J858" s="498"/>
      <c r="K858" s="498"/>
      <c r="L858" s="498"/>
      <c r="M858" s="498"/>
      <c r="N858" s="498"/>
      <c r="O858" s="498"/>
      <c r="P858" s="498"/>
      <c r="Q858" s="498"/>
      <c r="R858" s="498"/>
      <c r="S858" s="498"/>
      <c r="T858" s="498"/>
      <c r="U858" s="498"/>
      <c r="V858" s="498"/>
      <c r="W858" s="498"/>
      <c r="X858" s="498"/>
      <c r="Y858" s="498"/>
      <c r="Z858" s="498"/>
      <c r="AA858" s="498"/>
      <c r="AB858" s="498"/>
      <c r="AC858" s="498"/>
      <c r="AD858" s="542"/>
      <c r="AE858" s="542"/>
      <c r="AF858" s="542"/>
      <c r="AG858" s="542"/>
      <c r="AH858" s="521"/>
      <c r="AI858" s="521"/>
      <c r="AJ858" s="521"/>
      <c r="AK858" s="521"/>
      <c r="AL858" s="542"/>
    </row>
    <row r="859" spans="1:38" s="2" customFormat="1">
      <c r="A859" s="597"/>
      <c r="B859" s="497"/>
      <c r="C859" s="498"/>
      <c r="D859" s="498"/>
      <c r="E859" s="498"/>
      <c r="F859" s="498"/>
      <c r="G859" s="498"/>
      <c r="H859" s="498"/>
      <c r="I859" s="498"/>
      <c r="J859" s="498"/>
      <c r="K859" s="498"/>
      <c r="L859" s="498"/>
      <c r="M859" s="498"/>
      <c r="N859" s="498"/>
      <c r="O859" s="498"/>
      <c r="P859" s="498"/>
      <c r="Q859" s="498"/>
      <c r="R859" s="498"/>
      <c r="S859" s="498"/>
      <c r="T859" s="498"/>
      <c r="U859" s="498"/>
      <c r="V859" s="498"/>
      <c r="W859" s="498"/>
      <c r="X859" s="498"/>
      <c r="Y859" s="498"/>
      <c r="Z859" s="498"/>
      <c r="AA859" s="498"/>
      <c r="AD859" s="551"/>
      <c r="AE859" s="507"/>
      <c r="AF859" s="507"/>
      <c r="AI859" s="521"/>
      <c r="AJ859" s="507"/>
      <c r="AK859" s="507"/>
    </row>
    <row r="860" spans="1:38" s="2" customFormat="1">
      <c r="A860" s="597"/>
      <c r="B860" s="497"/>
      <c r="C860" s="498"/>
      <c r="D860" s="498"/>
      <c r="E860" s="498"/>
      <c r="F860" s="498"/>
      <c r="G860" s="498"/>
      <c r="H860" s="498"/>
      <c r="I860" s="498"/>
      <c r="J860" s="498"/>
      <c r="K860" s="498"/>
      <c r="L860" s="498"/>
      <c r="M860" s="498"/>
      <c r="N860" s="498"/>
      <c r="O860" s="498"/>
      <c r="P860" s="498"/>
      <c r="Q860" s="498"/>
      <c r="R860" s="498"/>
      <c r="S860" s="498"/>
      <c r="T860" s="498"/>
      <c r="U860" s="498"/>
      <c r="V860" s="498"/>
      <c r="W860" s="498"/>
      <c r="X860" s="498"/>
      <c r="Y860" s="498"/>
      <c r="Z860" s="498"/>
      <c r="AA860" s="498"/>
      <c r="AD860" s="551"/>
      <c r="AF860" s="507"/>
      <c r="AH860" s="507"/>
      <c r="AI860" s="514"/>
    </row>
    <row r="861" spans="1:38" s="2" customFormat="1">
      <c r="A861" s="597"/>
      <c r="B861" s="497"/>
      <c r="C861" s="498"/>
      <c r="D861" s="498"/>
      <c r="E861" s="498"/>
      <c r="F861" s="498"/>
      <c r="G861" s="498"/>
      <c r="H861" s="498"/>
      <c r="I861" s="498"/>
      <c r="J861" s="498"/>
      <c r="K861" s="498"/>
      <c r="L861" s="498"/>
      <c r="M861" s="498"/>
      <c r="N861" s="498"/>
      <c r="O861" s="498"/>
      <c r="P861" s="498"/>
      <c r="Q861" s="498"/>
      <c r="R861" s="498"/>
      <c r="S861" s="498"/>
      <c r="T861" s="498"/>
      <c r="U861" s="498"/>
      <c r="V861" s="498"/>
      <c r="W861" s="498"/>
      <c r="X861" s="498"/>
      <c r="Y861" s="498"/>
      <c r="Z861" s="498"/>
      <c r="AA861" s="498"/>
      <c r="AD861" s="551"/>
      <c r="AF861" s="507"/>
      <c r="AI861" s="521"/>
      <c r="AJ861" s="507"/>
      <c r="AK861" s="507"/>
    </row>
    <row r="862" spans="1:38" s="2" customFormat="1">
      <c r="A862" s="597"/>
      <c r="B862" s="497"/>
      <c r="C862" s="498"/>
      <c r="D862" s="498"/>
      <c r="E862" s="498"/>
      <c r="F862" s="498"/>
      <c r="G862" s="498"/>
      <c r="H862" s="498"/>
      <c r="I862" s="498"/>
      <c r="J862" s="498"/>
      <c r="K862" s="498"/>
      <c r="L862" s="498"/>
      <c r="M862" s="498"/>
      <c r="N862" s="498"/>
      <c r="O862" s="498"/>
      <c r="P862" s="498"/>
      <c r="Q862" s="498"/>
      <c r="R862" s="498"/>
      <c r="S862" s="498"/>
      <c r="T862" s="498"/>
      <c r="U862" s="498"/>
      <c r="V862" s="498"/>
      <c r="W862" s="498"/>
      <c r="X862" s="498"/>
      <c r="Y862" s="498"/>
      <c r="Z862" s="498"/>
      <c r="AA862" s="498"/>
      <c r="AD862" s="551"/>
      <c r="AF862" s="514"/>
      <c r="AI862" s="521"/>
      <c r="AJ862" s="507"/>
      <c r="AK862" s="507"/>
    </row>
    <row r="863" spans="1:38" s="2" customFormat="1">
      <c r="A863" s="597"/>
      <c r="B863" s="497"/>
      <c r="C863" s="498"/>
      <c r="D863" s="498"/>
      <c r="E863" s="498"/>
      <c r="F863" s="498"/>
      <c r="G863" s="498"/>
      <c r="H863" s="498"/>
      <c r="I863" s="498"/>
      <c r="J863" s="498"/>
      <c r="K863" s="498"/>
      <c r="L863" s="498"/>
      <c r="M863" s="498"/>
      <c r="N863" s="498"/>
      <c r="O863" s="498"/>
      <c r="P863" s="498"/>
      <c r="Q863" s="498"/>
      <c r="R863" s="498"/>
      <c r="S863" s="498"/>
      <c r="T863" s="498"/>
      <c r="U863" s="498"/>
      <c r="V863" s="498"/>
      <c r="W863" s="498"/>
      <c r="X863" s="498"/>
      <c r="Y863" s="498"/>
      <c r="Z863" s="498"/>
      <c r="AA863" s="498"/>
      <c r="AB863" s="498"/>
      <c r="AC863" s="498"/>
      <c r="AD863" s="542"/>
      <c r="AE863" s="542"/>
      <c r="AF863" s="542"/>
      <c r="AH863" s="521"/>
      <c r="AI863" s="514"/>
      <c r="AJ863" s="521"/>
      <c r="AK863" s="521"/>
      <c r="AL863" s="521"/>
    </row>
    <row r="864" spans="1:38" s="2" customFormat="1">
      <c r="A864" s="597"/>
      <c r="B864" s="497"/>
      <c r="C864" s="498"/>
      <c r="D864" s="498"/>
      <c r="E864" s="498"/>
      <c r="F864" s="498"/>
      <c r="G864" s="498"/>
      <c r="H864" s="498"/>
      <c r="I864" s="498"/>
      <c r="J864" s="498"/>
      <c r="K864" s="498"/>
      <c r="L864" s="498"/>
      <c r="M864" s="498"/>
      <c r="N864" s="498"/>
      <c r="O864" s="498"/>
      <c r="P864" s="498"/>
      <c r="Q864" s="498"/>
      <c r="R864" s="498"/>
      <c r="S864" s="498"/>
      <c r="T864" s="498"/>
      <c r="U864" s="498"/>
      <c r="V864" s="498"/>
      <c r="W864" s="498"/>
      <c r="X864" s="498"/>
      <c r="Y864" s="498"/>
      <c r="Z864" s="498"/>
      <c r="AA864" s="498"/>
      <c r="AB864" s="498"/>
      <c r="AC864" s="498"/>
      <c r="AD864" s="542"/>
      <c r="AE864" s="542"/>
      <c r="AF864" s="542"/>
      <c r="AH864" s="521"/>
      <c r="AI864" s="521"/>
      <c r="AJ864" s="521"/>
      <c r="AK864" s="521"/>
      <c r="AL864" s="521"/>
    </row>
    <row r="865" spans="1:35" s="2" customFormat="1" ht="36.75" customHeight="1">
      <c r="A865" s="577"/>
      <c r="B865" s="578"/>
      <c r="C865" s="578"/>
      <c r="D865" s="578"/>
      <c r="E865" s="578"/>
      <c r="F865" s="578"/>
      <c r="G865" s="578"/>
      <c r="H865" s="578"/>
      <c r="I865" s="578"/>
      <c r="J865" s="578"/>
      <c r="K865" s="578"/>
      <c r="L865" s="578"/>
      <c r="M865" s="578"/>
      <c r="N865" s="578"/>
      <c r="O865" s="578"/>
      <c r="P865" s="578"/>
      <c r="Q865" s="578"/>
      <c r="R865" s="578"/>
      <c r="S865" s="578"/>
      <c r="T865" s="578"/>
      <c r="U865" s="578"/>
      <c r="V865" s="578"/>
      <c r="W865" s="578"/>
      <c r="X865" s="578"/>
      <c r="Y865" s="578"/>
      <c r="Z865" s="578"/>
      <c r="AA865" s="578"/>
      <c r="AB865" s="578"/>
      <c r="AC865" s="578"/>
      <c r="AD865" s="578"/>
      <c r="AE865" s="578"/>
      <c r="AF865" s="578"/>
      <c r="AG865" s="602"/>
      <c r="AH865" s="578"/>
      <c r="AI865" s="578"/>
    </row>
    <row r="866" spans="1:35" s="2" customFormat="1">
      <c r="A866" s="496"/>
      <c r="B866" s="497"/>
      <c r="C866" s="498"/>
      <c r="D866" s="498"/>
      <c r="E866" s="498"/>
      <c r="F866" s="498"/>
      <c r="G866" s="498"/>
      <c r="H866" s="498"/>
      <c r="I866" s="498"/>
      <c r="J866" s="498"/>
      <c r="K866" s="498"/>
      <c r="L866" s="498"/>
      <c r="M866" s="498"/>
      <c r="N866" s="498"/>
      <c r="O866" s="498"/>
      <c r="P866" s="498"/>
      <c r="Q866" s="498"/>
      <c r="R866" s="498"/>
      <c r="S866" s="498"/>
      <c r="T866" s="498"/>
      <c r="U866" s="498"/>
      <c r="V866" s="498"/>
      <c r="W866" s="498"/>
      <c r="X866" s="498"/>
      <c r="Y866" s="498"/>
      <c r="Z866" s="498"/>
      <c r="AA866" s="498"/>
      <c r="AB866" s="498"/>
      <c r="AC866" s="233"/>
      <c r="AD866" s="526"/>
      <c r="AE866" s="233"/>
      <c r="AF866" s="647"/>
      <c r="AG866" s="647"/>
      <c r="AH866" s="647"/>
      <c r="AI866" s="647"/>
    </row>
    <row r="867" spans="1:35" s="2" customFormat="1">
      <c r="A867" s="496"/>
      <c r="C867" s="498"/>
      <c r="D867" s="498"/>
      <c r="E867" s="498"/>
      <c r="F867" s="498"/>
      <c r="G867" s="498"/>
      <c r="H867" s="498"/>
      <c r="I867" s="498"/>
      <c r="J867" s="498"/>
      <c r="K867" s="498"/>
      <c r="L867" s="498"/>
      <c r="M867" s="498"/>
      <c r="N867" s="498"/>
      <c r="O867" s="498"/>
      <c r="P867" s="498"/>
      <c r="Q867" s="498"/>
      <c r="R867" s="498"/>
      <c r="S867" s="498"/>
      <c r="T867" s="498"/>
      <c r="U867" s="498"/>
      <c r="V867" s="498"/>
      <c r="W867" s="498"/>
      <c r="X867" s="498"/>
      <c r="Y867" s="498"/>
      <c r="Z867" s="498"/>
      <c r="AA867" s="498"/>
      <c r="AB867" s="498"/>
      <c r="AE867" s="648"/>
      <c r="AF867" s="649"/>
      <c r="AG867" s="649"/>
      <c r="AH867" s="649"/>
      <c r="AI867" s="649"/>
    </row>
    <row r="868" spans="1:35" s="2" customFormat="1">
      <c r="A868" s="496"/>
      <c r="C868" s="498"/>
      <c r="D868" s="498"/>
      <c r="E868" s="498"/>
      <c r="F868" s="498"/>
      <c r="G868" s="498"/>
      <c r="H868" s="498"/>
      <c r="I868" s="498"/>
      <c r="J868" s="498"/>
      <c r="K868" s="498"/>
      <c r="L868" s="498"/>
      <c r="M868" s="498"/>
      <c r="N868" s="498"/>
      <c r="O868" s="498"/>
      <c r="P868" s="498"/>
      <c r="Q868" s="498"/>
      <c r="R868" s="498"/>
      <c r="S868" s="498"/>
      <c r="T868" s="498"/>
      <c r="U868" s="498"/>
      <c r="V868" s="498"/>
      <c r="W868" s="498"/>
      <c r="X868" s="498"/>
      <c r="Y868" s="498"/>
      <c r="Z868" s="498"/>
      <c r="AA868" s="498"/>
      <c r="AB868" s="498"/>
      <c r="AE868" s="648"/>
      <c r="AF868" s="649"/>
      <c r="AG868" s="649"/>
      <c r="AH868" s="649"/>
      <c r="AI868" s="649"/>
    </row>
    <row r="869" spans="1:35" s="2" customFormat="1">
      <c r="A869" s="496"/>
      <c r="C869" s="498"/>
      <c r="D869" s="498"/>
      <c r="E869" s="498"/>
      <c r="F869" s="498"/>
      <c r="G869" s="498"/>
      <c r="H869" s="498"/>
      <c r="I869" s="498"/>
      <c r="J869" s="498"/>
      <c r="K869" s="498"/>
      <c r="L869" s="498"/>
      <c r="M869" s="498"/>
      <c r="N869" s="498"/>
      <c r="O869" s="498"/>
      <c r="P869" s="498"/>
      <c r="Q869" s="498"/>
      <c r="R869" s="498"/>
      <c r="S869" s="498"/>
      <c r="T869" s="498"/>
      <c r="U869" s="498"/>
      <c r="V869" s="498"/>
      <c r="W869" s="498"/>
      <c r="X869" s="498"/>
      <c r="Y869" s="498"/>
      <c r="Z869" s="498"/>
      <c r="AA869" s="498"/>
      <c r="AB869" s="498"/>
      <c r="AE869" s="648"/>
      <c r="AF869" s="649"/>
      <c r="AG869" s="649"/>
      <c r="AH869" s="649"/>
      <c r="AI869" s="649"/>
    </row>
    <row r="870" spans="1:35" s="2" customFormat="1">
      <c r="A870" s="496"/>
      <c r="C870" s="498"/>
      <c r="D870" s="498"/>
      <c r="E870" s="498"/>
      <c r="F870" s="498"/>
      <c r="G870" s="498"/>
      <c r="H870" s="498"/>
      <c r="I870" s="498"/>
      <c r="J870" s="498"/>
      <c r="K870" s="498"/>
      <c r="L870" s="498"/>
      <c r="M870" s="498"/>
      <c r="N870" s="498"/>
      <c r="O870" s="498"/>
      <c r="P870" s="498"/>
      <c r="Q870" s="498"/>
      <c r="R870" s="498"/>
      <c r="S870" s="498"/>
      <c r="T870" s="498"/>
      <c r="U870" s="498"/>
      <c r="V870" s="498"/>
      <c r="W870" s="498"/>
      <c r="X870" s="498"/>
      <c r="Y870" s="498"/>
      <c r="Z870" s="498"/>
      <c r="AA870" s="498"/>
      <c r="AB870" s="498"/>
      <c r="AE870" s="648"/>
      <c r="AF870" s="649"/>
      <c r="AG870" s="649"/>
      <c r="AH870" s="649"/>
      <c r="AI870" s="649"/>
    </row>
    <row r="871" spans="1:35" s="2" customFormat="1">
      <c r="A871" s="496"/>
      <c r="C871" s="498"/>
      <c r="D871" s="498"/>
      <c r="E871" s="498"/>
      <c r="F871" s="498"/>
      <c r="G871" s="498"/>
      <c r="H871" s="498"/>
      <c r="I871" s="498"/>
      <c r="J871" s="498"/>
      <c r="K871" s="498"/>
      <c r="L871" s="498"/>
      <c r="M871" s="498"/>
      <c r="N871" s="498"/>
      <c r="O871" s="498"/>
      <c r="P871" s="498"/>
      <c r="Q871" s="498"/>
      <c r="R871" s="498"/>
      <c r="S871" s="498"/>
      <c r="T871" s="498"/>
      <c r="U871" s="498"/>
      <c r="V871" s="498"/>
      <c r="W871" s="498"/>
      <c r="X871" s="498"/>
      <c r="Y871" s="498"/>
      <c r="Z871" s="498"/>
      <c r="AA871" s="498"/>
      <c r="AB871" s="498"/>
      <c r="AE871" s="648"/>
      <c r="AF871" s="649"/>
      <c r="AG871" s="649"/>
      <c r="AH871" s="649"/>
      <c r="AI871" s="649"/>
    </row>
    <row r="872" spans="1:35" s="2" customFormat="1">
      <c r="A872" s="496"/>
      <c r="C872" s="498"/>
      <c r="D872" s="498"/>
      <c r="E872" s="498"/>
      <c r="F872" s="498"/>
      <c r="G872" s="498"/>
      <c r="H872" s="498"/>
      <c r="I872" s="498"/>
      <c r="J872" s="498"/>
      <c r="K872" s="498"/>
      <c r="L872" s="498"/>
      <c r="M872" s="498"/>
      <c r="N872" s="498"/>
      <c r="O872" s="498"/>
      <c r="P872" s="498"/>
      <c r="Q872" s="498"/>
      <c r="R872" s="498"/>
      <c r="S872" s="498"/>
      <c r="T872" s="498"/>
      <c r="U872" s="498"/>
      <c r="V872" s="498"/>
      <c r="W872" s="498"/>
      <c r="X872" s="498"/>
      <c r="Y872" s="498"/>
      <c r="Z872" s="498"/>
      <c r="AA872" s="498"/>
      <c r="AB872" s="498"/>
      <c r="AE872" s="648"/>
      <c r="AF872" s="649"/>
      <c r="AG872" s="649"/>
      <c r="AH872" s="649"/>
      <c r="AI872" s="649"/>
    </row>
    <row r="873" spans="1:35" s="2" customFormat="1">
      <c r="A873" s="496"/>
      <c r="B873" s="497"/>
      <c r="C873" s="498"/>
      <c r="D873" s="498"/>
      <c r="E873" s="498"/>
      <c r="F873" s="498"/>
      <c r="G873" s="498"/>
      <c r="H873" s="498"/>
      <c r="I873" s="498"/>
      <c r="J873" s="498"/>
      <c r="K873" s="498"/>
      <c r="L873" s="498"/>
      <c r="M873" s="498"/>
      <c r="N873" s="498"/>
      <c r="O873" s="498"/>
      <c r="P873" s="498"/>
      <c r="Q873" s="498"/>
      <c r="R873" s="498"/>
      <c r="S873" s="498"/>
      <c r="T873" s="498"/>
      <c r="U873" s="498"/>
      <c r="V873" s="498"/>
      <c r="W873" s="498"/>
      <c r="X873" s="498"/>
      <c r="Y873" s="525"/>
      <c r="Z873" s="498"/>
      <c r="AA873" s="498"/>
      <c r="AB873" s="498"/>
      <c r="AC873" s="526"/>
      <c r="AD873" s="526"/>
      <c r="AE873" s="526"/>
      <c r="AF873" s="649"/>
      <c r="AG873" s="649"/>
      <c r="AH873" s="649"/>
      <c r="AI873" s="649"/>
    </row>
    <row r="874" spans="1:35" s="2" customFormat="1">
      <c r="A874" s="496"/>
      <c r="C874" s="498"/>
      <c r="D874" s="498"/>
      <c r="E874" s="498"/>
      <c r="F874" s="498"/>
      <c r="G874" s="498"/>
      <c r="H874" s="498"/>
      <c r="I874" s="498"/>
      <c r="J874" s="498"/>
      <c r="K874" s="498"/>
      <c r="L874" s="498"/>
      <c r="M874" s="498"/>
      <c r="N874" s="498"/>
      <c r="O874" s="498"/>
      <c r="P874" s="498"/>
      <c r="Q874" s="498"/>
      <c r="R874" s="498"/>
      <c r="S874" s="498"/>
      <c r="T874" s="498"/>
      <c r="U874" s="498"/>
      <c r="V874" s="498"/>
      <c r="W874" s="498"/>
      <c r="X874" s="498"/>
      <c r="Y874" s="525"/>
      <c r="Z874" s="498"/>
      <c r="AA874" s="498"/>
      <c r="AB874" s="498"/>
      <c r="AC874" s="526"/>
      <c r="AD874" s="526"/>
      <c r="AE874" s="526"/>
      <c r="AF874" s="649"/>
      <c r="AG874" s="649"/>
      <c r="AH874" s="649"/>
      <c r="AI874" s="649"/>
    </row>
    <row r="875" spans="1:35" s="2" customFormat="1">
      <c r="A875" s="496"/>
      <c r="C875" s="498"/>
      <c r="D875" s="498"/>
      <c r="E875" s="498"/>
      <c r="F875" s="498"/>
      <c r="G875" s="498"/>
      <c r="H875" s="498"/>
      <c r="I875" s="498"/>
      <c r="J875" s="498"/>
      <c r="K875" s="498"/>
      <c r="L875" s="498"/>
      <c r="M875" s="498"/>
      <c r="N875" s="498"/>
      <c r="O875" s="498"/>
      <c r="P875" s="498"/>
      <c r="Q875" s="498"/>
      <c r="R875" s="498"/>
      <c r="S875" s="498"/>
      <c r="T875" s="498"/>
      <c r="U875" s="498"/>
      <c r="V875" s="498"/>
      <c r="W875" s="498"/>
      <c r="X875" s="498"/>
      <c r="Y875" s="498"/>
      <c r="Z875" s="498"/>
      <c r="AA875" s="498"/>
      <c r="AB875" s="498"/>
      <c r="AE875" s="526"/>
      <c r="AF875" s="649"/>
      <c r="AG875" s="649"/>
      <c r="AH875" s="650"/>
      <c r="AI875" s="649"/>
    </row>
    <row r="876" spans="1:35" s="2" customFormat="1">
      <c r="A876" s="496"/>
      <c r="C876" s="498"/>
      <c r="D876" s="498"/>
      <c r="E876" s="498"/>
      <c r="F876" s="498"/>
      <c r="G876" s="498"/>
      <c r="H876" s="498"/>
      <c r="I876" s="498"/>
      <c r="J876" s="498"/>
      <c r="K876" s="498"/>
      <c r="L876" s="498"/>
      <c r="M876" s="498"/>
      <c r="N876" s="498"/>
      <c r="O876" s="498"/>
      <c r="P876" s="498"/>
      <c r="Q876" s="498"/>
      <c r="R876" s="498"/>
      <c r="S876" s="498"/>
      <c r="T876" s="498"/>
      <c r="U876" s="498"/>
      <c r="V876" s="498"/>
      <c r="W876" s="498"/>
      <c r="X876" s="498"/>
      <c r="Y876" s="498"/>
      <c r="Z876" s="498"/>
      <c r="AA876" s="498"/>
      <c r="AB876" s="498"/>
      <c r="AE876" s="526"/>
      <c r="AF876" s="649"/>
      <c r="AG876" s="649"/>
      <c r="AH876" s="649"/>
      <c r="AI876" s="649"/>
    </row>
    <row r="877" spans="1:35" s="2" customFormat="1">
      <c r="A877" s="496"/>
      <c r="C877" s="498"/>
      <c r="D877" s="498"/>
      <c r="E877" s="498"/>
      <c r="F877" s="498"/>
      <c r="G877" s="498"/>
      <c r="H877" s="498"/>
      <c r="I877" s="498"/>
      <c r="J877" s="498"/>
      <c r="K877" s="498"/>
      <c r="L877" s="498"/>
      <c r="M877" s="498"/>
      <c r="N877" s="498"/>
      <c r="O877" s="498"/>
      <c r="P877" s="498"/>
      <c r="Q877" s="498"/>
      <c r="R877" s="498"/>
      <c r="S877" s="498"/>
      <c r="T877" s="498"/>
      <c r="U877" s="498"/>
      <c r="V877" s="498"/>
      <c r="W877" s="498"/>
      <c r="X877" s="498"/>
      <c r="Y877" s="498"/>
      <c r="Z877" s="498"/>
      <c r="AA877" s="498"/>
      <c r="AB877" s="498"/>
      <c r="AE877" s="526"/>
      <c r="AF877" s="649"/>
      <c r="AG877" s="649"/>
      <c r="AH877" s="649"/>
      <c r="AI877" s="649"/>
    </row>
    <row r="878" spans="1:35" s="2" customFormat="1">
      <c r="A878" s="496"/>
      <c r="C878" s="498"/>
      <c r="D878" s="498"/>
      <c r="E878" s="498"/>
      <c r="F878" s="498"/>
      <c r="G878" s="498"/>
      <c r="H878" s="498"/>
      <c r="I878" s="498"/>
      <c r="J878" s="498"/>
      <c r="K878" s="498"/>
      <c r="L878" s="498"/>
      <c r="M878" s="498"/>
      <c r="N878" s="498"/>
      <c r="O878" s="498"/>
      <c r="P878" s="498"/>
      <c r="Q878" s="498"/>
      <c r="R878" s="498"/>
      <c r="S878" s="498"/>
      <c r="T878" s="498"/>
      <c r="U878" s="498"/>
      <c r="V878" s="498"/>
      <c r="W878" s="498"/>
      <c r="X878" s="498"/>
      <c r="Y878" s="525"/>
      <c r="Z878" s="498"/>
      <c r="AA878" s="498"/>
      <c r="AB878" s="498"/>
      <c r="AC878" s="526"/>
      <c r="AD878" s="526"/>
      <c r="AE878" s="526"/>
      <c r="AF878" s="649"/>
      <c r="AG878" s="649"/>
      <c r="AH878" s="649"/>
      <c r="AI878" s="649"/>
    </row>
    <row r="879" spans="1:35" s="2" customFormat="1">
      <c r="A879" s="577"/>
      <c r="B879" s="578"/>
      <c r="C879" s="578"/>
      <c r="D879" s="578"/>
      <c r="E879" s="578"/>
      <c r="F879" s="578"/>
      <c r="G879" s="578"/>
      <c r="H879" s="578"/>
      <c r="I879" s="578"/>
      <c r="J879" s="578"/>
      <c r="K879" s="578"/>
      <c r="L879" s="578"/>
      <c r="M879" s="578"/>
      <c r="N879" s="578"/>
      <c r="O879" s="578"/>
      <c r="P879" s="578"/>
      <c r="Q879" s="578"/>
      <c r="R879" s="578"/>
      <c r="S879" s="578"/>
      <c r="T879" s="578"/>
      <c r="U879" s="578"/>
      <c r="V879" s="578"/>
      <c r="W879" s="578"/>
      <c r="X879" s="578"/>
      <c r="Y879" s="578"/>
      <c r="Z879" s="578"/>
      <c r="AA879" s="578"/>
      <c r="AB879" s="578"/>
      <c r="AC879" s="578"/>
      <c r="AD879" s="578"/>
      <c r="AE879" s="578"/>
      <c r="AF879" s="602"/>
      <c r="AG879" s="602"/>
      <c r="AH879" s="602"/>
      <c r="AI879" s="602"/>
    </row>
    <row r="880" spans="1:35" s="2" customFormat="1">
      <c r="A880" s="651"/>
      <c r="C880" s="498"/>
      <c r="D880" s="498"/>
      <c r="E880" s="498"/>
      <c r="F880" s="498"/>
      <c r="G880" s="498"/>
      <c r="H880" s="498"/>
      <c r="I880" s="498"/>
      <c r="J880" s="498"/>
      <c r="K880" s="498"/>
      <c r="L880" s="498"/>
      <c r="M880" s="498"/>
      <c r="N880" s="498"/>
      <c r="O880" s="498"/>
      <c r="P880" s="498"/>
      <c r="Q880" s="498"/>
      <c r="R880" s="498"/>
      <c r="S880" s="498"/>
      <c r="T880" s="498"/>
      <c r="U880" s="498"/>
      <c r="V880" s="498"/>
      <c r="W880" s="498"/>
      <c r="X880" s="498"/>
      <c r="Y880" s="498"/>
      <c r="Z880" s="498"/>
      <c r="AA880" s="542"/>
      <c r="AB880" s="539"/>
      <c r="AC880" s="144"/>
      <c r="AD880" s="144"/>
      <c r="AE880" s="542"/>
      <c r="AG880" s="542"/>
      <c r="AH880" s="542"/>
      <c r="AI880" s="542"/>
    </row>
    <row r="881" spans="1:35" s="2" customFormat="1">
      <c r="A881" s="556"/>
      <c r="C881" s="525"/>
      <c r="D881" s="525"/>
      <c r="E881" s="498"/>
      <c r="F881" s="498"/>
      <c r="G881" s="498"/>
      <c r="H881" s="498"/>
      <c r="I881" s="498"/>
      <c r="J881" s="498"/>
      <c r="K881" s="498"/>
      <c r="L881" s="498"/>
      <c r="M881" s="498"/>
      <c r="N881" s="498"/>
      <c r="O881" s="498"/>
      <c r="P881" s="498"/>
      <c r="Q881" s="498"/>
      <c r="R881" s="498"/>
      <c r="S881" s="498"/>
      <c r="T881" s="498"/>
      <c r="U881" s="498"/>
      <c r="V881" s="498"/>
      <c r="W881" s="498"/>
      <c r="X881" s="498"/>
      <c r="Y881" s="498"/>
      <c r="Z881" s="498"/>
      <c r="AA881" s="542"/>
      <c r="AB881" s="551"/>
      <c r="AD881" s="509"/>
      <c r="AF881" s="542"/>
      <c r="AH881" s="542"/>
      <c r="AI881" s="538"/>
    </row>
    <row r="882" spans="1:35" s="2" customFormat="1">
      <c r="A882" s="589"/>
      <c r="C882" s="525"/>
      <c r="D882" s="525"/>
      <c r="E882" s="525"/>
      <c r="F882" s="525"/>
      <c r="G882" s="525"/>
      <c r="H882" s="525"/>
      <c r="I882" s="525"/>
      <c r="J882" s="525"/>
      <c r="K882" s="525"/>
      <c r="L882" s="525"/>
      <c r="M882" s="525"/>
      <c r="N882" s="525"/>
      <c r="O882" s="525"/>
      <c r="P882" s="525"/>
      <c r="Q882" s="525"/>
      <c r="R882" s="525"/>
      <c r="S882" s="525"/>
      <c r="T882" s="525"/>
      <c r="U882" s="525"/>
      <c r="V882" s="525"/>
      <c r="W882" s="525"/>
      <c r="X882" s="525"/>
      <c r="Y882" s="498"/>
      <c r="Z882" s="498"/>
      <c r="AA882" s="542"/>
      <c r="AB882" s="551"/>
      <c r="AD882" s="509"/>
      <c r="AF882" s="542"/>
      <c r="AH882" s="542"/>
      <c r="AI882" s="538"/>
    </row>
    <row r="883" spans="1:35" s="2" customFormat="1">
      <c r="A883" s="589"/>
      <c r="C883" s="525"/>
      <c r="D883" s="525"/>
      <c r="E883" s="525"/>
      <c r="F883" s="525"/>
      <c r="G883" s="525"/>
      <c r="H883" s="525"/>
      <c r="I883" s="525"/>
      <c r="J883" s="525"/>
      <c r="K883" s="525"/>
      <c r="L883" s="525"/>
      <c r="M883" s="525"/>
      <c r="N883" s="525"/>
      <c r="O883" s="525"/>
      <c r="P883" s="525"/>
      <c r="Q883" s="525"/>
      <c r="R883" s="525"/>
      <c r="S883" s="525"/>
      <c r="T883" s="525"/>
      <c r="U883" s="525"/>
      <c r="V883" s="525"/>
      <c r="W883" s="525"/>
      <c r="X883" s="525"/>
      <c r="Y883" s="498"/>
      <c r="Z883" s="498"/>
      <c r="AA883" s="542"/>
      <c r="AB883" s="551"/>
      <c r="AC883" s="507"/>
      <c r="AD883" s="509"/>
      <c r="AF883" s="542"/>
      <c r="AH883" s="542"/>
      <c r="AI883" s="538"/>
    </row>
    <row r="884" spans="1:35" s="2" customFormat="1">
      <c r="A884" s="589"/>
      <c r="C884" s="525"/>
      <c r="D884" s="525"/>
      <c r="E884" s="525"/>
      <c r="F884" s="525"/>
      <c r="G884" s="525"/>
      <c r="H884" s="525"/>
      <c r="I884" s="525"/>
      <c r="J884" s="525"/>
      <c r="K884" s="525"/>
      <c r="L884" s="525"/>
      <c r="M884" s="525"/>
      <c r="N884" s="525"/>
      <c r="O884" s="525"/>
      <c r="P884" s="525"/>
      <c r="Q884" s="525"/>
      <c r="R884" s="525"/>
      <c r="S884" s="525"/>
      <c r="T884" s="525"/>
      <c r="U884" s="525"/>
      <c r="V884" s="525"/>
      <c r="W884" s="525"/>
      <c r="X884" s="525"/>
      <c r="Y884" s="498"/>
      <c r="Z884" s="498"/>
      <c r="AA884" s="652"/>
      <c r="AB884" s="551"/>
      <c r="AD884" s="509"/>
      <c r="AF884" s="542"/>
      <c r="AG884" s="542"/>
      <c r="AH884" s="542"/>
      <c r="AI884" s="538"/>
    </row>
    <row r="885" spans="1:35" s="2" customFormat="1">
      <c r="A885" s="589"/>
      <c r="C885" s="525"/>
      <c r="D885" s="525"/>
      <c r="E885" s="525"/>
      <c r="F885" s="525"/>
      <c r="G885" s="525"/>
      <c r="H885" s="525"/>
      <c r="I885" s="525"/>
      <c r="J885" s="525"/>
      <c r="K885" s="525"/>
      <c r="L885" s="525"/>
      <c r="M885" s="525"/>
      <c r="N885" s="525"/>
      <c r="O885" s="525"/>
      <c r="P885" s="525"/>
      <c r="Q885" s="525"/>
      <c r="R885" s="525"/>
      <c r="S885" s="525"/>
      <c r="T885" s="525"/>
      <c r="U885" s="525"/>
      <c r="V885" s="525"/>
      <c r="W885" s="525"/>
      <c r="X885" s="525"/>
      <c r="Y885" s="498"/>
      <c r="Z885" s="498"/>
      <c r="AA885" s="652"/>
      <c r="AB885" s="551"/>
      <c r="AD885" s="509"/>
      <c r="AF885" s="591"/>
      <c r="AG885" s="542"/>
      <c r="AH885" s="653"/>
      <c r="AI885" s="538"/>
    </row>
    <row r="886" spans="1:35" s="2" customFormat="1">
      <c r="A886" s="589"/>
      <c r="C886" s="525"/>
      <c r="D886" s="525"/>
      <c r="E886" s="525"/>
      <c r="F886" s="525"/>
      <c r="G886" s="525"/>
      <c r="H886" s="525"/>
      <c r="I886" s="525"/>
      <c r="J886" s="525"/>
      <c r="K886" s="525"/>
      <c r="L886" s="525"/>
      <c r="M886" s="525"/>
      <c r="N886" s="525"/>
      <c r="O886" s="525"/>
      <c r="P886" s="525"/>
      <c r="Q886" s="525"/>
      <c r="R886" s="525"/>
      <c r="S886" s="525"/>
      <c r="T886" s="525"/>
      <c r="U886" s="525"/>
      <c r="V886" s="525"/>
      <c r="W886" s="525"/>
      <c r="X886" s="525"/>
      <c r="Y886" s="498"/>
      <c r="Z886" s="498"/>
      <c r="AA886" s="652"/>
      <c r="AB886" s="551"/>
      <c r="AC886" s="507"/>
      <c r="AD886" s="509"/>
      <c r="AF886" s="542"/>
      <c r="AH886" s="542"/>
      <c r="AI886" s="538"/>
    </row>
    <row r="887" spans="1:35" s="2" customFormat="1">
      <c r="A887" s="589"/>
      <c r="C887" s="525"/>
      <c r="D887" s="525"/>
      <c r="E887" s="525"/>
      <c r="F887" s="525"/>
      <c r="G887" s="525"/>
      <c r="H887" s="525"/>
      <c r="I887" s="525"/>
      <c r="J887" s="525"/>
      <c r="K887" s="525"/>
      <c r="L887" s="525"/>
      <c r="M887" s="525"/>
      <c r="N887" s="525"/>
      <c r="O887" s="525"/>
      <c r="P887" s="525"/>
      <c r="Q887" s="525"/>
      <c r="R887" s="525"/>
      <c r="S887" s="525"/>
      <c r="T887" s="525"/>
      <c r="U887" s="525"/>
      <c r="V887" s="525"/>
      <c r="W887" s="525"/>
      <c r="X887" s="525"/>
      <c r="Y887" s="498"/>
      <c r="Z887" s="498"/>
      <c r="AA887" s="652"/>
      <c r="AB887" s="551"/>
      <c r="AC887" s="507"/>
      <c r="AD887" s="509"/>
      <c r="AF887" s="542"/>
      <c r="AH887" s="542"/>
      <c r="AI887" s="538"/>
    </row>
    <row r="888" spans="1:35" s="2" customFormat="1">
      <c r="A888" s="589"/>
      <c r="C888" s="525"/>
      <c r="D888" s="525"/>
      <c r="E888" s="525"/>
      <c r="F888" s="525"/>
      <c r="G888" s="525"/>
      <c r="H888" s="525"/>
      <c r="I888" s="525"/>
      <c r="J888" s="525"/>
      <c r="K888" s="525"/>
      <c r="L888" s="525"/>
      <c r="M888" s="525"/>
      <c r="N888" s="525"/>
      <c r="O888" s="525"/>
      <c r="P888" s="525"/>
      <c r="Q888" s="525"/>
      <c r="R888" s="525"/>
      <c r="S888" s="525"/>
      <c r="T888" s="525"/>
      <c r="U888" s="525"/>
      <c r="V888" s="525"/>
      <c r="W888" s="525"/>
      <c r="X888" s="525"/>
      <c r="Y888" s="498"/>
      <c r="Z888" s="498"/>
      <c r="AA888" s="652"/>
      <c r="AB888" s="551"/>
      <c r="AD888" s="509"/>
      <c r="AF888" s="542"/>
      <c r="AH888" s="542"/>
      <c r="AI888" s="538"/>
    </row>
    <row r="889" spans="1:35" s="2" customFormat="1">
      <c r="A889" s="589"/>
      <c r="C889" s="525"/>
      <c r="D889" s="525"/>
      <c r="E889" s="525"/>
      <c r="F889" s="525"/>
      <c r="G889" s="525"/>
      <c r="H889" s="525"/>
      <c r="I889" s="525"/>
      <c r="J889" s="525"/>
      <c r="K889" s="525"/>
      <c r="L889" s="525"/>
      <c r="M889" s="525"/>
      <c r="N889" s="525"/>
      <c r="O889" s="525"/>
      <c r="P889" s="525"/>
      <c r="Q889" s="525"/>
      <c r="R889" s="525"/>
      <c r="S889" s="525"/>
      <c r="T889" s="525"/>
      <c r="U889" s="525"/>
      <c r="V889" s="525"/>
      <c r="W889" s="525"/>
      <c r="X889" s="525"/>
      <c r="Y889" s="498"/>
      <c r="Z889" s="498"/>
      <c r="AA889" s="652"/>
      <c r="AB889" s="551"/>
      <c r="AD889" s="509"/>
      <c r="AF889" s="542"/>
      <c r="AH889" s="542"/>
      <c r="AI889" s="538"/>
    </row>
    <row r="890" spans="1:35" s="2" customFormat="1">
      <c r="A890" s="651"/>
      <c r="B890" s="562"/>
      <c r="C890" s="498"/>
      <c r="D890" s="498"/>
      <c r="E890" s="498"/>
      <c r="F890" s="498"/>
      <c r="G890" s="498"/>
      <c r="H890" s="498"/>
      <c r="I890" s="498"/>
      <c r="J890" s="498"/>
      <c r="K890" s="498"/>
      <c r="L890" s="498"/>
      <c r="M890" s="498"/>
      <c r="N890" s="498"/>
      <c r="O890" s="498"/>
      <c r="P890" s="498"/>
      <c r="Q890" s="498"/>
      <c r="R890" s="498"/>
      <c r="S890" s="498"/>
      <c r="T890" s="498"/>
      <c r="U890" s="498"/>
      <c r="V890" s="498"/>
      <c r="W890" s="498"/>
      <c r="X890" s="498"/>
      <c r="Y890" s="498"/>
      <c r="Z890" s="498"/>
      <c r="AA890" s="542"/>
      <c r="AB890" s="539"/>
      <c r="AC890" s="144"/>
      <c r="AD890" s="511"/>
      <c r="AE890" s="144"/>
      <c r="AF890" s="542"/>
      <c r="AI890" s="542"/>
    </row>
    <row r="891" spans="1:35" s="2" customFormat="1">
      <c r="A891" s="556"/>
      <c r="C891" s="525"/>
      <c r="D891" s="525"/>
      <c r="E891" s="498"/>
      <c r="F891" s="498"/>
      <c r="G891" s="498"/>
      <c r="H891" s="498"/>
      <c r="I891" s="498"/>
      <c r="J891" s="498"/>
      <c r="K891" s="498"/>
      <c r="L891" s="498"/>
      <c r="M891" s="498"/>
      <c r="N891" s="498"/>
      <c r="O891" s="498"/>
      <c r="P891" s="498"/>
      <c r="Q891" s="498"/>
      <c r="R891" s="498"/>
      <c r="S891" s="498"/>
      <c r="T891" s="498"/>
      <c r="U891" s="498"/>
      <c r="V891" s="498"/>
      <c r="W891" s="498"/>
      <c r="X891" s="498"/>
      <c r="Y891" s="498"/>
      <c r="Z891" s="498"/>
      <c r="AA891" s="542"/>
      <c r="AB891" s="551"/>
      <c r="AD891" s="509"/>
      <c r="AF891" s="542"/>
      <c r="AG891" s="542"/>
      <c r="AH891" s="538"/>
      <c r="AI891" s="654"/>
    </row>
    <row r="892" spans="1:35" s="2" customFormat="1">
      <c r="A892" s="589"/>
      <c r="C892" s="525"/>
      <c r="D892" s="525"/>
      <c r="E892" s="525"/>
      <c r="F892" s="525"/>
      <c r="G892" s="525"/>
      <c r="H892" s="525"/>
      <c r="I892" s="525"/>
      <c r="J892" s="525"/>
      <c r="K892" s="525"/>
      <c r="L892" s="525"/>
      <c r="M892" s="525"/>
      <c r="N892" s="525"/>
      <c r="O892" s="525"/>
      <c r="P892" s="525"/>
      <c r="Q892" s="525"/>
      <c r="R892" s="525"/>
      <c r="S892" s="525"/>
      <c r="T892" s="525"/>
      <c r="U892" s="525"/>
      <c r="V892" s="525"/>
      <c r="W892" s="525"/>
      <c r="X892" s="525"/>
      <c r="Y892" s="498"/>
      <c r="Z892" s="498"/>
      <c r="AA892" s="542"/>
      <c r="AB892" s="551"/>
      <c r="AC892" s="507"/>
      <c r="AD892" s="509"/>
      <c r="AF892" s="542"/>
      <c r="AH892" s="538"/>
      <c r="AI892" s="654"/>
    </row>
    <row r="893" spans="1:35" s="2" customFormat="1">
      <c r="A893" s="589"/>
      <c r="C893" s="525"/>
      <c r="D893" s="525"/>
      <c r="E893" s="525"/>
      <c r="F893" s="525"/>
      <c r="G893" s="525"/>
      <c r="H893" s="525"/>
      <c r="I893" s="525"/>
      <c r="J893" s="525"/>
      <c r="K893" s="525"/>
      <c r="L893" s="525"/>
      <c r="M893" s="525"/>
      <c r="N893" s="525"/>
      <c r="O893" s="525"/>
      <c r="P893" s="525"/>
      <c r="Q893" s="525"/>
      <c r="R893" s="525"/>
      <c r="S893" s="525"/>
      <c r="T893" s="525"/>
      <c r="U893" s="525"/>
      <c r="V893" s="525"/>
      <c r="W893" s="525"/>
      <c r="X893" s="525"/>
      <c r="Y893" s="498"/>
      <c r="Z893" s="498"/>
      <c r="AA893" s="542"/>
      <c r="AB893" s="551"/>
      <c r="AD893" s="509"/>
      <c r="AF893" s="542"/>
      <c r="AH893" s="538"/>
      <c r="AI893" s="654"/>
    </row>
    <row r="894" spans="1:35" s="2" customFormat="1">
      <c r="A894" s="589"/>
      <c r="C894" s="525"/>
      <c r="D894" s="525"/>
      <c r="E894" s="525"/>
      <c r="F894" s="525"/>
      <c r="G894" s="525"/>
      <c r="H894" s="525"/>
      <c r="I894" s="525"/>
      <c r="J894" s="525"/>
      <c r="K894" s="525"/>
      <c r="L894" s="525"/>
      <c r="M894" s="525"/>
      <c r="N894" s="525"/>
      <c r="O894" s="525"/>
      <c r="P894" s="525"/>
      <c r="Q894" s="525"/>
      <c r="R894" s="525"/>
      <c r="S894" s="525"/>
      <c r="T894" s="525"/>
      <c r="U894" s="525"/>
      <c r="V894" s="525"/>
      <c r="W894" s="525"/>
      <c r="X894" s="525"/>
      <c r="Y894" s="498"/>
      <c r="Z894" s="498"/>
      <c r="AA894" s="652"/>
      <c r="AB894" s="551"/>
      <c r="AD894" s="509"/>
      <c r="AF894" s="542"/>
      <c r="AH894" s="538"/>
      <c r="AI894" s="654"/>
    </row>
    <row r="895" spans="1:35" s="2" customFormat="1">
      <c r="A895" s="589"/>
      <c r="C895" s="525"/>
      <c r="D895" s="525"/>
      <c r="E895" s="525"/>
      <c r="F895" s="525"/>
      <c r="G895" s="525"/>
      <c r="H895" s="525"/>
      <c r="I895" s="525"/>
      <c r="J895" s="525"/>
      <c r="K895" s="525"/>
      <c r="L895" s="525"/>
      <c r="M895" s="525"/>
      <c r="N895" s="525"/>
      <c r="O895" s="525"/>
      <c r="P895" s="525"/>
      <c r="Q895" s="525"/>
      <c r="R895" s="525"/>
      <c r="S895" s="525"/>
      <c r="T895" s="525"/>
      <c r="U895" s="525"/>
      <c r="V895" s="525"/>
      <c r="W895" s="525"/>
      <c r="X895" s="525"/>
      <c r="Y895" s="498"/>
      <c r="Z895" s="498"/>
      <c r="AA895" s="652"/>
      <c r="AB895" s="551"/>
      <c r="AD895" s="509"/>
      <c r="AH895" s="538"/>
      <c r="AI895" s="654"/>
    </row>
    <row r="896" spans="1:35" s="2" customFormat="1">
      <c r="A896" s="589"/>
      <c r="C896" s="525"/>
      <c r="D896" s="525"/>
      <c r="E896" s="525"/>
      <c r="F896" s="525"/>
      <c r="G896" s="525"/>
      <c r="H896" s="525"/>
      <c r="I896" s="525"/>
      <c r="J896" s="525"/>
      <c r="K896" s="525"/>
      <c r="L896" s="525"/>
      <c r="M896" s="525"/>
      <c r="N896" s="525"/>
      <c r="O896" s="525"/>
      <c r="P896" s="525"/>
      <c r="Q896" s="525"/>
      <c r="R896" s="525"/>
      <c r="S896" s="525"/>
      <c r="T896" s="525"/>
      <c r="U896" s="525"/>
      <c r="V896" s="525"/>
      <c r="W896" s="525"/>
      <c r="X896" s="525"/>
      <c r="Y896" s="498"/>
      <c r="Z896" s="498"/>
      <c r="AA896" s="652"/>
      <c r="AB896" s="551"/>
      <c r="AD896" s="509"/>
      <c r="AF896" s="542"/>
      <c r="AH896" s="538"/>
      <c r="AI896" s="654"/>
    </row>
    <row r="897" spans="1:35" s="2" customFormat="1">
      <c r="A897" s="589"/>
      <c r="C897" s="525"/>
      <c r="D897" s="525"/>
      <c r="E897" s="525"/>
      <c r="F897" s="525"/>
      <c r="G897" s="525"/>
      <c r="H897" s="525"/>
      <c r="I897" s="525"/>
      <c r="J897" s="525"/>
      <c r="K897" s="525"/>
      <c r="L897" s="525"/>
      <c r="M897" s="525"/>
      <c r="N897" s="525"/>
      <c r="O897" s="525"/>
      <c r="P897" s="525"/>
      <c r="Q897" s="525"/>
      <c r="R897" s="525"/>
      <c r="S897" s="525"/>
      <c r="T897" s="525"/>
      <c r="U897" s="525"/>
      <c r="V897" s="525"/>
      <c r="W897" s="525"/>
      <c r="X897" s="525"/>
      <c r="Y897" s="498"/>
      <c r="Z897" s="498"/>
      <c r="AA897" s="652"/>
      <c r="AB897" s="551"/>
      <c r="AD897" s="509"/>
      <c r="AF897" s="542"/>
      <c r="AH897" s="538"/>
      <c r="AI897" s="654"/>
    </row>
    <row r="898" spans="1:35" s="2" customFormat="1">
      <c r="A898" s="589"/>
      <c r="C898" s="525"/>
      <c r="D898" s="525"/>
      <c r="E898" s="525"/>
      <c r="F898" s="525"/>
      <c r="G898" s="525"/>
      <c r="H898" s="525"/>
      <c r="I898" s="525"/>
      <c r="J898" s="525"/>
      <c r="K898" s="525"/>
      <c r="L898" s="525"/>
      <c r="M898" s="525"/>
      <c r="N898" s="525"/>
      <c r="O898" s="525"/>
      <c r="P898" s="525"/>
      <c r="Q898" s="525"/>
      <c r="R898" s="525"/>
      <c r="S898" s="525"/>
      <c r="T898" s="525"/>
      <c r="U898" s="525"/>
      <c r="V898" s="525"/>
      <c r="W898" s="525"/>
      <c r="X898" s="525"/>
      <c r="Y898" s="498"/>
      <c r="Z898" s="498"/>
      <c r="AA898" s="652"/>
      <c r="AB898" s="551"/>
      <c r="AD898" s="509"/>
      <c r="AF898" s="542"/>
      <c r="AH898" s="538"/>
      <c r="AI898" s="654"/>
    </row>
    <row r="899" spans="1:35" s="2" customFormat="1">
      <c r="A899" s="589"/>
      <c r="C899" s="525"/>
      <c r="D899" s="525"/>
      <c r="E899" s="525"/>
      <c r="F899" s="525"/>
      <c r="G899" s="525"/>
      <c r="H899" s="525"/>
      <c r="I899" s="525"/>
      <c r="J899" s="525"/>
      <c r="K899" s="525"/>
      <c r="L899" s="525"/>
      <c r="M899" s="525"/>
      <c r="N899" s="525"/>
      <c r="O899" s="525"/>
      <c r="P899" s="525"/>
      <c r="Q899" s="525"/>
      <c r="R899" s="525"/>
      <c r="S899" s="525"/>
      <c r="T899" s="525"/>
      <c r="U899" s="525"/>
      <c r="V899" s="525"/>
      <c r="W899" s="525"/>
      <c r="X899" s="525"/>
      <c r="Y899" s="498"/>
      <c r="Z899" s="498"/>
      <c r="AA899" s="652"/>
      <c r="AB899" s="551"/>
      <c r="AD899" s="509"/>
      <c r="AF899" s="542"/>
      <c r="AH899" s="538"/>
      <c r="AI899" s="654"/>
    </row>
    <row r="900" spans="1:35" s="2" customFormat="1">
      <c r="A900" s="651"/>
      <c r="B900" s="655"/>
      <c r="C900" s="498"/>
      <c r="D900" s="498"/>
      <c r="E900" s="498"/>
      <c r="F900" s="498"/>
      <c r="G900" s="498"/>
      <c r="H900" s="498"/>
      <c r="I900" s="498"/>
      <c r="J900" s="498"/>
      <c r="K900" s="498"/>
      <c r="L900" s="498"/>
      <c r="M900" s="498"/>
      <c r="N900" s="498"/>
      <c r="O900" s="498"/>
      <c r="P900" s="498"/>
      <c r="Q900" s="498"/>
      <c r="R900" s="498"/>
      <c r="S900" s="498"/>
      <c r="T900" s="498"/>
      <c r="U900" s="498"/>
      <c r="V900" s="498"/>
      <c r="W900" s="498"/>
      <c r="X900" s="498"/>
      <c r="Y900" s="498"/>
      <c r="Z900" s="498"/>
      <c r="AA900" s="542"/>
      <c r="AB900" s="539"/>
      <c r="AC900" s="144"/>
      <c r="AD900" s="144"/>
      <c r="AE900" s="144"/>
      <c r="AF900" s="542"/>
      <c r="AI900" s="542"/>
    </row>
    <row r="901" spans="1:35" s="2" customFormat="1">
      <c r="A901" s="556"/>
      <c r="C901" s="525"/>
      <c r="D901" s="525"/>
      <c r="E901" s="498"/>
      <c r="F901" s="498"/>
      <c r="G901" s="498"/>
      <c r="H901" s="498"/>
      <c r="I901" s="498"/>
      <c r="J901" s="498"/>
      <c r="K901" s="498"/>
      <c r="L901" s="498"/>
      <c r="M901" s="498"/>
      <c r="N901" s="498"/>
      <c r="O901" s="498"/>
      <c r="P901" s="498"/>
      <c r="Q901" s="498"/>
      <c r="R901" s="498"/>
      <c r="S901" s="498"/>
      <c r="T901" s="498"/>
      <c r="U901" s="498"/>
      <c r="V901" s="498"/>
      <c r="W901" s="498"/>
      <c r="X901" s="498"/>
      <c r="Y901" s="498"/>
      <c r="Z901" s="498"/>
      <c r="AA901" s="542"/>
      <c r="AB901" s="542"/>
      <c r="AC901" s="507"/>
      <c r="AD901" s="507"/>
      <c r="AE901" s="507"/>
      <c r="AF901" s="507"/>
      <c r="AG901" s="507"/>
      <c r="AH901" s="538"/>
      <c r="AI901" s="538"/>
    </row>
    <row r="902" spans="1:35" s="2" customFormat="1">
      <c r="A902" s="589"/>
      <c r="C902" s="525"/>
      <c r="D902" s="525"/>
      <c r="E902" s="525"/>
      <c r="F902" s="525"/>
      <c r="G902" s="525"/>
      <c r="H902" s="525"/>
      <c r="I902" s="525"/>
      <c r="J902" s="525"/>
      <c r="K902" s="525"/>
      <c r="L902" s="525"/>
      <c r="M902" s="525"/>
      <c r="N902" s="525"/>
      <c r="O902" s="525"/>
      <c r="P902" s="525"/>
      <c r="Q902" s="525"/>
      <c r="R902" s="525"/>
      <c r="S902" s="525"/>
      <c r="T902" s="525"/>
      <c r="U902" s="525"/>
      <c r="V902" s="525"/>
      <c r="W902" s="525"/>
      <c r="X902" s="525"/>
      <c r="Y902" s="498"/>
      <c r="Z902" s="498"/>
      <c r="AA902" s="551"/>
      <c r="AB902" s="551"/>
      <c r="AC902" s="507"/>
      <c r="AD902" s="507"/>
      <c r="AE902" s="507"/>
      <c r="AF902" s="507"/>
      <c r="AG902" s="507"/>
      <c r="AH902" s="538"/>
      <c r="AI902" s="538"/>
    </row>
    <row r="903" spans="1:35" s="2" customFormat="1">
      <c r="A903" s="589"/>
      <c r="C903" s="525"/>
      <c r="D903" s="525"/>
      <c r="E903" s="525"/>
      <c r="F903" s="525"/>
      <c r="G903" s="525"/>
      <c r="H903" s="525"/>
      <c r="I903" s="525"/>
      <c r="J903" s="525"/>
      <c r="K903" s="525"/>
      <c r="L903" s="525"/>
      <c r="M903" s="525"/>
      <c r="N903" s="525"/>
      <c r="O903" s="525"/>
      <c r="P903" s="525"/>
      <c r="Q903" s="525"/>
      <c r="R903" s="525"/>
      <c r="S903" s="525"/>
      <c r="T903" s="525"/>
      <c r="U903" s="525"/>
      <c r="V903" s="525"/>
      <c r="W903" s="525"/>
      <c r="X903" s="525"/>
      <c r="Y903" s="498"/>
      <c r="Z903" s="498"/>
      <c r="AA903" s="551"/>
      <c r="AB903" s="551"/>
      <c r="AC903" s="507"/>
      <c r="AD903" s="507"/>
      <c r="AE903" s="507"/>
      <c r="AF903" s="507"/>
      <c r="AG903" s="507"/>
      <c r="AH903" s="538"/>
      <c r="AI903" s="538"/>
    </row>
    <row r="904" spans="1:35" s="2" customFormat="1">
      <c r="A904" s="589"/>
      <c r="C904" s="525"/>
      <c r="D904" s="525"/>
      <c r="E904" s="525"/>
      <c r="F904" s="525"/>
      <c r="G904" s="525"/>
      <c r="H904" s="525"/>
      <c r="I904" s="525"/>
      <c r="J904" s="525"/>
      <c r="K904" s="525"/>
      <c r="L904" s="525"/>
      <c r="M904" s="525"/>
      <c r="N904" s="525"/>
      <c r="O904" s="525"/>
      <c r="P904" s="525"/>
      <c r="Q904" s="525"/>
      <c r="R904" s="525"/>
      <c r="S904" s="525"/>
      <c r="T904" s="525"/>
      <c r="U904" s="525"/>
      <c r="V904" s="525"/>
      <c r="W904" s="525"/>
      <c r="X904" s="525"/>
      <c r="Y904" s="498"/>
      <c r="Z904" s="498"/>
      <c r="AA904" s="551"/>
      <c r="AB904" s="551"/>
      <c r="AC904" s="507"/>
      <c r="AD904" s="507"/>
      <c r="AE904" s="507"/>
      <c r="AF904" s="507"/>
      <c r="AG904" s="507"/>
      <c r="AH904" s="538"/>
      <c r="AI904" s="538"/>
    </row>
    <row r="905" spans="1:35" s="2" customFormat="1">
      <c r="A905" s="589"/>
      <c r="C905" s="525"/>
      <c r="D905" s="525"/>
      <c r="E905" s="525"/>
      <c r="F905" s="525"/>
      <c r="G905" s="525"/>
      <c r="H905" s="525"/>
      <c r="I905" s="525"/>
      <c r="J905" s="525"/>
      <c r="K905" s="525"/>
      <c r="L905" s="525"/>
      <c r="M905" s="525"/>
      <c r="N905" s="525"/>
      <c r="O905" s="525"/>
      <c r="P905" s="525"/>
      <c r="Q905" s="525"/>
      <c r="R905" s="525"/>
      <c r="S905" s="525"/>
      <c r="T905" s="525"/>
      <c r="U905" s="525"/>
      <c r="V905" s="525"/>
      <c r="W905" s="525"/>
      <c r="X905" s="525"/>
      <c r="Y905" s="498"/>
      <c r="Z905" s="498"/>
      <c r="AA905" s="551"/>
      <c r="AB905" s="551"/>
      <c r="AC905" s="507"/>
      <c r="AD905" s="507"/>
      <c r="AE905" s="507"/>
      <c r="AF905" s="507"/>
      <c r="AG905" s="507"/>
      <c r="AH905" s="538"/>
      <c r="AI905" s="538"/>
    </row>
    <row r="906" spans="1:35" s="2" customFormat="1">
      <c r="A906" s="589"/>
      <c r="C906" s="525"/>
      <c r="D906" s="525"/>
      <c r="E906" s="525"/>
      <c r="F906" s="525"/>
      <c r="G906" s="525"/>
      <c r="H906" s="525"/>
      <c r="I906" s="525"/>
      <c r="J906" s="525"/>
      <c r="K906" s="525"/>
      <c r="L906" s="525"/>
      <c r="M906" s="525"/>
      <c r="N906" s="525"/>
      <c r="O906" s="525"/>
      <c r="P906" s="525"/>
      <c r="Q906" s="525"/>
      <c r="R906" s="525"/>
      <c r="S906" s="525"/>
      <c r="T906" s="525"/>
      <c r="U906" s="525"/>
      <c r="V906" s="525"/>
      <c r="W906" s="525"/>
      <c r="X906" s="525"/>
      <c r="Y906" s="498"/>
      <c r="Z906" s="498"/>
      <c r="AA906" s="551"/>
      <c r="AB906" s="551"/>
      <c r="AC906" s="507"/>
      <c r="AD906" s="507"/>
      <c r="AE906" s="507"/>
      <c r="AF906" s="507"/>
      <c r="AG906" s="507"/>
      <c r="AH906" s="538"/>
      <c r="AI906" s="538"/>
    </row>
    <row r="907" spans="1:35" s="2" customFormat="1">
      <c r="A907" s="589"/>
      <c r="C907" s="525"/>
      <c r="D907" s="525"/>
      <c r="E907" s="525"/>
      <c r="F907" s="525"/>
      <c r="G907" s="525"/>
      <c r="H907" s="525"/>
      <c r="I907" s="525"/>
      <c r="J907" s="525"/>
      <c r="K907" s="525"/>
      <c r="L907" s="525"/>
      <c r="M907" s="525"/>
      <c r="N907" s="525"/>
      <c r="O907" s="525"/>
      <c r="P907" s="525"/>
      <c r="Q907" s="525"/>
      <c r="R907" s="525"/>
      <c r="S907" s="525"/>
      <c r="T907" s="525"/>
      <c r="U907" s="525"/>
      <c r="V907" s="525"/>
      <c r="W907" s="525"/>
      <c r="X907" s="525"/>
      <c r="Y907" s="498"/>
      <c r="Z907" s="498"/>
      <c r="AA907" s="551"/>
      <c r="AB907" s="551"/>
      <c r="AC907" s="507"/>
      <c r="AD907" s="507"/>
      <c r="AE907" s="507"/>
      <c r="AF907" s="507"/>
      <c r="AG907" s="507"/>
      <c r="AH907" s="538"/>
      <c r="AI907" s="538"/>
    </row>
    <row r="908" spans="1:35" s="2" customFormat="1">
      <c r="A908" s="589"/>
      <c r="C908" s="525"/>
      <c r="D908" s="525"/>
      <c r="E908" s="525"/>
      <c r="F908" s="525"/>
      <c r="G908" s="525"/>
      <c r="H908" s="525"/>
      <c r="I908" s="525"/>
      <c r="J908" s="525"/>
      <c r="K908" s="525"/>
      <c r="L908" s="525"/>
      <c r="M908" s="525"/>
      <c r="N908" s="525"/>
      <c r="O908" s="525"/>
      <c r="P908" s="525"/>
      <c r="Q908" s="525"/>
      <c r="R908" s="525"/>
      <c r="S908" s="525"/>
      <c r="T908" s="525"/>
      <c r="U908" s="525"/>
      <c r="V908" s="525"/>
      <c r="W908" s="525"/>
      <c r="X908" s="525"/>
      <c r="Y908" s="498"/>
      <c r="Z908" s="498"/>
      <c r="AA908" s="551"/>
      <c r="AB908" s="551"/>
      <c r="AC908" s="507"/>
      <c r="AD908" s="507"/>
      <c r="AE908" s="507"/>
      <c r="AF908" s="507"/>
      <c r="AG908" s="507"/>
      <c r="AH908" s="538"/>
      <c r="AI908" s="538"/>
    </row>
    <row r="909" spans="1:35" s="2" customFormat="1">
      <c r="A909" s="589"/>
      <c r="C909" s="525"/>
      <c r="D909" s="525"/>
      <c r="E909" s="525"/>
      <c r="F909" s="525"/>
      <c r="G909" s="525"/>
      <c r="H909" s="525"/>
      <c r="I909" s="525"/>
      <c r="J909" s="525"/>
      <c r="K909" s="525"/>
      <c r="L909" s="525"/>
      <c r="M909" s="525"/>
      <c r="N909" s="525"/>
      <c r="O909" s="525"/>
      <c r="P909" s="525"/>
      <c r="Q909" s="525"/>
      <c r="R909" s="525"/>
      <c r="S909" s="525"/>
      <c r="T909" s="525"/>
      <c r="U909" s="525"/>
      <c r="V909" s="525"/>
      <c r="W909" s="525"/>
      <c r="X909" s="525"/>
      <c r="Y909" s="498"/>
      <c r="Z909" s="498"/>
      <c r="AA909" s="551"/>
      <c r="AB909" s="551"/>
      <c r="AC909" s="507"/>
      <c r="AD909" s="507"/>
      <c r="AE909" s="507"/>
      <c r="AF909" s="507"/>
      <c r="AG909" s="507"/>
      <c r="AH909" s="538"/>
      <c r="AI909" s="538"/>
    </row>
    <row r="910" spans="1:35" s="2" customFormat="1">
      <c r="A910" s="651"/>
      <c r="B910" s="655"/>
      <c r="C910" s="498"/>
      <c r="D910" s="498"/>
      <c r="E910" s="498"/>
      <c r="F910" s="498"/>
      <c r="G910" s="498"/>
      <c r="H910" s="498"/>
      <c r="I910" s="498"/>
      <c r="J910" s="498"/>
      <c r="K910" s="498"/>
      <c r="L910" s="498"/>
      <c r="M910" s="498"/>
      <c r="N910" s="498"/>
      <c r="O910" s="498"/>
      <c r="P910" s="498"/>
      <c r="Q910" s="498"/>
      <c r="R910" s="498"/>
      <c r="S910" s="498"/>
      <c r="T910" s="498"/>
      <c r="U910" s="498"/>
      <c r="V910" s="498"/>
      <c r="W910" s="498"/>
      <c r="X910" s="498"/>
      <c r="Y910" s="498"/>
      <c r="Z910" s="498"/>
      <c r="AA910" s="144"/>
      <c r="AB910" s="539"/>
      <c r="AC910" s="144"/>
      <c r="AD910" s="144"/>
      <c r="AE910" s="144"/>
      <c r="AF910" s="542"/>
      <c r="AI910" s="542"/>
    </row>
    <row r="911" spans="1:35" s="2" customFormat="1">
      <c r="A911" s="556"/>
      <c r="C911" s="525"/>
      <c r="D911" s="525"/>
      <c r="E911" s="498"/>
      <c r="F911" s="498"/>
      <c r="G911" s="498"/>
      <c r="H911" s="498"/>
      <c r="I911" s="498"/>
      <c r="J911" s="498"/>
      <c r="K911" s="498"/>
      <c r="L911" s="498"/>
      <c r="M911" s="498"/>
      <c r="N911" s="498"/>
      <c r="O911" s="498"/>
      <c r="P911" s="498"/>
      <c r="Q911" s="498"/>
      <c r="R911" s="498"/>
      <c r="S911" s="498"/>
      <c r="T911" s="498"/>
      <c r="U911" s="498"/>
      <c r="V911" s="498"/>
      <c r="W911" s="498"/>
      <c r="X911" s="498"/>
      <c r="Y911" s="498"/>
      <c r="Z911" s="498"/>
      <c r="AA911" s="542"/>
      <c r="AB911" s="551"/>
      <c r="AD911" s="509"/>
      <c r="AF911" s="542"/>
      <c r="AH911" s="538"/>
      <c r="AI911" s="538"/>
    </row>
    <row r="912" spans="1:35" s="2" customFormat="1">
      <c r="A912" s="589"/>
      <c r="C912" s="525"/>
      <c r="D912" s="525"/>
      <c r="E912" s="525"/>
      <c r="F912" s="525"/>
      <c r="G912" s="525"/>
      <c r="H912" s="525"/>
      <c r="I912" s="525"/>
      <c r="J912" s="525"/>
      <c r="K912" s="525"/>
      <c r="L912" s="525"/>
      <c r="M912" s="525"/>
      <c r="N912" s="525"/>
      <c r="O912" s="525"/>
      <c r="P912" s="525"/>
      <c r="Q912" s="525"/>
      <c r="R912" s="525"/>
      <c r="S912" s="525"/>
      <c r="T912" s="525"/>
      <c r="U912" s="525"/>
      <c r="V912" s="525"/>
      <c r="W912" s="525"/>
      <c r="X912" s="525"/>
      <c r="Y912" s="498"/>
      <c r="Z912" s="498"/>
      <c r="AA912" s="542"/>
      <c r="AB912" s="551"/>
      <c r="AD912" s="509"/>
      <c r="AF912" s="542"/>
      <c r="AH912" s="538"/>
      <c r="AI912" s="538"/>
    </row>
    <row r="913" spans="1:35" s="2" customFormat="1">
      <c r="A913" s="589"/>
      <c r="C913" s="525"/>
      <c r="D913" s="525"/>
      <c r="E913" s="525"/>
      <c r="F913" s="525"/>
      <c r="G913" s="525"/>
      <c r="H913" s="525"/>
      <c r="I913" s="525"/>
      <c r="J913" s="525"/>
      <c r="K913" s="525"/>
      <c r="L913" s="525"/>
      <c r="M913" s="525"/>
      <c r="N913" s="525"/>
      <c r="O913" s="525"/>
      <c r="P913" s="525"/>
      <c r="Q913" s="525"/>
      <c r="R913" s="525"/>
      <c r="S913" s="525"/>
      <c r="T913" s="525"/>
      <c r="U913" s="525"/>
      <c r="V913" s="525"/>
      <c r="W913" s="525"/>
      <c r="X913" s="525"/>
      <c r="Y913" s="498"/>
      <c r="Z913" s="498"/>
      <c r="AA913" s="542"/>
      <c r="AB913" s="551"/>
      <c r="AD913" s="509"/>
      <c r="AF913" s="542"/>
      <c r="AH913" s="538"/>
      <c r="AI913" s="538"/>
    </row>
    <row r="914" spans="1:35" s="2" customFormat="1">
      <c r="A914" s="589"/>
      <c r="C914" s="525"/>
      <c r="D914" s="525"/>
      <c r="E914" s="525"/>
      <c r="F914" s="525"/>
      <c r="G914" s="525"/>
      <c r="H914" s="525"/>
      <c r="I914" s="525"/>
      <c r="J914" s="525"/>
      <c r="K914" s="525"/>
      <c r="L914" s="525"/>
      <c r="M914" s="525"/>
      <c r="N914" s="525"/>
      <c r="O914" s="525"/>
      <c r="P914" s="525"/>
      <c r="Q914" s="525"/>
      <c r="R914" s="525"/>
      <c r="S914" s="525"/>
      <c r="T914" s="525"/>
      <c r="U914" s="525"/>
      <c r="V914" s="525"/>
      <c r="W914" s="525"/>
      <c r="X914" s="525"/>
      <c r="Y914" s="498"/>
      <c r="Z914" s="498"/>
      <c r="AA914" s="542"/>
      <c r="AB914" s="551"/>
      <c r="AD914" s="509"/>
      <c r="AF914" s="542"/>
      <c r="AH914" s="538"/>
      <c r="AI914" s="538"/>
    </row>
    <row r="915" spans="1:35" s="2" customFormat="1">
      <c r="A915" s="589"/>
      <c r="C915" s="525"/>
      <c r="D915" s="525"/>
      <c r="E915" s="525"/>
      <c r="F915" s="525"/>
      <c r="G915" s="525"/>
      <c r="H915" s="525"/>
      <c r="I915" s="525"/>
      <c r="J915" s="525"/>
      <c r="K915" s="525"/>
      <c r="L915" s="525"/>
      <c r="M915" s="525"/>
      <c r="N915" s="525"/>
      <c r="O915" s="525"/>
      <c r="P915" s="525"/>
      <c r="Q915" s="525"/>
      <c r="R915" s="525"/>
      <c r="S915" s="525"/>
      <c r="T915" s="525"/>
      <c r="U915" s="525"/>
      <c r="V915" s="525"/>
      <c r="W915" s="525"/>
      <c r="X915" s="525"/>
      <c r="Y915" s="498"/>
      <c r="Z915" s="498"/>
      <c r="AA915" s="542"/>
      <c r="AB915" s="551"/>
      <c r="AD915" s="509"/>
      <c r="AF915" s="591"/>
      <c r="AH915" s="538"/>
      <c r="AI915" s="538"/>
    </row>
    <row r="916" spans="1:35" s="2" customFormat="1">
      <c r="A916" s="589"/>
      <c r="C916" s="525"/>
      <c r="D916" s="525"/>
      <c r="E916" s="525"/>
      <c r="F916" s="525"/>
      <c r="G916" s="525"/>
      <c r="H916" s="525"/>
      <c r="I916" s="525"/>
      <c r="J916" s="525"/>
      <c r="K916" s="525"/>
      <c r="L916" s="525"/>
      <c r="M916" s="525"/>
      <c r="N916" s="525"/>
      <c r="O916" s="525"/>
      <c r="P916" s="525"/>
      <c r="Q916" s="525"/>
      <c r="R916" s="525"/>
      <c r="S916" s="525"/>
      <c r="T916" s="525"/>
      <c r="U916" s="525"/>
      <c r="V916" s="525"/>
      <c r="W916" s="525"/>
      <c r="X916" s="525"/>
      <c r="Y916" s="498"/>
      <c r="Z916" s="498"/>
      <c r="AA916" s="542"/>
      <c r="AB916" s="551"/>
      <c r="AC916" s="507"/>
      <c r="AD916" s="509"/>
      <c r="AF916" s="542"/>
      <c r="AH916" s="538"/>
      <c r="AI916" s="538"/>
    </row>
    <row r="917" spans="1:35" s="2" customFormat="1">
      <c r="A917" s="589"/>
      <c r="C917" s="525"/>
      <c r="D917" s="525"/>
      <c r="E917" s="525"/>
      <c r="F917" s="525"/>
      <c r="G917" s="525"/>
      <c r="H917" s="525"/>
      <c r="I917" s="525"/>
      <c r="J917" s="525"/>
      <c r="K917" s="525"/>
      <c r="L917" s="525"/>
      <c r="M917" s="525"/>
      <c r="N917" s="525"/>
      <c r="O917" s="525"/>
      <c r="P917" s="525"/>
      <c r="Q917" s="525"/>
      <c r="R917" s="525"/>
      <c r="S917" s="525"/>
      <c r="T917" s="525"/>
      <c r="U917" s="525"/>
      <c r="V917" s="525"/>
      <c r="W917" s="525"/>
      <c r="X917" s="525"/>
      <c r="Y917" s="498"/>
      <c r="Z917" s="498"/>
      <c r="AA917" s="542"/>
      <c r="AB917" s="551"/>
      <c r="AD917" s="509"/>
      <c r="AF917" s="542"/>
      <c r="AH917" s="538"/>
      <c r="AI917" s="538"/>
    </row>
    <row r="918" spans="1:35" s="2" customFormat="1">
      <c r="A918" s="589"/>
      <c r="C918" s="525"/>
      <c r="D918" s="525"/>
      <c r="E918" s="525"/>
      <c r="F918" s="525"/>
      <c r="G918" s="525"/>
      <c r="H918" s="525"/>
      <c r="I918" s="525"/>
      <c r="J918" s="525"/>
      <c r="K918" s="525"/>
      <c r="L918" s="525"/>
      <c r="M918" s="525"/>
      <c r="N918" s="525"/>
      <c r="O918" s="525"/>
      <c r="P918" s="525"/>
      <c r="Q918" s="525"/>
      <c r="R918" s="525"/>
      <c r="S918" s="525"/>
      <c r="T918" s="525"/>
      <c r="U918" s="525"/>
      <c r="V918" s="525"/>
      <c r="W918" s="525"/>
      <c r="X918" s="525"/>
      <c r="Y918" s="498"/>
      <c r="Z918" s="498"/>
      <c r="AA918" s="542"/>
      <c r="AB918" s="551"/>
      <c r="AD918" s="509"/>
      <c r="AF918" s="542"/>
      <c r="AH918" s="538"/>
      <c r="AI918" s="538"/>
    </row>
    <row r="919" spans="1:35" s="2" customFormat="1">
      <c r="A919" s="589"/>
      <c r="C919" s="525"/>
      <c r="D919" s="525"/>
      <c r="E919" s="525"/>
      <c r="F919" s="525"/>
      <c r="G919" s="525"/>
      <c r="H919" s="525"/>
      <c r="I919" s="525"/>
      <c r="J919" s="525"/>
      <c r="K919" s="525"/>
      <c r="L919" s="525"/>
      <c r="M919" s="525"/>
      <c r="N919" s="525"/>
      <c r="O919" s="525"/>
      <c r="P919" s="525"/>
      <c r="Q919" s="525"/>
      <c r="R919" s="525"/>
      <c r="S919" s="525"/>
      <c r="T919" s="525"/>
      <c r="U919" s="525"/>
      <c r="V919" s="525"/>
      <c r="W919" s="525"/>
      <c r="X919" s="525"/>
      <c r="Y919" s="498"/>
      <c r="Z919" s="498"/>
      <c r="AA919" s="542"/>
      <c r="AB919" s="551"/>
      <c r="AD919" s="509"/>
      <c r="AF919" s="542"/>
      <c r="AH919" s="538"/>
      <c r="AI919" s="538"/>
    </row>
    <row r="920" spans="1:35" s="2" customFormat="1">
      <c r="A920" s="651"/>
      <c r="B920" s="655"/>
      <c r="C920" s="498"/>
      <c r="D920" s="498"/>
      <c r="E920" s="498"/>
      <c r="F920" s="498"/>
      <c r="G920" s="498"/>
      <c r="H920" s="498"/>
      <c r="I920" s="498"/>
      <c r="J920" s="498"/>
      <c r="K920" s="498"/>
      <c r="L920" s="498"/>
      <c r="M920" s="498"/>
      <c r="N920" s="498"/>
      <c r="O920" s="498"/>
      <c r="P920" s="498"/>
      <c r="Q920" s="498"/>
      <c r="R920" s="498"/>
      <c r="S920" s="498"/>
      <c r="T920" s="498"/>
      <c r="U920" s="498"/>
      <c r="V920" s="498"/>
      <c r="W920" s="498"/>
      <c r="X920" s="498"/>
      <c r="Y920" s="498"/>
      <c r="Z920" s="498"/>
      <c r="AA920" s="144"/>
      <c r="AB920" s="539"/>
      <c r="AC920" s="144"/>
      <c r="AD920" s="511"/>
      <c r="AE920" s="144"/>
      <c r="AF920" s="542"/>
      <c r="AI920" s="542"/>
    </row>
    <row r="921" spans="1:35" s="2" customFormat="1">
      <c r="A921" s="556"/>
      <c r="C921" s="525"/>
      <c r="D921" s="525"/>
      <c r="E921" s="498"/>
      <c r="F921" s="498"/>
      <c r="G921" s="498"/>
      <c r="H921" s="498"/>
      <c r="I921" s="498"/>
      <c r="J921" s="498"/>
      <c r="K921" s="498"/>
      <c r="L921" s="498"/>
      <c r="M921" s="498"/>
      <c r="N921" s="498"/>
      <c r="O921" s="498"/>
      <c r="P921" s="498"/>
      <c r="Q921" s="498"/>
      <c r="R921" s="498"/>
      <c r="S921" s="498"/>
      <c r="T921" s="498"/>
      <c r="U921" s="498"/>
      <c r="V921" s="498"/>
      <c r="W921" s="498"/>
      <c r="X921" s="498"/>
      <c r="Y921" s="498"/>
      <c r="Z921" s="498"/>
      <c r="AA921" s="542"/>
      <c r="AB921" s="551"/>
      <c r="AD921" s="509"/>
      <c r="AF921" s="542"/>
      <c r="AH921" s="538"/>
      <c r="AI921" s="538"/>
    </row>
    <row r="922" spans="1:35" s="2" customFormat="1">
      <c r="A922" s="589"/>
      <c r="C922" s="525"/>
      <c r="D922" s="525"/>
      <c r="E922" s="525"/>
      <c r="F922" s="525"/>
      <c r="G922" s="525"/>
      <c r="H922" s="525"/>
      <c r="I922" s="525"/>
      <c r="J922" s="525"/>
      <c r="K922" s="525"/>
      <c r="L922" s="525"/>
      <c r="M922" s="525"/>
      <c r="N922" s="525"/>
      <c r="O922" s="525"/>
      <c r="P922" s="525"/>
      <c r="Q922" s="525"/>
      <c r="R922" s="525"/>
      <c r="S922" s="525"/>
      <c r="T922" s="525"/>
      <c r="U922" s="525"/>
      <c r="V922" s="525"/>
      <c r="W922" s="525"/>
      <c r="X922" s="525"/>
      <c r="Y922" s="498"/>
      <c r="Z922" s="498"/>
      <c r="AA922" s="542"/>
      <c r="AB922" s="551"/>
      <c r="AD922" s="509"/>
      <c r="AF922" s="542"/>
      <c r="AH922" s="538"/>
      <c r="AI922" s="538"/>
    </row>
    <row r="923" spans="1:35" s="2" customFormat="1">
      <c r="A923" s="589"/>
      <c r="C923" s="525"/>
      <c r="D923" s="525"/>
      <c r="E923" s="525"/>
      <c r="F923" s="525"/>
      <c r="G923" s="525"/>
      <c r="H923" s="525"/>
      <c r="I923" s="525"/>
      <c r="J923" s="525"/>
      <c r="K923" s="525"/>
      <c r="L923" s="525"/>
      <c r="M923" s="525"/>
      <c r="N923" s="525"/>
      <c r="O923" s="525"/>
      <c r="P923" s="525"/>
      <c r="Q923" s="525"/>
      <c r="R923" s="525"/>
      <c r="S923" s="525"/>
      <c r="T923" s="525"/>
      <c r="U923" s="525"/>
      <c r="V923" s="525"/>
      <c r="W923" s="525"/>
      <c r="X923" s="525"/>
      <c r="Y923" s="498"/>
      <c r="Z923" s="498"/>
      <c r="AA923" s="542"/>
      <c r="AB923" s="551"/>
      <c r="AD923" s="509"/>
      <c r="AF923" s="542"/>
      <c r="AH923" s="538"/>
      <c r="AI923" s="538"/>
    </row>
    <row r="924" spans="1:35" s="2" customFormat="1">
      <c r="A924" s="589"/>
      <c r="C924" s="525"/>
      <c r="D924" s="525"/>
      <c r="E924" s="525"/>
      <c r="F924" s="525"/>
      <c r="G924" s="525"/>
      <c r="H924" s="525"/>
      <c r="I924" s="525"/>
      <c r="J924" s="525"/>
      <c r="K924" s="525"/>
      <c r="L924" s="525"/>
      <c r="M924" s="525"/>
      <c r="N924" s="525"/>
      <c r="O924" s="525"/>
      <c r="P924" s="525"/>
      <c r="Q924" s="525"/>
      <c r="R924" s="525"/>
      <c r="S924" s="525"/>
      <c r="T924" s="525"/>
      <c r="U924" s="525"/>
      <c r="V924" s="525"/>
      <c r="W924" s="525"/>
      <c r="X924" s="525"/>
      <c r="Y924" s="498"/>
      <c r="Z924" s="498"/>
      <c r="AA924" s="542"/>
      <c r="AB924" s="551"/>
      <c r="AD924" s="509"/>
      <c r="AF924" s="542"/>
      <c r="AH924" s="538"/>
      <c r="AI924" s="538"/>
    </row>
    <row r="925" spans="1:35" s="2" customFormat="1">
      <c r="A925" s="589"/>
      <c r="C925" s="525"/>
      <c r="D925" s="525"/>
      <c r="E925" s="525"/>
      <c r="F925" s="525"/>
      <c r="G925" s="525"/>
      <c r="H925" s="525"/>
      <c r="I925" s="525"/>
      <c r="J925" s="525"/>
      <c r="K925" s="525"/>
      <c r="L925" s="525"/>
      <c r="M925" s="525"/>
      <c r="N925" s="525"/>
      <c r="O925" s="525"/>
      <c r="P925" s="525"/>
      <c r="Q925" s="525"/>
      <c r="R925" s="525"/>
      <c r="S925" s="525"/>
      <c r="T925" s="525"/>
      <c r="U925" s="525"/>
      <c r="V925" s="525"/>
      <c r="W925" s="525"/>
      <c r="X925" s="525"/>
      <c r="Y925" s="498"/>
      <c r="Z925" s="498"/>
      <c r="AA925" s="551"/>
      <c r="AB925" s="551"/>
      <c r="AD925" s="509"/>
      <c r="AF925" s="498"/>
      <c r="AH925" s="538"/>
      <c r="AI925" s="538"/>
    </row>
    <row r="926" spans="1:35" s="2" customFormat="1">
      <c r="A926" s="589"/>
      <c r="C926" s="525"/>
      <c r="D926" s="525"/>
      <c r="E926" s="525"/>
      <c r="F926" s="525"/>
      <c r="G926" s="525"/>
      <c r="H926" s="525"/>
      <c r="I926" s="525"/>
      <c r="J926" s="525"/>
      <c r="K926" s="525"/>
      <c r="L926" s="525"/>
      <c r="M926" s="525"/>
      <c r="N926" s="525"/>
      <c r="O926" s="525"/>
      <c r="P926" s="525"/>
      <c r="Q926" s="525"/>
      <c r="R926" s="525"/>
      <c r="S926" s="525"/>
      <c r="T926" s="525"/>
      <c r="U926" s="525"/>
      <c r="V926" s="525"/>
      <c r="W926" s="525"/>
      <c r="X926" s="525"/>
      <c r="Y926" s="498"/>
      <c r="Z926" s="498"/>
      <c r="AA926" s="551"/>
      <c r="AB926" s="551"/>
      <c r="AD926" s="509"/>
      <c r="AF926" s="498"/>
      <c r="AH926" s="538"/>
      <c r="AI926" s="538"/>
    </row>
    <row r="927" spans="1:35" s="2" customFormat="1">
      <c r="A927" s="589"/>
      <c r="C927" s="525"/>
      <c r="D927" s="525"/>
      <c r="E927" s="525"/>
      <c r="F927" s="525"/>
      <c r="G927" s="525"/>
      <c r="H927" s="525"/>
      <c r="I927" s="525"/>
      <c r="J927" s="525"/>
      <c r="K927" s="525"/>
      <c r="L927" s="525"/>
      <c r="M927" s="525"/>
      <c r="N927" s="525"/>
      <c r="O927" s="525"/>
      <c r="P927" s="525"/>
      <c r="Q927" s="525"/>
      <c r="R927" s="525"/>
      <c r="S927" s="525"/>
      <c r="T927" s="525"/>
      <c r="U927" s="525"/>
      <c r="V927" s="525"/>
      <c r="W927" s="525"/>
      <c r="X927" s="525"/>
      <c r="Y927" s="498"/>
      <c r="Z927" s="498"/>
      <c r="AA927" s="551"/>
      <c r="AB927" s="551"/>
      <c r="AD927" s="509"/>
      <c r="AF927" s="498"/>
      <c r="AH927" s="538"/>
      <c r="AI927" s="538"/>
    </row>
    <row r="928" spans="1:35" s="2" customFormat="1">
      <c r="A928" s="589"/>
      <c r="C928" s="525"/>
      <c r="D928" s="525"/>
      <c r="E928" s="525"/>
      <c r="F928" s="525"/>
      <c r="G928" s="525"/>
      <c r="H928" s="525"/>
      <c r="I928" s="525"/>
      <c r="J928" s="525"/>
      <c r="K928" s="525"/>
      <c r="L928" s="525"/>
      <c r="M928" s="525"/>
      <c r="N928" s="525"/>
      <c r="O928" s="525"/>
      <c r="P928" s="525"/>
      <c r="Q928" s="525"/>
      <c r="R928" s="525"/>
      <c r="S928" s="525"/>
      <c r="T928" s="525"/>
      <c r="U928" s="525"/>
      <c r="V928" s="525"/>
      <c r="W928" s="525"/>
      <c r="X928" s="525"/>
      <c r="Y928" s="498"/>
      <c r="Z928" s="498"/>
      <c r="AA928" s="551"/>
      <c r="AB928" s="551"/>
      <c r="AD928" s="509"/>
      <c r="AF928" s="498"/>
      <c r="AG928" s="542"/>
      <c r="AH928" s="538"/>
      <c r="AI928" s="538"/>
    </row>
    <row r="929" spans="1:35" s="2" customFormat="1">
      <c r="A929" s="589"/>
      <c r="C929" s="525"/>
      <c r="D929" s="525"/>
      <c r="E929" s="525"/>
      <c r="F929" s="525"/>
      <c r="G929" s="525"/>
      <c r="H929" s="525"/>
      <c r="I929" s="525"/>
      <c r="J929" s="525"/>
      <c r="K929" s="525"/>
      <c r="L929" s="525"/>
      <c r="M929" s="525"/>
      <c r="N929" s="525"/>
      <c r="O929" s="525"/>
      <c r="P929" s="525"/>
      <c r="Q929" s="525"/>
      <c r="R929" s="525"/>
      <c r="S929" s="525"/>
      <c r="T929" s="525"/>
      <c r="U929" s="525"/>
      <c r="V929" s="525"/>
      <c r="W929" s="525"/>
      <c r="X929" s="525"/>
      <c r="Y929" s="498"/>
      <c r="Z929" s="498"/>
      <c r="AA929" s="551"/>
      <c r="AB929" s="551"/>
      <c r="AD929" s="509"/>
      <c r="AF929" s="498"/>
      <c r="AH929" s="538"/>
      <c r="AI929" s="538"/>
    </row>
    <row r="930" spans="1:35" s="2" customFormat="1">
      <c r="A930" s="651"/>
      <c r="B930" s="655"/>
      <c r="C930" s="498"/>
      <c r="D930" s="498"/>
      <c r="E930" s="498"/>
      <c r="F930" s="498"/>
      <c r="G930" s="498"/>
      <c r="H930" s="498"/>
      <c r="I930" s="498"/>
      <c r="J930" s="498"/>
      <c r="K930" s="498"/>
      <c r="L930" s="498"/>
      <c r="M930" s="498"/>
      <c r="N930" s="498"/>
      <c r="O930" s="498"/>
      <c r="P930" s="498"/>
      <c r="Q930" s="498"/>
      <c r="R930" s="498"/>
      <c r="S930" s="498"/>
      <c r="T930" s="498"/>
      <c r="U930" s="498"/>
      <c r="V930" s="498"/>
      <c r="W930" s="498"/>
      <c r="X930" s="498"/>
      <c r="Y930" s="498"/>
      <c r="Z930" s="498"/>
      <c r="AA930" s="551"/>
      <c r="AB930" s="539"/>
      <c r="AC930" s="144"/>
      <c r="AD930" s="511"/>
      <c r="AE930" s="144"/>
      <c r="AF930" s="144"/>
      <c r="AI930" s="144"/>
    </row>
    <row r="931" spans="1:35" s="2" customFormat="1">
      <c r="A931" s="556"/>
      <c r="C931" s="525"/>
      <c r="D931" s="525"/>
      <c r="E931" s="498"/>
      <c r="F931" s="498"/>
      <c r="G931" s="498"/>
      <c r="H931" s="498"/>
      <c r="I931" s="498"/>
      <c r="J931" s="525"/>
      <c r="K931" s="498"/>
      <c r="L931" s="498"/>
      <c r="M931" s="498"/>
      <c r="N931" s="498"/>
      <c r="O931" s="498"/>
      <c r="P931" s="498"/>
      <c r="Q931" s="498"/>
      <c r="R931" s="498"/>
      <c r="S931" s="498"/>
      <c r="T931" s="498"/>
      <c r="U931" s="498"/>
      <c r="V931" s="498"/>
      <c r="W931" s="498"/>
      <c r="X931" s="498"/>
      <c r="Y931" s="498"/>
      <c r="Z931" s="498"/>
      <c r="AA931" s="551"/>
      <c r="AB931" s="551"/>
      <c r="AD931" s="509"/>
      <c r="AF931" s="498"/>
      <c r="AH931" s="538"/>
      <c r="AI931" s="538"/>
    </row>
    <row r="932" spans="1:35" s="2" customFormat="1">
      <c r="A932" s="589"/>
      <c r="C932" s="525"/>
      <c r="D932" s="525"/>
      <c r="E932" s="525"/>
      <c r="F932" s="525"/>
      <c r="G932" s="525"/>
      <c r="H932" s="525"/>
      <c r="I932" s="525"/>
      <c r="J932" s="525"/>
      <c r="K932" s="525"/>
      <c r="L932" s="525"/>
      <c r="M932" s="525"/>
      <c r="N932" s="525"/>
      <c r="O932" s="525"/>
      <c r="P932" s="525"/>
      <c r="Q932" s="525"/>
      <c r="R932" s="525"/>
      <c r="S932" s="525"/>
      <c r="T932" s="525"/>
      <c r="U932" s="525"/>
      <c r="V932" s="525"/>
      <c r="W932" s="525"/>
      <c r="X932" s="525"/>
      <c r="Y932" s="498"/>
      <c r="Z932" s="498"/>
      <c r="AA932" s="551"/>
      <c r="AB932" s="551"/>
      <c r="AD932" s="509"/>
      <c r="AF932" s="498"/>
      <c r="AH932" s="538"/>
      <c r="AI932" s="538"/>
    </row>
    <row r="933" spans="1:35" s="2" customFormat="1">
      <c r="A933" s="589"/>
      <c r="C933" s="525"/>
      <c r="D933" s="525"/>
      <c r="E933" s="525"/>
      <c r="F933" s="525"/>
      <c r="G933" s="525"/>
      <c r="H933" s="525"/>
      <c r="I933" s="525"/>
      <c r="J933" s="525"/>
      <c r="K933" s="525"/>
      <c r="L933" s="525"/>
      <c r="M933" s="525"/>
      <c r="N933" s="525"/>
      <c r="O933" s="525"/>
      <c r="P933" s="525"/>
      <c r="Q933" s="525"/>
      <c r="R933" s="525"/>
      <c r="S933" s="525"/>
      <c r="T933" s="525"/>
      <c r="U933" s="525"/>
      <c r="V933" s="525"/>
      <c r="W933" s="525"/>
      <c r="X933" s="525"/>
      <c r="Y933" s="498"/>
      <c r="Z933" s="498"/>
      <c r="AA933" s="551"/>
      <c r="AB933" s="551"/>
      <c r="AD933" s="509"/>
      <c r="AF933" s="498"/>
      <c r="AH933" s="538"/>
      <c r="AI933" s="538"/>
    </row>
    <row r="934" spans="1:35" s="2" customFormat="1">
      <c r="A934" s="589"/>
      <c r="C934" s="525"/>
      <c r="D934" s="525"/>
      <c r="E934" s="525"/>
      <c r="F934" s="525"/>
      <c r="G934" s="525"/>
      <c r="H934" s="525"/>
      <c r="I934" s="525"/>
      <c r="J934" s="525"/>
      <c r="K934" s="525"/>
      <c r="L934" s="525"/>
      <c r="M934" s="525"/>
      <c r="N934" s="525"/>
      <c r="O934" s="525"/>
      <c r="P934" s="525"/>
      <c r="Q934" s="525"/>
      <c r="R934" s="525"/>
      <c r="S934" s="525"/>
      <c r="T934" s="525"/>
      <c r="U934" s="525"/>
      <c r="V934" s="525"/>
      <c r="W934" s="525"/>
      <c r="X934" s="525"/>
      <c r="Y934" s="498"/>
      <c r="Z934" s="498"/>
      <c r="AA934" s="551"/>
      <c r="AB934" s="551"/>
      <c r="AD934" s="509"/>
      <c r="AF934" s="498"/>
      <c r="AH934" s="538"/>
      <c r="AI934" s="538"/>
    </row>
    <row r="935" spans="1:35" s="2" customFormat="1">
      <c r="A935" s="589"/>
      <c r="C935" s="525"/>
      <c r="D935" s="525"/>
      <c r="E935" s="525"/>
      <c r="F935" s="525"/>
      <c r="G935" s="525"/>
      <c r="H935" s="525"/>
      <c r="I935" s="525"/>
      <c r="J935" s="525"/>
      <c r="K935" s="525"/>
      <c r="L935" s="525"/>
      <c r="M935" s="525"/>
      <c r="N935" s="525"/>
      <c r="O935" s="525"/>
      <c r="P935" s="525"/>
      <c r="Q935" s="525"/>
      <c r="R935" s="525"/>
      <c r="S935" s="525"/>
      <c r="T935" s="525"/>
      <c r="U935" s="525"/>
      <c r="V935" s="525"/>
      <c r="W935" s="525"/>
      <c r="X935" s="525"/>
      <c r="Y935" s="498"/>
      <c r="Z935" s="498"/>
      <c r="AA935" s="542"/>
      <c r="AB935" s="551"/>
      <c r="AD935" s="509"/>
      <c r="AF935" s="498"/>
      <c r="AH935" s="538"/>
      <c r="AI935" s="538"/>
    </row>
    <row r="936" spans="1:35" s="2" customFormat="1">
      <c r="A936" s="589"/>
      <c r="C936" s="525"/>
      <c r="D936" s="525"/>
      <c r="E936" s="525"/>
      <c r="F936" s="525"/>
      <c r="G936" s="525"/>
      <c r="H936" s="525"/>
      <c r="I936" s="525"/>
      <c r="J936" s="525"/>
      <c r="K936" s="525"/>
      <c r="L936" s="525"/>
      <c r="M936" s="525"/>
      <c r="N936" s="525"/>
      <c r="O936" s="525"/>
      <c r="P936" s="525"/>
      <c r="Q936" s="525"/>
      <c r="R936" s="525"/>
      <c r="S936" s="525"/>
      <c r="T936" s="525"/>
      <c r="U936" s="525"/>
      <c r="V936" s="525"/>
      <c r="W936" s="525"/>
      <c r="X936" s="525"/>
      <c r="Y936" s="498"/>
      <c r="Z936" s="498"/>
      <c r="AA936" s="542"/>
      <c r="AB936" s="551"/>
      <c r="AD936" s="509"/>
      <c r="AF936" s="498"/>
      <c r="AH936" s="538"/>
      <c r="AI936" s="538"/>
    </row>
    <row r="937" spans="1:35" s="2" customFormat="1">
      <c r="A937" s="589"/>
      <c r="C937" s="525"/>
      <c r="D937" s="525"/>
      <c r="E937" s="525"/>
      <c r="F937" s="525"/>
      <c r="G937" s="525"/>
      <c r="H937" s="525"/>
      <c r="I937" s="525"/>
      <c r="J937" s="525"/>
      <c r="K937" s="525"/>
      <c r="L937" s="525"/>
      <c r="M937" s="525"/>
      <c r="N937" s="525"/>
      <c r="O937" s="525"/>
      <c r="P937" s="525"/>
      <c r="Q937" s="525"/>
      <c r="R937" s="525"/>
      <c r="S937" s="525"/>
      <c r="T937" s="525"/>
      <c r="U937" s="525"/>
      <c r="V937" s="525"/>
      <c r="W937" s="525"/>
      <c r="X937" s="525"/>
      <c r="Y937" s="498"/>
      <c r="Z937" s="498"/>
      <c r="AA937" s="542"/>
      <c r="AB937" s="551"/>
      <c r="AD937" s="509"/>
      <c r="AF937" s="498"/>
      <c r="AH937" s="538"/>
      <c r="AI937" s="538"/>
    </row>
    <row r="938" spans="1:35" s="2" customFormat="1">
      <c r="A938" s="589"/>
      <c r="C938" s="525"/>
      <c r="D938" s="525"/>
      <c r="E938" s="525"/>
      <c r="F938" s="525"/>
      <c r="G938" s="525"/>
      <c r="H938" s="525"/>
      <c r="I938" s="525"/>
      <c r="J938" s="525"/>
      <c r="K938" s="525"/>
      <c r="L938" s="525"/>
      <c r="M938" s="525"/>
      <c r="N938" s="525"/>
      <c r="O938" s="525"/>
      <c r="P938" s="525"/>
      <c r="Q938" s="525"/>
      <c r="R938" s="525"/>
      <c r="S938" s="525"/>
      <c r="T938" s="525"/>
      <c r="U938" s="525"/>
      <c r="V938" s="525"/>
      <c r="W938" s="525"/>
      <c r="X938" s="525"/>
      <c r="Y938" s="498"/>
      <c r="Z938" s="498"/>
      <c r="AA938" s="542"/>
      <c r="AB938" s="551"/>
      <c r="AD938" s="509"/>
      <c r="AF938" s="498"/>
      <c r="AG938" s="498"/>
      <c r="AH938" s="538"/>
      <c r="AI938" s="538"/>
    </row>
    <row r="939" spans="1:35" s="2" customFormat="1">
      <c r="A939" s="589"/>
      <c r="C939" s="525"/>
      <c r="D939" s="525"/>
      <c r="E939" s="525"/>
      <c r="F939" s="525"/>
      <c r="G939" s="525"/>
      <c r="H939" s="525"/>
      <c r="I939" s="525"/>
      <c r="J939" s="525"/>
      <c r="K939" s="525"/>
      <c r="L939" s="525"/>
      <c r="M939" s="525"/>
      <c r="N939" s="525"/>
      <c r="O939" s="525"/>
      <c r="P939" s="525"/>
      <c r="Q939" s="525"/>
      <c r="R939" s="525"/>
      <c r="S939" s="525"/>
      <c r="T939" s="525"/>
      <c r="U939" s="525"/>
      <c r="V939" s="525"/>
      <c r="W939" s="525"/>
      <c r="X939" s="525"/>
      <c r="Y939" s="498"/>
      <c r="Z939" s="498"/>
      <c r="AA939" s="542"/>
      <c r="AB939" s="551"/>
      <c r="AD939" s="509"/>
      <c r="AF939" s="498"/>
      <c r="AH939" s="538"/>
      <c r="AI939" s="538"/>
    </row>
    <row r="940" spans="1:35" s="2" customFormat="1" ht="16.5" customHeight="1">
      <c r="A940" s="1111"/>
      <c r="B940" s="1111"/>
      <c r="C940" s="1111"/>
      <c r="D940" s="1111"/>
      <c r="E940" s="1111"/>
      <c r="F940" s="1111"/>
      <c r="G940" s="1111"/>
      <c r="H940" s="1111"/>
      <c r="I940" s="1111"/>
      <c r="J940" s="1111"/>
      <c r="K940" s="1111"/>
      <c r="L940" s="1111"/>
      <c r="M940" s="1111"/>
      <c r="N940" s="1111"/>
      <c r="O940" s="1111"/>
      <c r="P940" s="1111"/>
      <c r="Q940" s="1111"/>
      <c r="R940" s="1111"/>
      <c r="S940" s="1111"/>
      <c r="T940" s="1111"/>
      <c r="U940" s="1111"/>
      <c r="V940" s="1111"/>
      <c r="W940" s="1111"/>
      <c r="X940" s="1111"/>
      <c r="Y940" s="1111"/>
      <c r="Z940" s="1111"/>
      <c r="AA940" s="1111"/>
      <c r="AB940" s="1111"/>
      <c r="AC940" s="1111"/>
      <c r="AD940" s="1111"/>
      <c r="AE940" s="1111"/>
    </row>
    <row r="941" spans="1:35" s="2" customFormat="1">
      <c r="A941" s="144"/>
      <c r="C941" s="144"/>
      <c r="D941" s="144"/>
      <c r="E941" s="144"/>
      <c r="F941" s="144"/>
      <c r="G941" s="144"/>
      <c r="H941" s="144"/>
      <c r="I941" s="144"/>
      <c r="J941" s="144"/>
      <c r="K941" s="144"/>
      <c r="L941" s="144"/>
      <c r="M941" s="144"/>
      <c r="N941" s="144"/>
      <c r="O941" s="144"/>
      <c r="P941" s="144"/>
      <c r="Q941" s="144"/>
      <c r="R941" s="144"/>
      <c r="S941" s="144"/>
      <c r="T941" s="144"/>
      <c r="U941" s="144"/>
      <c r="V941" s="144"/>
    </row>
    <row r="942" spans="1:35" s="2" customFormat="1">
      <c r="A942" s="144"/>
      <c r="C942" s="144"/>
      <c r="D942" s="144"/>
      <c r="E942" s="144"/>
      <c r="F942" s="144"/>
      <c r="G942" s="144"/>
      <c r="H942" s="144"/>
      <c r="I942" s="144"/>
      <c r="J942" s="144"/>
      <c r="K942" s="144"/>
      <c r="L942" s="144"/>
      <c r="M942" s="144"/>
      <c r="N942" s="144"/>
      <c r="O942" s="144"/>
      <c r="P942" s="144"/>
      <c r="Q942" s="144"/>
      <c r="R942" s="144"/>
      <c r="S942" s="144"/>
      <c r="T942" s="144"/>
      <c r="U942" s="144"/>
      <c r="V942" s="144"/>
    </row>
    <row r="943" spans="1:35" s="2" customFormat="1">
      <c r="A943" s="144"/>
      <c r="C943" s="144"/>
      <c r="D943" s="144"/>
      <c r="E943" s="144"/>
      <c r="F943" s="144"/>
      <c r="G943" s="144"/>
      <c r="H943" s="144"/>
      <c r="I943" s="144"/>
      <c r="J943" s="144"/>
      <c r="K943" s="144"/>
      <c r="L943" s="144"/>
      <c r="M943" s="144"/>
      <c r="N943" s="144"/>
      <c r="O943" s="144"/>
      <c r="P943" s="144"/>
      <c r="Q943" s="144"/>
      <c r="R943" s="144"/>
      <c r="S943" s="144"/>
      <c r="T943" s="144"/>
      <c r="U943" s="144"/>
      <c r="V943" s="144"/>
    </row>
    <row r="944" spans="1:35"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pans="1:22" s="2" customFormat="1"/>
    <row r="962" spans="1:22">
      <c r="A962" s="15"/>
      <c r="C962" s="15"/>
      <c r="D962" s="15"/>
      <c r="E962" s="15"/>
      <c r="F962" s="15"/>
      <c r="G962" s="15"/>
      <c r="H962" s="15"/>
      <c r="I962" s="15"/>
      <c r="J962" s="15"/>
      <c r="K962" s="15"/>
      <c r="L962" s="15"/>
      <c r="M962" s="15"/>
      <c r="N962" s="15"/>
      <c r="O962" s="15"/>
      <c r="P962" s="15"/>
      <c r="Q962" s="15"/>
      <c r="R962" s="15"/>
      <c r="S962" s="15"/>
      <c r="T962" s="15"/>
      <c r="U962" s="15"/>
      <c r="V962" s="15"/>
    </row>
    <row r="963" spans="1:22">
      <c r="A963" s="15"/>
      <c r="C963" s="15"/>
      <c r="D963" s="15"/>
      <c r="E963" s="15"/>
      <c r="F963" s="15"/>
      <c r="G963" s="15"/>
      <c r="H963" s="15"/>
      <c r="I963" s="15"/>
      <c r="J963" s="15"/>
      <c r="K963" s="15"/>
      <c r="L963" s="15"/>
      <c r="M963" s="15"/>
      <c r="N963" s="15"/>
      <c r="O963" s="15"/>
      <c r="P963" s="15"/>
      <c r="Q963" s="15"/>
      <c r="R963" s="15"/>
      <c r="S963" s="15"/>
      <c r="T963" s="15"/>
      <c r="U963" s="15"/>
      <c r="V963" s="15"/>
    </row>
    <row r="964" spans="1:22">
      <c r="A964" s="15"/>
      <c r="C964" s="15"/>
      <c r="D964" s="15"/>
      <c r="E964" s="15"/>
      <c r="F964" s="15"/>
      <c r="G964" s="15"/>
      <c r="H964" s="15"/>
      <c r="I964" s="15"/>
      <c r="J964" s="15"/>
      <c r="K964" s="15"/>
      <c r="L964" s="15"/>
      <c r="M964" s="15"/>
      <c r="N964" s="15"/>
      <c r="O964" s="15"/>
      <c r="P964" s="15"/>
      <c r="Q964" s="15"/>
      <c r="R964" s="15"/>
      <c r="S964" s="15"/>
      <c r="T964" s="15"/>
      <c r="U964" s="15"/>
      <c r="V964" s="15"/>
    </row>
    <row r="965" spans="1:22">
      <c r="A965" s="15"/>
      <c r="C965" s="15"/>
      <c r="D965" s="15"/>
      <c r="E965" s="15"/>
      <c r="F965" s="15"/>
      <c r="G965" s="15"/>
      <c r="H965" s="15"/>
      <c r="I965" s="15"/>
      <c r="J965" s="15"/>
      <c r="K965" s="15"/>
      <c r="L965" s="15"/>
      <c r="M965" s="15"/>
      <c r="N965" s="15"/>
      <c r="O965" s="15"/>
      <c r="P965" s="15"/>
      <c r="Q965" s="15"/>
      <c r="R965" s="15"/>
      <c r="S965" s="15"/>
      <c r="T965" s="15"/>
      <c r="U965" s="15"/>
      <c r="V965" s="15"/>
    </row>
    <row r="966" spans="1:22">
      <c r="A966" s="15"/>
      <c r="C966" s="15"/>
      <c r="D966" s="15"/>
      <c r="E966" s="15"/>
      <c r="F966" s="15"/>
      <c r="G966" s="15"/>
      <c r="H966" s="15"/>
      <c r="I966" s="15"/>
      <c r="J966" s="15"/>
      <c r="K966" s="15"/>
      <c r="L966" s="15"/>
      <c r="M966" s="15"/>
      <c r="N966" s="15"/>
      <c r="O966" s="15"/>
      <c r="P966" s="15"/>
      <c r="Q966" s="15"/>
      <c r="R966" s="15"/>
      <c r="S966" s="15"/>
      <c r="T966" s="15"/>
      <c r="U966" s="15"/>
      <c r="V966" s="15"/>
    </row>
    <row r="967" spans="1:22">
      <c r="A967" s="15"/>
      <c r="C967" s="15"/>
      <c r="D967" s="15"/>
      <c r="E967" s="15"/>
      <c r="F967" s="15"/>
      <c r="G967" s="15"/>
      <c r="H967" s="15"/>
      <c r="I967" s="15"/>
      <c r="J967" s="15"/>
      <c r="K967" s="15"/>
      <c r="L967" s="15"/>
      <c r="M967" s="15"/>
      <c r="N967" s="15"/>
      <c r="O967" s="15"/>
      <c r="P967" s="15"/>
      <c r="Q967" s="15"/>
      <c r="R967" s="15"/>
      <c r="S967" s="15"/>
      <c r="T967" s="15"/>
      <c r="U967" s="15"/>
      <c r="V967" s="15"/>
    </row>
    <row r="968" spans="1:22">
      <c r="A968" s="15"/>
      <c r="C968" s="15"/>
      <c r="D968" s="15"/>
      <c r="E968" s="15"/>
      <c r="F968" s="15"/>
      <c r="G968" s="15"/>
      <c r="H968" s="15"/>
      <c r="I968" s="15"/>
      <c r="J968" s="15"/>
      <c r="K968" s="15"/>
      <c r="L968" s="15"/>
      <c r="M968" s="15"/>
      <c r="N968" s="15"/>
      <c r="O968" s="15"/>
      <c r="P968" s="15"/>
      <c r="Q968" s="15"/>
      <c r="R968" s="15"/>
      <c r="S968" s="15"/>
      <c r="T968" s="15"/>
      <c r="U968" s="15"/>
      <c r="V968" s="15"/>
    </row>
    <row r="969" spans="1:22">
      <c r="A969" s="15"/>
      <c r="C969" s="15"/>
      <c r="D969" s="15"/>
      <c r="E969" s="15"/>
      <c r="F969" s="15"/>
      <c r="G969" s="15"/>
      <c r="H969" s="15"/>
      <c r="I969" s="15"/>
      <c r="J969" s="15"/>
      <c r="K969" s="15"/>
      <c r="L969" s="15"/>
      <c r="M969" s="15"/>
      <c r="N969" s="15"/>
      <c r="O969" s="15"/>
      <c r="P969" s="15"/>
      <c r="Q969" s="15"/>
      <c r="R969" s="15"/>
      <c r="S969" s="15"/>
      <c r="T969" s="15"/>
      <c r="U969" s="15"/>
      <c r="V969" s="15"/>
    </row>
    <row r="970" spans="1:22">
      <c r="A970" s="15"/>
      <c r="C970" s="15"/>
      <c r="D970" s="15"/>
      <c r="E970" s="15"/>
      <c r="F970" s="15"/>
      <c r="G970" s="15"/>
      <c r="H970" s="15"/>
      <c r="I970" s="15"/>
      <c r="J970" s="15"/>
      <c r="K970" s="15"/>
      <c r="L970" s="15"/>
      <c r="M970" s="15"/>
      <c r="N970" s="15"/>
      <c r="O970" s="15"/>
      <c r="P970" s="15"/>
      <c r="Q970" s="15"/>
      <c r="R970" s="15"/>
      <c r="S970" s="15"/>
      <c r="T970" s="15"/>
      <c r="U970" s="15"/>
      <c r="V970" s="15"/>
    </row>
    <row r="971" spans="1:22">
      <c r="A971" s="15"/>
      <c r="C971" s="15"/>
      <c r="D971" s="15"/>
      <c r="E971" s="15"/>
      <c r="F971" s="15"/>
      <c r="G971" s="15"/>
      <c r="H971" s="15"/>
      <c r="I971" s="15"/>
      <c r="J971" s="15"/>
      <c r="K971" s="15"/>
      <c r="L971" s="15"/>
      <c r="M971" s="15"/>
      <c r="N971" s="15"/>
      <c r="O971" s="15"/>
      <c r="P971" s="15"/>
      <c r="Q971" s="15"/>
      <c r="R971" s="15"/>
      <c r="S971" s="15"/>
      <c r="T971" s="15"/>
      <c r="U971" s="15"/>
      <c r="V971" s="15"/>
    </row>
    <row r="972" spans="1:22">
      <c r="A972" s="15"/>
      <c r="C972" s="15"/>
      <c r="D972" s="15"/>
      <c r="E972" s="15"/>
      <c r="F972" s="15"/>
      <c r="G972" s="15"/>
      <c r="H972" s="15"/>
      <c r="I972" s="15"/>
      <c r="J972" s="15"/>
      <c r="K972" s="15"/>
      <c r="L972" s="15"/>
      <c r="M972" s="15"/>
      <c r="N972" s="15"/>
      <c r="O972" s="15"/>
      <c r="P972" s="15"/>
      <c r="Q972" s="15"/>
      <c r="R972" s="15"/>
      <c r="S972" s="15"/>
      <c r="T972" s="15"/>
      <c r="U972" s="15"/>
      <c r="V972" s="15"/>
    </row>
    <row r="973" spans="1:22">
      <c r="A973" s="15"/>
      <c r="C973" s="15"/>
      <c r="D973" s="15"/>
      <c r="E973" s="15"/>
      <c r="F973" s="15"/>
      <c r="G973" s="15"/>
      <c r="H973" s="15"/>
      <c r="I973" s="15"/>
      <c r="J973" s="15"/>
      <c r="K973" s="15"/>
      <c r="L973" s="15"/>
      <c r="M973" s="15"/>
      <c r="N973" s="15"/>
      <c r="O973" s="15"/>
      <c r="P973" s="15"/>
      <c r="Q973" s="15"/>
      <c r="R973" s="15"/>
      <c r="S973" s="15"/>
      <c r="T973" s="15"/>
      <c r="U973" s="15"/>
      <c r="V973" s="15"/>
    </row>
    <row r="974" spans="1:22">
      <c r="A974" s="15"/>
      <c r="C974" s="15"/>
      <c r="D974" s="15"/>
      <c r="E974" s="15"/>
      <c r="F974" s="15"/>
      <c r="G974" s="15"/>
      <c r="H974" s="15"/>
      <c r="I974" s="15"/>
      <c r="J974" s="15"/>
      <c r="K974" s="15"/>
      <c r="L974" s="15"/>
      <c r="M974" s="15"/>
      <c r="N974" s="15"/>
      <c r="O974" s="15"/>
      <c r="P974" s="15"/>
      <c r="Q974" s="15"/>
      <c r="R974" s="15"/>
      <c r="S974" s="15"/>
      <c r="T974" s="15"/>
      <c r="U974" s="15"/>
      <c r="V974" s="15"/>
    </row>
    <row r="975" spans="1:22">
      <c r="A975" s="15"/>
      <c r="C975" s="15"/>
      <c r="D975" s="15"/>
      <c r="E975" s="15"/>
      <c r="F975" s="15"/>
      <c r="G975" s="15"/>
      <c r="H975" s="15"/>
      <c r="I975" s="15"/>
      <c r="J975" s="15"/>
      <c r="K975" s="15"/>
      <c r="L975" s="15"/>
      <c r="M975" s="15"/>
      <c r="N975" s="15"/>
      <c r="O975" s="15"/>
      <c r="P975" s="15"/>
      <c r="Q975" s="15"/>
      <c r="R975" s="15"/>
      <c r="S975" s="15"/>
      <c r="T975" s="15"/>
      <c r="U975" s="15"/>
      <c r="V975" s="15"/>
    </row>
    <row r="976" spans="1:22">
      <c r="A976" s="15"/>
      <c r="C976" s="15"/>
      <c r="D976" s="15"/>
      <c r="E976" s="15"/>
      <c r="F976" s="15"/>
      <c r="G976" s="15"/>
      <c r="H976" s="15"/>
      <c r="I976" s="15"/>
      <c r="J976" s="15"/>
      <c r="K976" s="15"/>
      <c r="L976" s="15"/>
      <c r="M976" s="15"/>
      <c r="N976" s="15"/>
      <c r="O976" s="15"/>
      <c r="P976" s="15"/>
      <c r="Q976" s="15"/>
      <c r="R976" s="15"/>
      <c r="S976" s="15"/>
      <c r="T976" s="15"/>
      <c r="U976" s="15"/>
      <c r="V976" s="15"/>
    </row>
    <row r="977" spans="1:22">
      <c r="A977" s="15"/>
      <c r="C977" s="15"/>
      <c r="D977" s="15"/>
      <c r="E977" s="15"/>
      <c r="F977" s="15"/>
      <c r="G977" s="15"/>
      <c r="H977" s="15"/>
      <c r="I977" s="15"/>
      <c r="J977" s="15"/>
      <c r="K977" s="15"/>
      <c r="L977" s="15"/>
      <c r="M977" s="15"/>
      <c r="N977" s="15"/>
      <c r="O977" s="15"/>
      <c r="P977" s="15"/>
      <c r="Q977" s="15"/>
      <c r="R977" s="15"/>
      <c r="S977" s="15"/>
      <c r="T977" s="15"/>
      <c r="U977" s="15"/>
      <c r="V977" s="15"/>
    </row>
    <row r="978" spans="1:22">
      <c r="A978" s="15"/>
      <c r="C978" s="15"/>
      <c r="D978" s="15"/>
      <c r="E978" s="15"/>
      <c r="F978" s="15"/>
      <c r="G978" s="15"/>
      <c r="H978" s="15"/>
      <c r="I978" s="15"/>
      <c r="J978" s="15"/>
      <c r="K978" s="15"/>
      <c r="L978" s="15"/>
      <c r="M978" s="15"/>
      <c r="N978" s="15"/>
      <c r="O978" s="15"/>
      <c r="P978" s="15"/>
      <c r="Q978" s="15"/>
      <c r="R978" s="15"/>
      <c r="S978" s="15"/>
      <c r="T978" s="15"/>
      <c r="U978" s="15"/>
      <c r="V978" s="15"/>
    </row>
    <row r="979" spans="1:22">
      <c r="A979" s="15"/>
      <c r="C979" s="15"/>
      <c r="D979" s="15"/>
      <c r="E979" s="15"/>
      <c r="F979" s="15"/>
      <c r="G979" s="15"/>
      <c r="H979" s="15"/>
      <c r="I979" s="15"/>
      <c r="J979" s="15"/>
      <c r="K979" s="15"/>
      <c r="L979" s="15"/>
      <c r="M979" s="15"/>
      <c r="N979" s="15"/>
      <c r="O979" s="15"/>
      <c r="P979" s="15"/>
      <c r="Q979" s="15"/>
      <c r="R979" s="15"/>
      <c r="S979" s="15"/>
      <c r="T979" s="15"/>
      <c r="U979" s="15"/>
      <c r="V979" s="15"/>
    </row>
    <row r="980" spans="1:22">
      <c r="A980" s="15"/>
      <c r="C980" s="15"/>
      <c r="D980" s="15"/>
      <c r="E980" s="15"/>
      <c r="F980" s="15"/>
      <c r="G980" s="15"/>
      <c r="H980" s="15"/>
      <c r="I980" s="15"/>
      <c r="J980" s="15"/>
      <c r="K980" s="15"/>
      <c r="L980" s="15"/>
      <c r="M980" s="15"/>
      <c r="N980" s="15"/>
      <c r="O980" s="15"/>
      <c r="P980" s="15"/>
      <c r="Q980" s="15"/>
      <c r="R980" s="15"/>
      <c r="S980" s="15"/>
      <c r="T980" s="15"/>
      <c r="U980" s="15"/>
      <c r="V980" s="15"/>
    </row>
    <row r="981" spans="1:22">
      <c r="A981" s="15"/>
      <c r="C981" s="15"/>
      <c r="D981" s="15"/>
      <c r="E981" s="15"/>
      <c r="F981" s="15"/>
      <c r="G981" s="15"/>
      <c r="H981" s="15"/>
      <c r="I981" s="15"/>
      <c r="J981" s="15"/>
      <c r="K981" s="15"/>
      <c r="L981" s="15"/>
      <c r="M981" s="15"/>
      <c r="N981" s="15"/>
      <c r="O981" s="15"/>
      <c r="P981" s="15"/>
      <c r="Q981" s="15"/>
      <c r="R981" s="15"/>
      <c r="S981" s="15"/>
      <c r="T981" s="15"/>
      <c r="U981" s="15"/>
      <c r="V981" s="15"/>
    </row>
    <row r="982" spans="1:22">
      <c r="A982" s="15"/>
      <c r="C982" s="15"/>
      <c r="D982" s="15"/>
      <c r="E982" s="15"/>
      <c r="F982" s="15"/>
      <c r="G982" s="15"/>
      <c r="H982" s="15"/>
      <c r="I982" s="15"/>
      <c r="J982" s="15"/>
      <c r="K982" s="15"/>
      <c r="L982" s="15"/>
      <c r="M982" s="15"/>
      <c r="N982" s="15"/>
      <c r="O982" s="15"/>
      <c r="P982" s="15"/>
      <c r="Q982" s="15"/>
      <c r="R982" s="15"/>
      <c r="S982" s="15"/>
      <c r="T982" s="15"/>
      <c r="U982" s="15"/>
      <c r="V982" s="15"/>
    </row>
    <row r="983" spans="1:22">
      <c r="A983" s="15"/>
      <c r="C983" s="15"/>
      <c r="D983" s="15"/>
      <c r="E983" s="15"/>
      <c r="F983" s="15"/>
      <c r="G983" s="15"/>
      <c r="H983" s="15"/>
      <c r="I983" s="15"/>
      <c r="J983" s="15"/>
      <c r="K983" s="15"/>
      <c r="L983" s="15"/>
      <c r="M983" s="15"/>
      <c r="N983" s="15"/>
      <c r="O983" s="15"/>
      <c r="P983" s="15"/>
      <c r="Q983" s="15"/>
      <c r="R983" s="15"/>
      <c r="S983" s="15"/>
      <c r="T983" s="15"/>
      <c r="U983" s="15"/>
      <c r="V983" s="15"/>
    </row>
    <row r="984" spans="1:22">
      <c r="A984" s="15"/>
      <c r="C984" s="15"/>
      <c r="D984" s="15"/>
      <c r="E984" s="15"/>
      <c r="F984" s="15"/>
      <c r="G984" s="15"/>
      <c r="H984" s="15"/>
      <c r="I984" s="15"/>
      <c r="J984" s="15"/>
      <c r="K984" s="15"/>
      <c r="L984" s="15"/>
      <c r="M984" s="15"/>
      <c r="N984" s="15"/>
      <c r="O984" s="15"/>
      <c r="P984" s="15"/>
      <c r="Q984" s="15"/>
      <c r="R984" s="15"/>
      <c r="S984" s="15"/>
      <c r="T984" s="15"/>
      <c r="U984" s="15"/>
      <c r="V984" s="15"/>
    </row>
    <row r="985" spans="1:22">
      <c r="A985" s="15"/>
      <c r="C985" s="15"/>
      <c r="D985" s="15"/>
      <c r="E985" s="15"/>
      <c r="F985" s="15"/>
      <c r="G985" s="15"/>
      <c r="H985" s="15"/>
      <c r="I985" s="15"/>
      <c r="J985" s="15"/>
      <c r="K985" s="15"/>
      <c r="L985" s="15"/>
      <c r="M985" s="15"/>
      <c r="N985" s="15"/>
      <c r="O985" s="15"/>
      <c r="P985" s="15"/>
      <c r="Q985" s="15"/>
      <c r="R985" s="15"/>
      <c r="S985" s="15"/>
      <c r="T985" s="15"/>
      <c r="U985" s="15"/>
      <c r="V985" s="15"/>
    </row>
    <row r="986" spans="1:22">
      <c r="A986" s="15"/>
      <c r="C986" s="15"/>
      <c r="D986" s="15"/>
      <c r="E986" s="15"/>
      <c r="F986" s="15"/>
      <c r="G986" s="15"/>
      <c r="H986" s="15"/>
      <c r="I986" s="15"/>
      <c r="J986" s="15"/>
      <c r="K986" s="15"/>
      <c r="L986" s="15"/>
      <c r="M986" s="15"/>
      <c r="N986" s="15"/>
      <c r="O986" s="15"/>
      <c r="P986" s="15"/>
      <c r="Q986" s="15"/>
      <c r="R986" s="15"/>
      <c r="S986" s="15"/>
      <c r="T986" s="15"/>
      <c r="U986" s="15"/>
      <c r="V986" s="15"/>
    </row>
    <row r="987" spans="1:22">
      <c r="A987" s="15"/>
      <c r="C987" s="15"/>
      <c r="D987" s="15"/>
      <c r="E987" s="15"/>
      <c r="F987" s="15"/>
      <c r="G987" s="15"/>
      <c r="H987" s="15"/>
      <c r="I987" s="15"/>
      <c r="J987" s="15"/>
      <c r="K987" s="15"/>
      <c r="L987" s="15"/>
      <c r="M987" s="15"/>
      <c r="N987" s="15"/>
      <c r="O987" s="15"/>
      <c r="P987" s="15"/>
      <c r="Q987" s="15"/>
      <c r="R987" s="15"/>
      <c r="S987" s="15"/>
      <c r="T987" s="15"/>
      <c r="U987" s="15"/>
      <c r="V987" s="15"/>
    </row>
    <row r="988" spans="1:22">
      <c r="A988" s="15"/>
      <c r="C988" s="15"/>
      <c r="D988" s="15"/>
      <c r="E988" s="15"/>
      <c r="F988" s="15"/>
      <c r="G988" s="15"/>
      <c r="H988" s="15"/>
      <c r="I988" s="15"/>
      <c r="J988" s="15"/>
      <c r="K988" s="15"/>
      <c r="L988" s="15"/>
      <c r="M988" s="15"/>
      <c r="N988" s="15"/>
      <c r="O988" s="15"/>
      <c r="P988" s="15"/>
      <c r="Q988" s="15"/>
      <c r="R988" s="15"/>
      <c r="S988" s="15"/>
      <c r="T988" s="15"/>
      <c r="U988" s="15"/>
      <c r="V988" s="15"/>
    </row>
    <row r="989" spans="1:22">
      <c r="A989" s="15"/>
      <c r="C989" s="15"/>
      <c r="D989" s="15"/>
      <c r="E989" s="15"/>
      <c r="F989" s="15"/>
      <c r="G989" s="15"/>
      <c r="H989" s="15"/>
      <c r="I989" s="15"/>
      <c r="J989" s="15"/>
      <c r="K989" s="15"/>
      <c r="L989" s="15"/>
      <c r="M989" s="15"/>
      <c r="N989" s="15"/>
      <c r="O989" s="15"/>
      <c r="P989" s="15"/>
      <c r="Q989" s="15"/>
      <c r="R989" s="15"/>
      <c r="S989" s="15"/>
      <c r="T989" s="15"/>
      <c r="U989" s="15"/>
      <c r="V989" s="15"/>
    </row>
    <row r="990" spans="1:22">
      <c r="A990" s="15"/>
      <c r="C990" s="15"/>
      <c r="D990" s="15"/>
      <c r="E990" s="15"/>
      <c r="F990" s="15"/>
      <c r="G990" s="15"/>
      <c r="H990" s="15"/>
      <c r="I990" s="15"/>
      <c r="J990" s="15"/>
      <c r="K990" s="15"/>
      <c r="L990" s="15"/>
      <c r="M990" s="15"/>
      <c r="N990" s="15"/>
      <c r="O990" s="15"/>
      <c r="P990" s="15"/>
      <c r="Q990" s="15"/>
      <c r="R990" s="15"/>
      <c r="S990" s="15"/>
      <c r="T990" s="15"/>
      <c r="U990" s="15"/>
      <c r="V990" s="15"/>
    </row>
    <row r="991" spans="1:22">
      <c r="A991" s="15"/>
      <c r="C991" s="15"/>
      <c r="D991" s="15"/>
      <c r="E991" s="15"/>
      <c r="F991" s="15"/>
      <c r="G991" s="15"/>
      <c r="H991" s="15"/>
      <c r="I991" s="15"/>
      <c r="J991" s="15"/>
      <c r="K991" s="15"/>
      <c r="L991" s="15"/>
      <c r="M991" s="15"/>
      <c r="N991" s="15"/>
      <c r="O991" s="15"/>
      <c r="P991" s="15"/>
      <c r="Q991" s="15"/>
      <c r="R991" s="15"/>
      <c r="S991" s="15"/>
      <c r="T991" s="15"/>
      <c r="U991" s="15"/>
      <c r="V991" s="15"/>
    </row>
    <row r="992" spans="1:22">
      <c r="A992" s="15"/>
      <c r="C992" s="15"/>
      <c r="D992" s="15"/>
      <c r="E992" s="15"/>
      <c r="F992" s="15"/>
      <c r="G992" s="15"/>
      <c r="H992" s="15"/>
      <c r="I992" s="15"/>
      <c r="J992" s="15"/>
      <c r="K992" s="15"/>
      <c r="L992" s="15"/>
      <c r="M992" s="15"/>
      <c r="N992" s="15"/>
      <c r="O992" s="15"/>
      <c r="P992" s="15"/>
      <c r="Q992" s="15"/>
      <c r="R992" s="15"/>
      <c r="S992" s="15"/>
      <c r="T992" s="15"/>
      <c r="U992" s="15"/>
      <c r="V992" s="15"/>
    </row>
    <row r="993" spans="1:22">
      <c r="A993" s="15"/>
      <c r="C993" s="15"/>
      <c r="D993" s="15"/>
      <c r="E993" s="15"/>
      <c r="F993" s="15"/>
      <c r="G993" s="15"/>
      <c r="H993" s="15"/>
      <c r="I993" s="15"/>
      <c r="J993" s="15"/>
      <c r="K993" s="15"/>
      <c r="L993" s="15"/>
      <c r="M993" s="15"/>
      <c r="N993" s="15"/>
      <c r="O993" s="15"/>
      <c r="P993" s="15"/>
      <c r="Q993" s="15"/>
      <c r="R993" s="15"/>
      <c r="S993" s="15"/>
      <c r="T993" s="15"/>
      <c r="U993" s="15"/>
      <c r="V993" s="15"/>
    </row>
    <row r="994" spans="1:22">
      <c r="A994" s="15"/>
      <c r="C994" s="15"/>
      <c r="D994" s="15"/>
      <c r="E994" s="15"/>
      <c r="F994" s="15"/>
      <c r="G994" s="15"/>
      <c r="H994" s="15"/>
      <c r="I994" s="15"/>
      <c r="J994" s="15"/>
      <c r="K994" s="15"/>
      <c r="L994" s="15"/>
      <c r="M994" s="15"/>
      <c r="N994" s="15"/>
      <c r="O994" s="15"/>
      <c r="P994" s="15"/>
      <c r="Q994" s="15"/>
      <c r="R994" s="15"/>
      <c r="S994" s="15"/>
      <c r="T994" s="15"/>
      <c r="U994" s="15"/>
      <c r="V994" s="15"/>
    </row>
    <row r="995" spans="1:22">
      <c r="A995" s="15"/>
      <c r="C995" s="15"/>
      <c r="D995" s="15"/>
      <c r="E995" s="15"/>
      <c r="F995" s="15"/>
      <c r="G995" s="15"/>
      <c r="H995" s="15"/>
      <c r="I995" s="15"/>
      <c r="J995" s="15"/>
      <c r="K995" s="15"/>
      <c r="L995" s="15"/>
      <c r="M995" s="15"/>
      <c r="N995" s="15"/>
      <c r="O995" s="15"/>
      <c r="P995" s="15"/>
      <c r="Q995" s="15"/>
      <c r="R995" s="15"/>
      <c r="S995" s="15"/>
      <c r="T995" s="15"/>
      <c r="U995" s="15"/>
      <c r="V995" s="15"/>
    </row>
    <row r="996" spans="1:22">
      <c r="A996" s="15"/>
      <c r="C996" s="15"/>
      <c r="D996" s="15"/>
      <c r="E996" s="15"/>
      <c r="F996" s="15"/>
      <c r="G996" s="15"/>
      <c r="H996" s="15"/>
      <c r="I996" s="15"/>
      <c r="J996" s="15"/>
      <c r="K996" s="15"/>
      <c r="L996" s="15"/>
      <c r="M996" s="15"/>
      <c r="N996" s="15"/>
      <c r="O996" s="15"/>
      <c r="P996" s="15"/>
      <c r="Q996" s="15"/>
      <c r="R996" s="15"/>
      <c r="S996" s="15"/>
      <c r="T996" s="15"/>
      <c r="U996" s="15"/>
      <c r="V996" s="15"/>
    </row>
    <row r="997" spans="1:22">
      <c r="A997" s="15"/>
      <c r="C997" s="15"/>
      <c r="D997" s="15"/>
      <c r="E997" s="15"/>
      <c r="F997" s="15"/>
      <c r="G997" s="15"/>
      <c r="H997" s="15"/>
      <c r="I997" s="15"/>
      <c r="J997" s="15"/>
      <c r="K997" s="15"/>
      <c r="L997" s="15"/>
      <c r="M997" s="15"/>
      <c r="N997" s="15"/>
      <c r="O997" s="15"/>
      <c r="P997" s="15"/>
      <c r="Q997" s="15"/>
      <c r="R997" s="15"/>
      <c r="S997" s="15"/>
      <c r="T997" s="15"/>
      <c r="U997" s="15"/>
      <c r="V997" s="15"/>
    </row>
    <row r="998" spans="1:22">
      <c r="A998" s="15"/>
      <c r="C998" s="15"/>
      <c r="D998" s="15"/>
      <c r="E998" s="15"/>
      <c r="F998" s="15"/>
      <c r="G998" s="15"/>
      <c r="H998" s="15"/>
      <c r="I998" s="15"/>
      <c r="J998" s="15"/>
      <c r="K998" s="15"/>
      <c r="L998" s="15"/>
      <c r="M998" s="15"/>
      <c r="N998" s="15"/>
      <c r="O998" s="15"/>
      <c r="P998" s="15"/>
      <c r="Q998" s="15"/>
      <c r="R998" s="15"/>
      <c r="S998" s="15"/>
      <c r="T998" s="15"/>
      <c r="U998" s="15"/>
      <c r="V998" s="15"/>
    </row>
    <row r="999" spans="1:22">
      <c r="A999" s="15"/>
      <c r="C999" s="15"/>
      <c r="D999" s="15"/>
      <c r="E999" s="15"/>
      <c r="F999" s="15"/>
      <c r="G999" s="15"/>
      <c r="H999" s="15"/>
      <c r="I999" s="15"/>
      <c r="J999" s="15"/>
      <c r="K999" s="15"/>
      <c r="L999" s="15"/>
      <c r="M999" s="15"/>
      <c r="N999" s="15"/>
      <c r="O999" s="15"/>
      <c r="P999" s="15"/>
      <c r="Q999" s="15"/>
      <c r="R999" s="15"/>
      <c r="S999" s="15"/>
      <c r="T999" s="15"/>
      <c r="U999" s="15"/>
      <c r="V999" s="15"/>
    </row>
    <row r="1000" spans="1:22">
      <c r="A1000" s="15"/>
      <c r="C1000" s="15"/>
      <c r="D1000" s="15"/>
      <c r="E1000" s="15"/>
      <c r="F1000" s="15"/>
      <c r="G1000" s="15"/>
      <c r="H1000" s="15"/>
      <c r="I1000" s="15"/>
      <c r="J1000" s="15"/>
      <c r="K1000" s="15"/>
      <c r="L1000" s="15"/>
      <c r="M1000" s="15"/>
      <c r="N1000" s="15"/>
      <c r="O1000" s="15"/>
      <c r="P1000" s="15"/>
      <c r="Q1000" s="15"/>
      <c r="R1000" s="15"/>
      <c r="S1000" s="15"/>
      <c r="T1000" s="15"/>
      <c r="U1000" s="15"/>
      <c r="V1000" s="15"/>
    </row>
    <row r="1001" spans="1:22">
      <c r="A1001" s="15"/>
      <c r="C1001" s="15"/>
      <c r="D1001" s="15"/>
      <c r="E1001" s="15"/>
      <c r="F1001" s="15"/>
      <c r="G1001" s="15"/>
      <c r="H1001" s="15"/>
      <c r="I1001" s="15"/>
      <c r="J1001" s="15"/>
      <c r="K1001" s="15"/>
      <c r="L1001" s="15"/>
      <c r="M1001" s="15"/>
      <c r="N1001" s="15"/>
      <c r="O1001" s="15"/>
      <c r="P1001" s="15"/>
      <c r="Q1001" s="15"/>
      <c r="R1001" s="15"/>
      <c r="S1001" s="15"/>
      <c r="T1001" s="15"/>
      <c r="U1001" s="15"/>
      <c r="V1001" s="15"/>
    </row>
    <row r="1002" spans="1:22">
      <c r="A1002" s="15"/>
      <c r="C1002" s="15"/>
      <c r="D1002" s="15"/>
      <c r="E1002" s="15"/>
      <c r="F1002" s="15"/>
      <c r="G1002" s="15"/>
      <c r="H1002" s="15"/>
      <c r="I1002" s="15"/>
      <c r="J1002" s="15"/>
      <c r="K1002" s="15"/>
      <c r="L1002" s="15"/>
      <c r="M1002" s="15"/>
      <c r="N1002" s="15"/>
      <c r="O1002" s="15"/>
      <c r="P1002" s="15"/>
      <c r="Q1002" s="15"/>
      <c r="R1002" s="15"/>
      <c r="S1002" s="15"/>
      <c r="T1002" s="15"/>
      <c r="U1002" s="15"/>
      <c r="V1002" s="15"/>
    </row>
    <row r="1003" spans="1:22">
      <c r="A1003" s="15"/>
      <c r="C1003" s="15"/>
      <c r="D1003" s="15"/>
      <c r="E1003" s="15"/>
      <c r="F1003" s="15"/>
      <c r="G1003" s="15"/>
      <c r="H1003" s="15"/>
      <c r="I1003" s="15"/>
      <c r="J1003" s="15"/>
      <c r="K1003" s="15"/>
      <c r="L1003" s="15"/>
      <c r="M1003" s="15"/>
      <c r="N1003" s="15"/>
      <c r="O1003" s="15"/>
      <c r="P1003" s="15"/>
      <c r="Q1003" s="15"/>
      <c r="R1003" s="15"/>
      <c r="S1003" s="15"/>
      <c r="T1003" s="15"/>
      <c r="U1003" s="15"/>
      <c r="V1003" s="15"/>
    </row>
    <row r="1004" spans="1:22">
      <c r="A1004" s="15"/>
      <c r="C1004" s="15"/>
      <c r="D1004" s="15"/>
      <c r="E1004" s="15"/>
      <c r="F1004" s="15"/>
      <c r="G1004" s="15"/>
      <c r="H1004" s="15"/>
      <c r="I1004" s="15"/>
      <c r="J1004" s="15"/>
      <c r="K1004" s="15"/>
      <c r="L1004" s="15"/>
      <c r="M1004" s="15"/>
      <c r="N1004" s="15"/>
      <c r="O1004" s="15"/>
      <c r="P1004" s="15"/>
      <c r="Q1004" s="15"/>
      <c r="R1004" s="15"/>
      <c r="S1004" s="15"/>
      <c r="T1004" s="15"/>
      <c r="U1004" s="15"/>
      <c r="V1004" s="15"/>
    </row>
    <row r="1005" spans="1:22">
      <c r="A1005" s="15"/>
      <c r="C1005" s="15"/>
      <c r="D1005" s="15"/>
      <c r="E1005" s="15"/>
      <c r="F1005" s="15"/>
      <c r="G1005" s="15"/>
      <c r="H1005" s="15"/>
      <c r="I1005" s="15"/>
      <c r="J1005" s="15"/>
      <c r="K1005" s="15"/>
      <c r="L1005" s="15"/>
      <c r="M1005" s="15"/>
      <c r="N1005" s="15"/>
      <c r="O1005" s="15"/>
      <c r="P1005" s="15"/>
      <c r="Q1005" s="15"/>
      <c r="R1005" s="15"/>
      <c r="S1005" s="15"/>
      <c r="T1005" s="15"/>
      <c r="U1005" s="15"/>
      <c r="V1005" s="15"/>
    </row>
    <row r="1006" spans="1:22">
      <c r="A1006" s="15"/>
      <c r="C1006" s="15"/>
      <c r="D1006" s="15"/>
      <c r="E1006" s="15"/>
      <c r="F1006" s="15"/>
      <c r="G1006" s="15"/>
      <c r="H1006" s="15"/>
      <c r="I1006" s="15"/>
      <c r="J1006" s="15"/>
      <c r="K1006" s="15"/>
      <c r="L1006" s="15"/>
      <c r="M1006" s="15"/>
      <c r="N1006" s="15"/>
      <c r="O1006" s="15"/>
      <c r="P1006" s="15"/>
      <c r="Q1006" s="15"/>
      <c r="R1006" s="15"/>
      <c r="S1006" s="15"/>
      <c r="T1006" s="15"/>
      <c r="U1006" s="15"/>
      <c r="V1006" s="15"/>
    </row>
    <row r="1007" spans="1:22">
      <c r="A1007" s="15"/>
      <c r="C1007" s="15"/>
      <c r="D1007" s="15"/>
      <c r="E1007" s="15"/>
      <c r="F1007" s="15"/>
      <c r="G1007" s="15"/>
      <c r="H1007" s="15"/>
      <c r="I1007" s="15"/>
      <c r="J1007" s="15"/>
      <c r="K1007" s="15"/>
      <c r="L1007" s="15"/>
      <c r="M1007" s="15"/>
      <c r="N1007" s="15"/>
      <c r="O1007" s="15"/>
      <c r="P1007" s="15"/>
      <c r="Q1007" s="15"/>
      <c r="R1007" s="15"/>
      <c r="S1007" s="15"/>
      <c r="T1007" s="15"/>
      <c r="U1007" s="15"/>
      <c r="V1007" s="15"/>
    </row>
    <row r="1008" spans="1:22">
      <c r="A1008" s="15"/>
      <c r="C1008" s="15"/>
      <c r="D1008" s="15"/>
      <c r="E1008" s="15"/>
      <c r="F1008" s="15"/>
      <c r="G1008" s="15"/>
      <c r="H1008" s="15"/>
      <c r="I1008" s="15"/>
      <c r="J1008" s="15"/>
      <c r="K1008" s="15"/>
      <c r="L1008" s="15"/>
      <c r="M1008" s="15"/>
      <c r="N1008" s="15"/>
      <c r="O1008" s="15"/>
      <c r="P1008" s="15"/>
      <c r="Q1008" s="15"/>
      <c r="R1008" s="15"/>
      <c r="S1008" s="15"/>
      <c r="T1008" s="15"/>
      <c r="U1008" s="15"/>
      <c r="V1008" s="15"/>
    </row>
    <row r="1009" spans="1:22">
      <c r="A1009" s="15"/>
      <c r="C1009" s="15"/>
      <c r="D1009" s="15"/>
      <c r="E1009" s="15"/>
      <c r="F1009" s="15"/>
      <c r="G1009" s="15"/>
      <c r="H1009" s="15"/>
      <c r="I1009" s="15"/>
      <c r="J1009" s="15"/>
      <c r="K1009" s="15"/>
      <c r="L1009" s="15"/>
      <c r="M1009" s="15"/>
      <c r="N1009" s="15"/>
      <c r="O1009" s="15"/>
      <c r="P1009" s="15"/>
      <c r="Q1009" s="15"/>
      <c r="R1009" s="15"/>
      <c r="S1009" s="15"/>
      <c r="T1009" s="15"/>
      <c r="U1009" s="15"/>
      <c r="V1009" s="15"/>
    </row>
    <row r="1010" spans="1:22">
      <c r="A1010" s="15"/>
      <c r="C1010" s="15"/>
      <c r="D1010" s="15"/>
      <c r="E1010" s="15"/>
      <c r="F1010" s="15"/>
      <c r="G1010" s="15"/>
      <c r="H1010" s="15"/>
      <c r="I1010" s="15"/>
      <c r="J1010" s="15"/>
      <c r="K1010" s="15"/>
      <c r="L1010" s="15"/>
      <c r="M1010" s="15"/>
      <c r="N1010" s="15"/>
      <c r="O1010" s="15"/>
      <c r="P1010" s="15"/>
      <c r="Q1010" s="15"/>
      <c r="R1010" s="15"/>
      <c r="S1010" s="15"/>
      <c r="T1010" s="15"/>
      <c r="U1010" s="15"/>
      <c r="V1010" s="15"/>
    </row>
    <row r="1011" spans="1:22">
      <c r="A1011" s="15"/>
      <c r="C1011" s="15"/>
      <c r="D1011" s="15"/>
      <c r="E1011" s="15"/>
      <c r="F1011" s="15"/>
      <c r="G1011" s="15"/>
      <c r="H1011" s="15"/>
      <c r="I1011" s="15"/>
      <c r="J1011" s="15"/>
      <c r="K1011" s="15"/>
      <c r="L1011" s="15"/>
      <c r="M1011" s="15"/>
      <c r="N1011" s="15"/>
      <c r="O1011" s="15"/>
      <c r="P1011" s="15"/>
      <c r="Q1011" s="15"/>
      <c r="R1011" s="15"/>
      <c r="S1011" s="15"/>
      <c r="T1011" s="15"/>
      <c r="U1011" s="15"/>
      <c r="V1011" s="15"/>
    </row>
    <row r="1012" spans="1:22">
      <c r="A1012" s="15"/>
      <c r="C1012" s="15"/>
      <c r="D1012" s="15"/>
      <c r="E1012" s="15"/>
      <c r="F1012" s="15"/>
      <c r="G1012" s="15"/>
      <c r="H1012" s="15"/>
      <c r="I1012" s="15"/>
      <c r="J1012" s="15"/>
      <c r="K1012" s="15"/>
      <c r="L1012" s="15"/>
      <c r="M1012" s="15"/>
      <c r="N1012" s="15"/>
      <c r="O1012" s="15"/>
      <c r="P1012" s="15"/>
      <c r="Q1012" s="15"/>
      <c r="R1012" s="15"/>
      <c r="S1012" s="15"/>
      <c r="T1012" s="15"/>
      <c r="U1012" s="15"/>
      <c r="V1012" s="15"/>
    </row>
    <row r="1013" spans="1:22">
      <c r="A1013" s="15"/>
      <c r="C1013" s="15"/>
      <c r="D1013" s="15"/>
      <c r="E1013" s="15"/>
      <c r="F1013" s="15"/>
      <c r="G1013" s="15"/>
      <c r="H1013" s="15"/>
      <c r="I1013" s="15"/>
      <c r="J1013" s="15"/>
      <c r="K1013" s="15"/>
      <c r="L1013" s="15"/>
      <c r="M1013" s="15"/>
      <c r="N1013" s="15"/>
      <c r="O1013" s="15"/>
      <c r="P1013" s="15"/>
      <c r="Q1013" s="15"/>
      <c r="R1013" s="15"/>
      <c r="S1013" s="15"/>
      <c r="T1013" s="15"/>
      <c r="U1013" s="15"/>
      <c r="V1013" s="15"/>
    </row>
    <row r="1014" spans="1:22">
      <c r="A1014" s="15"/>
      <c r="C1014" s="15"/>
      <c r="D1014" s="15"/>
      <c r="E1014" s="15"/>
      <c r="F1014" s="15"/>
      <c r="G1014" s="15"/>
      <c r="H1014" s="15"/>
      <c r="I1014" s="15"/>
      <c r="J1014" s="15"/>
      <c r="K1014" s="15"/>
      <c r="L1014" s="15"/>
      <c r="M1014" s="15"/>
      <c r="N1014" s="15"/>
      <c r="O1014" s="15"/>
      <c r="P1014" s="15"/>
      <c r="Q1014" s="15"/>
      <c r="R1014" s="15"/>
      <c r="S1014" s="15"/>
      <c r="T1014" s="15"/>
      <c r="U1014" s="15"/>
      <c r="V1014" s="15"/>
    </row>
    <row r="1015" spans="1:22">
      <c r="A1015" s="15"/>
      <c r="C1015" s="15"/>
      <c r="D1015" s="15"/>
      <c r="E1015" s="15"/>
      <c r="F1015" s="15"/>
      <c r="G1015" s="15"/>
      <c r="H1015" s="15"/>
      <c r="I1015" s="15"/>
      <c r="J1015" s="15"/>
      <c r="K1015" s="15"/>
      <c r="L1015" s="15"/>
      <c r="M1015" s="15"/>
      <c r="N1015" s="15"/>
      <c r="O1015" s="15"/>
      <c r="P1015" s="15"/>
      <c r="Q1015" s="15"/>
      <c r="R1015" s="15"/>
      <c r="S1015" s="15"/>
      <c r="T1015" s="15"/>
      <c r="U1015" s="15"/>
      <c r="V1015" s="15"/>
    </row>
    <row r="1016" spans="1:22">
      <c r="A1016" s="15"/>
      <c r="C1016" s="15"/>
      <c r="D1016" s="15"/>
      <c r="E1016" s="15"/>
      <c r="F1016" s="15"/>
      <c r="G1016" s="15"/>
      <c r="H1016" s="15"/>
      <c r="I1016" s="15"/>
      <c r="J1016" s="15"/>
      <c r="K1016" s="15"/>
      <c r="L1016" s="15"/>
      <c r="M1016" s="15"/>
      <c r="N1016" s="15"/>
      <c r="O1016" s="15"/>
      <c r="P1016" s="15"/>
      <c r="Q1016" s="15"/>
      <c r="R1016" s="15"/>
      <c r="S1016" s="15"/>
      <c r="T1016" s="15"/>
      <c r="U1016" s="15"/>
      <c r="V1016" s="15"/>
    </row>
    <row r="1017" spans="1:22">
      <c r="A1017" s="15"/>
      <c r="C1017" s="15"/>
      <c r="D1017" s="15"/>
      <c r="E1017" s="15"/>
      <c r="F1017" s="15"/>
      <c r="G1017" s="15"/>
      <c r="H1017" s="15"/>
      <c r="I1017" s="15"/>
      <c r="J1017" s="15"/>
      <c r="K1017" s="15"/>
      <c r="L1017" s="15"/>
      <c r="M1017" s="15"/>
      <c r="N1017" s="15"/>
      <c r="O1017" s="15"/>
      <c r="P1017" s="15"/>
      <c r="Q1017" s="15"/>
      <c r="R1017" s="15"/>
      <c r="S1017" s="15"/>
      <c r="T1017" s="15"/>
      <c r="U1017" s="15"/>
      <c r="V1017" s="15"/>
    </row>
    <row r="1018" spans="1:22">
      <c r="A1018" s="15"/>
      <c r="C1018" s="15"/>
      <c r="D1018" s="15"/>
      <c r="E1018" s="15"/>
      <c r="F1018" s="15"/>
      <c r="G1018" s="15"/>
      <c r="H1018" s="15"/>
      <c r="I1018" s="15"/>
      <c r="J1018" s="15"/>
      <c r="K1018" s="15"/>
      <c r="L1018" s="15"/>
      <c r="M1018" s="15"/>
      <c r="N1018" s="15"/>
      <c r="O1018" s="15"/>
      <c r="P1018" s="15"/>
      <c r="Q1018" s="15"/>
      <c r="R1018" s="15"/>
      <c r="S1018" s="15"/>
      <c r="T1018" s="15"/>
      <c r="U1018" s="15"/>
      <c r="V1018" s="15"/>
    </row>
    <row r="1019" spans="1:22">
      <c r="A1019" s="15"/>
      <c r="C1019" s="15"/>
      <c r="D1019" s="15"/>
      <c r="E1019" s="15"/>
      <c r="F1019" s="15"/>
      <c r="G1019" s="15"/>
      <c r="H1019" s="15"/>
      <c r="I1019" s="15"/>
      <c r="J1019" s="15"/>
      <c r="K1019" s="15"/>
      <c r="L1019" s="15"/>
      <c r="M1019" s="15"/>
      <c r="N1019" s="15"/>
      <c r="O1019" s="15"/>
      <c r="P1019" s="15"/>
      <c r="Q1019" s="15"/>
      <c r="R1019" s="15"/>
      <c r="S1019" s="15"/>
      <c r="T1019" s="15"/>
      <c r="U1019" s="15"/>
      <c r="V1019" s="15"/>
    </row>
    <row r="1020" spans="1:22">
      <c r="A1020" s="15"/>
      <c r="C1020" s="15"/>
      <c r="D1020" s="15"/>
      <c r="E1020" s="15"/>
      <c r="F1020" s="15"/>
      <c r="G1020" s="15"/>
      <c r="H1020" s="15"/>
      <c r="I1020" s="15"/>
      <c r="J1020" s="15"/>
      <c r="K1020" s="15"/>
      <c r="L1020" s="15"/>
      <c r="M1020" s="15"/>
      <c r="N1020" s="15"/>
      <c r="O1020" s="15"/>
      <c r="P1020" s="15"/>
      <c r="Q1020" s="15"/>
      <c r="R1020" s="15"/>
      <c r="S1020" s="15"/>
      <c r="T1020" s="15"/>
      <c r="U1020" s="15"/>
      <c r="V1020" s="15"/>
    </row>
    <row r="1021" spans="1:22">
      <c r="A1021" s="15"/>
      <c r="C1021" s="15"/>
      <c r="D1021" s="15"/>
      <c r="E1021" s="15"/>
      <c r="F1021" s="15"/>
      <c r="G1021" s="15"/>
      <c r="H1021" s="15"/>
      <c r="I1021" s="15"/>
      <c r="J1021" s="15"/>
      <c r="K1021" s="15"/>
      <c r="L1021" s="15"/>
      <c r="M1021" s="15"/>
      <c r="N1021" s="15"/>
      <c r="O1021" s="15"/>
      <c r="P1021" s="15"/>
      <c r="Q1021" s="15"/>
      <c r="R1021" s="15"/>
      <c r="S1021" s="15"/>
      <c r="T1021" s="15"/>
      <c r="U1021" s="15"/>
      <c r="V1021" s="15"/>
    </row>
    <row r="1022" spans="1:22">
      <c r="A1022" s="15"/>
      <c r="C1022" s="15"/>
      <c r="D1022" s="15"/>
      <c r="E1022" s="15"/>
      <c r="F1022" s="15"/>
      <c r="G1022" s="15"/>
      <c r="H1022" s="15"/>
      <c r="I1022" s="15"/>
      <c r="J1022" s="15"/>
      <c r="K1022" s="15"/>
      <c r="L1022" s="15"/>
      <c r="M1022" s="15"/>
      <c r="N1022" s="15"/>
      <c r="O1022" s="15"/>
      <c r="P1022" s="15"/>
      <c r="Q1022" s="15"/>
      <c r="R1022" s="15"/>
      <c r="S1022" s="15"/>
      <c r="T1022" s="15"/>
      <c r="U1022" s="15"/>
      <c r="V1022" s="15"/>
    </row>
    <row r="1023" spans="1:22">
      <c r="A1023" s="15"/>
      <c r="C1023" s="15"/>
      <c r="D1023" s="15"/>
      <c r="E1023" s="15"/>
      <c r="F1023" s="15"/>
      <c r="G1023" s="15"/>
      <c r="H1023" s="15"/>
      <c r="I1023" s="15"/>
      <c r="J1023" s="15"/>
      <c r="K1023" s="15"/>
      <c r="L1023" s="15"/>
      <c r="M1023" s="15"/>
      <c r="N1023" s="15"/>
      <c r="O1023" s="15"/>
      <c r="P1023" s="15"/>
      <c r="Q1023" s="15"/>
      <c r="R1023" s="15"/>
      <c r="S1023" s="15"/>
      <c r="T1023" s="15"/>
      <c r="U1023" s="15"/>
      <c r="V1023" s="15"/>
    </row>
    <row r="1024" spans="1:22">
      <c r="A1024" s="15"/>
      <c r="C1024" s="15"/>
      <c r="D1024" s="15"/>
      <c r="E1024" s="15"/>
      <c r="F1024" s="15"/>
      <c r="G1024" s="15"/>
      <c r="H1024" s="15"/>
      <c r="I1024" s="15"/>
      <c r="J1024" s="15"/>
      <c r="K1024" s="15"/>
      <c r="L1024" s="15"/>
      <c r="M1024" s="15"/>
      <c r="N1024" s="15"/>
      <c r="O1024" s="15"/>
      <c r="P1024" s="15"/>
      <c r="Q1024" s="15"/>
      <c r="R1024" s="15"/>
      <c r="S1024" s="15"/>
      <c r="T1024" s="15"/>
      <c r="U1024" s="15"/>
      <c r="V1024" s="15"/>
    </row>
    <row r="1025" spans="1:22">
      <c r="A1025" s="15"/>
      <c r="C1025" s="15"/>
      <c r="D1025" s="15"/>
      <c r="E1025" s="15"/>
      <c r="F1025" s="15"/>
      <c r="G1025" s="15"/>
      <c r="H1025" s="15"/>
      <c r="I1025" s="15"/>
      <c r="J1025" s="15"/>
      <c r="K1025" s="15"/>
      <c r="L1025" s="15"/>
      <c r="M1025" s="15"/>
      <c r="N1025" s="15"/>
      <c r="O1025" s="15"/>
      <c r="P1025" s="15"/>
      <c r="Q1025" s="15"/>
      <c r="R1025" s="15"/>
      <c r="S1025" s="15"/>
      <c r="T1025" s="15"/>
      <c r="U1025" s="15"/>
      <c r="V1025" s="15"/>
    </row>
    <row r="1026" spans="1:22">
      <c r="A1026" s="15"/>
      <c r="C1026" s="15"/>
      <c r="D1026" s="15"/>
      <c r="E1026" s="15"/>
      <c r="F1026" s="15"/>
      <c r="G1026" s="15"/>
      <c r="H1026" s="15"/>
      <c r="I1026" s="15"/>
      <c r="J1026" s="15"/>
      <c r="K1026" s="15"/>
      <c r="L1026" s="15"/>
      <c r="M1026" s="15"/>
      <c r="N1026" s="15"/>
      <c r="O1026" s="15"/>
      <c r="P1026" s="15"/>
      <c r="Q1026" s="15"/>
      <c r="R1026" s="15"/>
      <c r="S1026" s="15"/>
      <c r="T1026" s="15"/>
      <c r="U1026" s="15"/>
      <c r="V1026" s="15"/>
    </row>
    <row r="1027" spans="1:22">
      <c r="A1027" s="15"/>
      <c r="C1027" s="15"/>
      <c r="D1027" s="15"/>
      <c r="E1027" s="15"/>
      <c r="F1027" s="15"/>
      <c r="G1027" s="15"/>
      <c r="H1027" s="15"/>
      <c r="I1027" s="15"/>
      <c r="J1027" s="15"/>
      <c r="K1027" s="15"/>
      <c r="L1027" s="15"/>
      <c r="M1027" s="15"/>
      <c r="N1027" s="15"/>
      <c r="O1027" s="15"/>
      <c r="P1027" s="15"/>
      <c r="Q1027" s="15"/>
      <c r="R1027" s="15"/>
      <c r="S1027" s="15"/>
      <c r="T1027" s="15"/>
      <c r="U1027" s="15"/>
      <c r="V1027" s="15"/>
    </row>
    <row r="1028" spans="1:22">
      <c r="A1028" s="15"/>
      <c r="C1028" s="15"/>
      <c r="D1028" s="15"/>
      <c r="E1028" s="15"/>
      <c r="F1028" s="15"/>
      <c r="G1028" s="15"/>
      <c r="H1028" s="15"/>
      <c r="I1028" s="15"/>
      <c r="J1028" s="15"/>
      <c r="K1028" s="15"/>
      <c r="L1028" s="15"/>
      <c r="M1028" s="15"/>
      <c r="N1028" s="15"/>
      <c r="O1028" s="15"/>
      <c r="P1028" s="15"/>
      <c r="Q1028" s="15"/>
      <c r="R1028" s="15"/>
      <c r="S1028" s="15"/>
      <c r="T1028" s="15"/>
      <c r="U1028" s="15"/>
      <c r="V1028" s="15"/>
    </row>
    <row r="1029" spans="1:22">
      <c r="A1029" s="15"/>
      <c r="C1029" s="15"/>
      <c r="D1029" s="15"/>
      <c r="E1029" s="15"/>
      <c r="F1029" s="15"/>
      <c r="G1029" s="15"/>
      <c r="H1029" s="15"/>
      <c r="I1029" s="15"/>
      <c r="J1029" s="15"/>
      <c r="K1029" s="15"/>
      <c r="L1029" s="15"/>
      <c r="M1029" s="15"/>
      <c r="N1029" s="15"/>
      <c r="O1029" s="15"/>
      <c r="P1029" s="15"/>
      <c r="Q1029" s="15"/>
      <c r="R1029" s="15"/>
      <c r="S1029" s="15"/>
      <c r="T1029" s="15"/>
      <c r="U1029" s="15"/>
      <c r="V1029" s="15"/>
    </row>
    <row r="1030" spans="1:22">
      <c r="A1030" s="15"/>
      <c r="C1030" s="15"/>
      <c r="D1030" s="15"/>
      <c r="E1030" s="15"/>
      <c r="F1030" s="15"/>
      <c r="G1030" s="15"/>
      <c r="H1030" s="15"/>
      <c r="I1030" s="15"/>
      <c r="J1030" s="15"/>
      <c r="K1030" s="15"/>
      <c r="L1030" s="15"/>
      <c r="M1030" s="15"/>
      <c r="N1030" s="15"/>
      <c r="O1030" s="15"/>
      <c r="P1030" s="15"/>
      <c r="Q1030" s="15"/>
      <c r="R1030" s="15"/>
      <c r="S1030" s="15"/>
      <c r="T1030" s="15"/>
      <c r="U1030" s="15"/>
      <c r="V1030" s="15"/>
    </row>
    <row r="1031" spans="1:22">
      <c r="A1031" s="15"/>
      <c r="C1031" s="15"/>
      <c r="D1031" s="15"/>
      <c r="E1031" s="15"/>
      <c r="F1031" s="15"/>
      <c r="G1031" s="15"/>
      <c r="H1031" s="15"/>
      <c r="I1031" s="15"/>
      <c r="J1031" s="15"/>
      <c r="K1031" s="15"/>
      <c r="L1031" s="15"/>
      <c r="M1031" s="15"/>
      <c r="N1031" s="15"/>
      <c r="O1031" s="15"/>
      <c r="P1031" s="15"/>
      <c r="Q1031" s="15"/>
      <c r="R1031" s="15"/>
      <c r="S1031" s="15"/>
      <c r="T1031" s="15"/>
      <c r="U1031" s="15"/>
      <c r="V1031" s="15"/>
    </row>
    <row r="1032" spans="1:22">
      <c r="A1032" s="15"/>
      <c r="C1032" s="15"/>
      <c r="D1032" s="15"/>
      <c r="E1032" s="15"/>
      <c r="F1032" s="15"/>
      <c r="G1032" s="15"/>
      <c r="H1032" s="15"/>
      <c r="I1032" s="15"/>
      <c r="J1032" s="15"/>
      <c r="K1032" s="15"/>
      <c r="L1032" s="15"/>
      <c r="M1032" s="15"/>
      <c r="N1032" s="15"/>
      <c r="O1032" s="15"/>
      <c r="P1032" s="15"/>
      <c r="Q1032" s="15"/>
      <c r="R1032" s="15"/>
      <c r="S1032" s="15"/>
      <c r="T1032" s="15"/>
      <c r="U1032" s="15"/>
      <c r="V1032" s="15"/>
    </row>
    <row r="1033" spans="1:22">
      <c r="A1033" s="15"/>
      <c r="C1033" s="15"/>
      <c r="D1033" s="15"/>
      <c r="E1033" s="15"/>
      <c r="F1033" s="15"/>
      <c r="G1033" s="15"/>
      <c r="H1033" s="15"/>
      <c r="I1033" s="15"/>
      <c r="J1033" s="15"/>
      <c r="K1033" s="15"/>
      <c r="L1033" s="15"/>
      <c r="M1033" s="15"/>
      <c r="N1033" s="15"/>
      <c r="O1033" s="15"/>
      <c r="P1033" s="15"/>
      <c r="Q1033" s="15"/>
      <c r="R1033" s="15"/>
      <c r="S1033" s="15"/>
      <c r="T1033" s="15"/>
      <c r="U1033" s="15"/>
      <c r="V1033" s="15"/>
    </row>
    <row r="1034" spans="1:22">
      <c r="A1034" s="15"/>
      <c r="C1034" s="15"/>
      <c r="D1034" s="15"/>
      <c r="E1034" s="15"/>
      <c r="F1034" s="15"/>
      <c r="G1034" s="15"/>
      <c r="H1034" s="15"/>
      <c r="I1034" s="15"/>
      <c r="J1034" s="15"/>
      <c r="K1034" s="15"/>
      <c r="L1034" s="15"/>
      <c r="M1034" s="15"/>
      <c r="N1034" s="15"/>
      <c r="O1034" s="15"/>
      <c r="P1034" s="15"/>
      <c r="Q1034" s="15"/>
      <c r="R1034" s="15"/>
      <c r="S1034" s="15"/>
      <c r="T1034" s="15"/>
      <c r="U1034" s="15"/>
      <c r="V1034" s="15"/>
    </row>
    <row r="1035" spans="1:22">
      <c r="A1035" s="15"/>
      <c r="C1035" s="15"/>
      <c r="D1035" s="15"/>
      <c r="E1035" s="15"/>
      <c r="F1035" s="15"/>
      <c r="G1035" s="15"/>
      <c r="H1035" s="15"/>
      <c r="I1035" s="15"/>
      <c r="J1035" s="15"/>
      <c r="K1035" s="15"/>
      <c r="L1035" s="15"/>
      <c r="M1035" s="15"/>
      <c r="N1035" s="15"/>
      <c r="O1035" s="15"/>
      <c r="P1035" s="15"/>
      <c r="Q1035" s="15"/>
      <c r="R1035" s="15"/>
      <c r="S1035" s="15"/>
      <c r="T1035" s="15"/>
      <c r="U1035" s="15"/>
      <c r="V1035" s="15"/>
    </row>
    <row r="1036" spans="1:22">
      <c r="A1036" s="15"/>
      <c r="C1036" s="15"/>
      <c r="D1036" s="15"/>
      <c r="E1036" s="15"/>
      <c r="F1036" s="15"/>
      <c r="G1036" s="15"/>
      <c r="H1036" s="15"/>
      <c r="I1036" s="15"/>
      <c r="J1036" s="15"/>
      <c r="K1036" s="15"/>
      <c r="L1036" s="15"/>
      <c r="M1036" s="15"/>
      <c r="N1036" s="15"/>
      <c r="O1036" s="15"/>
      <c r="P1036" s="15"/>
      <c r="Q1036" s="15"/>
      <c r="R1036" s="15"/>
      <c r="S1036" s="15"/>
      <c r="T1036" s="15"/>
      <c r="U1036" s="15"/>
      <c r="V1036" s="15"/>
    </row>
    <row r="1037" spans="1:22">
      <c r="A1037" s="15"/>
      <c r="C1037" s="15"/>
      <c r="D1037" s="15"/>
      <c r="E1037" s="15"/>
      <c r="F1037" s="15"/>
      <c r="G1037" s="15"/>
      <c r="H1037" s="15"/>
      <c r="I1037" s="15"/>
      <c r="J1037" s="15"/>
      <c r="K1037" s="15"/>
      <c r="L1037" s="15"/>
      <c r="M1037" s="15"/>
      <c r="N1037" s="15"/>
      <c r="O1037" s="15"/>
      <c r="P1037" s="15"/>
      <c r="Q1037" s="15"/>
      <c r="R1037" s="15"/>
      <c r="S1037" s="15"/>
      <c r="T1037" s="15"/>
      <c r="U1037" s="15"/>
      <c r="V1037" s="15"/>
    </row>
    <row r="1038" spans="1:22">
      <c r="A1038" s="15"/>
      <c r="C1038" s="15"/>
      <c r="D1038" s="15"/>
      <c r="E1038" s="15"/>
      <c r="F1038" s="15"/>
      <c r="G1038" s="15"/>
      <c r="H1038" s="15"/>
      <c r="I1038" s="15"/>
      <c r="J1038" s="15"/>
      <c r="K1038" s="15"/>
      <c r="L1038" s="15"/>
      <c r="M1038" s="15"/>
      <c r="N1038" s="15"/>
      <c r="O1038" s="15"/>
      <c r="P1038" s="15"/>
      <c r="Q1038" s="15"/>
      <c r="R1038" s="15"/>
      <c r="S1038" s="15"/>
      <c r="T1038" s="15"/>
      <c r="U1038" s="15"/>
      <c r="V1038" s="15"/>
    </row>
    <row r="1039" spans="1:22">
      <c r="A1039" s="15"/>
      <c r="C1039" s="15"/>
      <c r="D1039" s="15"/>
      <c r="E1039" s="15"/>
      <c r="F1039" s="15"/>
      <c r="G1039" s="15"/>
      <c r="H1039" s="15"/>
      <c r="I1039" s="15"/>
      <c r="J1039" s="15"/>
      <c r="K1039" s="15"/>
      <c r="L1039" s="15"/>
      <c r="M1039" s="15"/>
      <c r="N1039" s="15"/>
      <c r="O1039" s="15"/>
      <c r="P1039" s="15"/>
      <c r="Q1039" s="15"/>
      <c r="R1039" s="15"/>
      <c r="S1039" s="15"/>
      <c r="T1039" s="15"/>
      <c r="U1039" s="15"/>
      <c r="V1039" s="15"/>
    </row>
    <row r="1040" spans="1:22">
      <c r="A1040" s="15"/>
      <c r="C1040" s="15"/>
      <c r="D1040" s="15"/>
      <c r="E1040" s="15"/>
      <c r="F1040" s="15"/>
      <c r="G1040" s="15"/>
      <c r="H1040" s="15"/>
      <c r="I1040" s="15"/>
      <c r="J1040" s="15"/>
      <c r="K1040" s="15"/>
      <c r="L1040" s="15"/>
      <c r="M1040" s="15"/>
      <c r="N1040" s="15"/>
      <c r="O1040" s="15"/>
      <c r="P1040" s="15"/>
      <c r="Q1040" s="15"/>
      <c r="R1040" s="15"/>
      <c r="S1040" s="15"/>
      <c r="T1040" s="15"/>
      <c r="U1040" s="15"/>
      <c r="V1040" s="15"/>
    </row>
    <row r="1041" spans="1:22">
      <c r="A1041" s="15"/>
      <c r="C1041" s="15"/>
      <c r="D1041" s="15"/>
      <c r="E1041" s="15"/>
      <c r="F1041" s="15"/>
      <c r="G1041" s="15"/>
      <c r="H1041" s="15"/>
      <c r="I1041" s="15"/>
      <c r="J1041" s="15"/>
      <c r="K1041" s="15"/>
      <c r="L1041" s="15"/>
      <c r="M1041" s="15"/>
      <c r="N1041" s="15"/>
      <c r="O1041" s="15"/>
      <c r="P1041" s="15"/>
      <c r="Q1041" s="15"/>
      <c r="R1041" s="15"/>
      <c r="S1041" s="15"/>
      <c r="T1041" s="15"/>
      <c r="U1041" s="15"/>
      <c r="V1041" s="15"/>
    </row>
    <row r="1042" spans="1:22">
      <c r="A1042" s="15"/>
      <c r="C1042" s="15"/>
      <c r="D1042" s="15"/>
      <c r="E1042" s="15"/>
      <c r="F1042" s="15"/>
      <c r="G1042" s="15"/>
      <c r="H1042" s="15"/>
      <c r="I1042" s="15"/>
      <c r="J1042" s="15"/>
      <c r="K1042" s="15"/>
      <c r="L1042" s="15"/>
      <c r="M1042" s="15"/>
      <c r="N1042" s="15"/>
      <c r="O1042" s="15"/>
      <c r="P1042" s="15"/>
      <c r="Q1042" s="15"/>
      <c r="R1042" s="15"/>
      <c r="S1042" s="15"/>
      <c r="T1042" s="15"/>
      <c r="U1042" s="15"/>
      <c r="V1042" s="15"/>
    </row>
    <row r="1043" spans="1:22">
      <c r="A1043" s="15"/>
      <c r="C1043" s="15"/>
      <c r="D1043" s="15"/>
      <c r="E1043" s="15"/>
      <c r="F1043" s="15"/>
      <c r="G1043" s="15"/>
      <c r="H1043" s="15"/>
      <c r="I1043" s="15"/>
      <c r="J1043" s="15"/>
      <c r="K1043" s="15"/>
      <c r="L1043" s="15"/>
      <c r="M1043" s="15"/>
      <c r="N1043" s="15"/>
      <c r="O1043" s="15"/>
      <c r="P1043" s="15"/>
      <c r="Q1043" s="15"/>
      <c r="R1043" s="15"/>
      <c r="S1043" s="15"/>
      <c r="T1043" s="15"/>
      <c r="U1043" s="15"/>
      <c r="V1043" s="15"/>
    </row>
    <row r="1044" spans="1:22">
      <c r="A1044" s="15"/>
      <c r="C1044" s="15"/>
      <c r="D1044" s="15"/>
      <c r="E1044" s="15"/>
      <c r="F1044" s="15"/>
      <c r="G1044" s="15"/>
      <c r="H1044" s="15"/>
      <c r="I1044" s="15"/>
      <c r="J1044" s="15"/>
      <c r="K1044" s="15"/>
      <c r="L1044" s="15"/>
      <c r="M1044" s="15"/>
      <c r="N1044" s="15"/>
      <c r="O1044" s="15"/>
      <c r="P1044" s="15"/>
      <c r="Q1044" s="15"/>
      <c r="R1044" s="15"/>
      <c r="S1044" s="15"/>
      <c r="T1044" s="15"/>
      <c r="U1044" s="15"/>
      <c r="V1044" s="15"/>
    </row>
    <row r="1045" spans="1:22">
      <c r="A1045" s="15"/>
      <c r="C1045" s="15"/>
      <c r="D1045" s="15"/>
      <c r="E1045" s="15"/>
      <c r="F1045" s="15"/>
      <c r="G1045" s="15"/>
      <c r="H1045" s="15"/>
      <c r="I1045" s="15"/>
      <c r="J1045" s="15"/>
      <c r="K1045" s="15"/>
      <c r="L1045" s="15"/>
      <c r="M1045" s="15"/>
      <c r="N1045" s="15"/>
      <c r="O1045" s="15"/>
      <c r="P1045" s="15"/>
      <c r="Q1045" s="15"/>
      <c r="R1045" s="15"/>
      <c r="S1045" s="15"/>
      <c r="T1045" s="15"/>
      <c r="U1045" s="15"/>
      <c r="V1045" s="15"/>
    </row>
    <row r="1046" spans="1:22">
      <c r="A1046" s="15"/>
      <c r="C1046" s="15"/>
      <c r="D1046" s="15"/>
      <c r="E1046" s="15"/>
      <c r="F1046" s="15"/>
      <c r="G1046" s="15"/>
      <c r="H1046" s="15"/>
      <c r="I1046" s="15"/>
      <c r="J1046" s="15"/>
      <c r="K1046" s="15"/>
      <c r="L1046" s="15"/>
      <c r="M1046" s="15"/>
      <c r="N1046" s="15"/>
      <c r="O1046" s="15"/>
      <c r="P1046" s="15"/>
      <c r="Q1046" s="15"/>
      <c r="R1046" s="15"/>
      <c r="S1046" s="15"/>
      <c r="T1046" s="15"/>
      <c r="U1046" s="15"/>
      <c r="V1046" s="15"/>
    </row>
    <row r="1047" spans="1:22">
      <c r="A1047" s="15"/>
      <c r="C1047" s="15"/>
      <c r="D1047" s="15"/>
      <c r="E1047" s="15"/>
      <c r="F1047" s="15"/>
      <c r="G1047" s="15"/>
      <c r="H1047" s="15"/>
      <c r="I1047" s="15"/>
      <c r="J1047" s="15"/>
      <c r="K1047" s="15"/>
      <c r="L1047" s="15"/>
      <c r="M1047" s="15"/>
      <c r="N1047" s="15"/>
      <c r="O1047" s="15"/>
      <c r="P1047" s="15"/>
      <c r="Q1047" s="15"/>
      <c r="R1047" s="15"/>
      <c r="S1047" s="15"/>
      <c r="T1047" s="15"/>
      <c r="U1047" s="15"/>
      <c r="V1047" s="15"/>
    </row>
    <row r="1048" spans="1:22">
      <c r="A1048" s="15"/>
      <c r="C1048" s="15"/>
      <c r="D1048" s="15"/>
      <c r="E1048" s="15"/>
      <c r="F1048" s="15"/>
      <c r="G1048" s="15"/>
      <c r="H1048" s="15"/>
      <c r="I1048" s="15"/>
      <c r="J1048" s="15"/>
      <c r="K1048" s="15"/>
      <c r="L1048" s="15"/>
      <c r="M1048" s="15"/>
      <c r="N1048" s="15"/>
      <c r="O1048" s="15"/>
      <c r="P1048" s="15"/>
      <c r="Q1048" s="15"/>
      <c r="R1048" s="15"/>
      <c r="S1048" s="15"/>
      <c r="T1048" s="15"/>
      <c r="U1048" s="15"/>
      <c r="V1048" s="15"/>
    </row>
    <row r="1049" spans="1:22">
      <c r="A1049" s="15"/>
      <c r="C1049" s="15"/>
      <c r="D1049" s="15"/>
      <c r="E1049" s="15"/>
      <c r="F1049" s="15"/>
      <c r="G1049" s="15"/>
      <c r="H1049" s="15"/>
      <c r="I1049" s="15"/>
      <c r="J1049" s="15"/>
      <c r="K1049" s="15"/>
      <c r="L1049" s="15"/>
      <c r="M1049" s="15"/>
      <c r="N1049" s="15"/>
      <c r="O1049" s="15"/>
      <c r="P1049" s="15"/>
      <c r="Q1049" s="15"/>
      <c r="R1049" s="15"/>
      <c r="S1049" s="15"/>
      <c r="T1049" s="15"/>
      <c r="U1049" s="15"/>
      <c r="V1049" s="15"/>
    </row>
    <row r="1050" spans="1:22">
      <c r="A1050" s="15"/>
      <c r="C1050" s="15"/>
      <c r="D1050" s="15"/>
      <c r="E1050" s="15"/>
      <c r="F1050" s="15"/>
      <c r="G1050" s="15"/>
      <c r="H1050" s="15"/>
      <c r="I1050" s="15"/>
      <c r="J1050" s="15"/>
      <c r="K1050" s="15"/>
      <c r="L1050" s="15"/>
      <c r="M1050" s="15"/>
      <c r="N1050" s="15"/>
      <c r="O1050" s="15"/>
      <c r="P1050" s="15"/>
      <c r="Q1050" s="15"/>
      <c r="R1050" s="15"/>
      <c r="S1050" s="15"/>
      <c r="T1050" s="15"/>
      <c r="U1050" s="15"/>
      <c r="V1050" s="15"/>
    </row>
    <row r="1051" spans="1:22">
      <c r="A1051" s="15"/>
      <c r="C1051" s="15"/>
      <c r="D1051" s="15"/>
      <c r="E1051" s="15"/>
      <c r="F1051" s="15"/>
      <c r="G1051" s="15"/>
      <c r="H1051" s="15"/>
      <c r="I1051" s="15"/>
      <c r="J1051" s="15"/>
      <c r="K1051" s="15"/>
      <c r="L1051" s="15"/>
      <c r="M1051" s="15"/>
      <c r="N1051" s="15"/>
      <c r="O1051" s="15"/>
      <c r="P1051" s="15"/>
      <c r="Q1051" s="15"/>
      <c r="R1051" s="15"/>
      <c r="S1051" s="15"/>
      <c r="T1051" s="15"/>
      <c r="U1051" s="15"/>
      <c r="V1051" s="15"/>
    </row>
    <row r="1052" spans="1:22">
      <c r="A1052" s="15"/>
      <c r="C1052" s="15"/>
      <c r="D1052" s="15"/>
      <c r="E1052" s="15"/>
      <c r="F1052" s="15"/>
      <c r="G1052" s="15"/>
      <c r="H1052" s="15"/>
      <c r="I1052" s="15"/>
      <c r="J1052" s="15"/>
      <c r="K1052" s="15"/>
      <c r="L1052" s="15"/>
      <c r="M1052" s="15"/>
      <c r="N1052" s="15"/>
      <c r="O1052" s="15"/>
      <c r="P1052" s="15"/>
      <c r="Q1052" s="15"/>
      <c r="R1052" s="15"/>
      <c r="S1052" s="15"/>
      <c r="T1052" s="15"/>
      <c r="U1052" s="15"/>
      <c r="V1052" s="15"/>
    </row>
    <row r="1053" spans="1:22">
      <c r="A1053" s="15"/>
      <c r="C1053" s="15"/>
      <c r="D1053" s="15"/>
      <c r="E1053" s="15"/>
      <c r="F1053" s="15"/>
      <c r="G1053" s="15"/>
      <c r="H1053" s="15"/>
      <c r="I1053" s="15"/>
      <c r="J1053" s="15"/>
      <c r="K1053" s="15"/>
      <c r="L1053" s="15"/>
      <c r="M1053" s="15"/>
      <c r="N1053" s="15"/>
      <c r="O1053" s="15"/>
      <c r="P1053" s="15"/>
      <c r="Q1053" s="15"/>
      <c r="R1053" s="15"/>
      <c r="S1053" s="15"/>
      <c r="T1053" s="15"/>
      <c r="U1053" s="15"/>
      <c r="V1053" s="15"/>
    </row>
    <row r="1054" spans="1:22">
      <c r="A1054" s="15"/>
      <c r="C1054" s="15"/>
      <c r="D1054" s="15"/>
      <c r="E1054" s="15"/>
      <c r="F1054" s="15"/>
      <c r="G1054" s="15"/>
      <c r="H1054" s="15"/>
      <c r="I1054" s="15"/>
      <c r="J1054" s="15"/>
      <c r="K1054" s="15"/>
      <c r="L1054" s="15"/>
      <c r="M1054" s="15"/>
      <c r="N1054" s="15"/>
      <c r="O1054" s="15"/>
      <c r="P1054" s="15"/>
      <c r="Q1054" s="15"/>
      <c r="R1054" s="15"/>
      <c r="S1054" s="15"/>
      <c r="T1054" s="15"/>
      <c r="U1054" s="15"/>
      <c r="V1054" s="15"/>
    </row>
    <row r="1055" spans="1:22">
      <c r="A1055" s="15"/>
      <c r="C1055" s="15"/>
      <c r="D1055" s="15"/>
      <c r="E1055" s="15"/>
      <c r="F1055" s="15"/>
      <c r="G1055" s="15"/>
      <c r="H1055" s="15"/>
      <c r="I1055" s="15"/>
      <c r="J1055" s="15"/>
      <c r="K1055" s="15"/>
      <c r="L1055" s="15"/>
      <c r="M1055" s="15"/>
      <c r="N1055" s="15"/>
      <c r="O1055" s="15"/>
      <c r="P1055" s="15"/>
      <c r="Q1055" s="15"/>
      <c r="R1055" s="15"/>
      <c r="S1055" s="15"/>
      <c r="T1055" s="15"/>
      <c r="U1055" s="15"/>
      <c r="V1055" s="15"/>
    </row>
    <row r="1056" spans="1:22">
      <c r="A1056" s="15"/>
      <c r="C1056" s="15"/>
      <c r="D1056" s="15"/>
      <c r="E1056" s="15"/>
      <c r="F1056" s="15"/>
      <c r="G1056" s="15"/>
      <c r="H1056" s="15"/>
      <c r="I1056" s="15"/>
      <c r="J1056" s="15"/>
      <c r="K1056" s="15"/>
      <c r="L1056" s="15"/>
      <c r="M1056" s="15"/>
      <c r="N1056" s="15"/>
      <c r="O1056" s="15"/>
      <c r="P1056" s="15"/>
      <c r="Q1056" s="15"/>
      <c r="R1056" s="15"/>
      <c r="S1056" s="15"/>
      <c r="T1056" s="15"/>
      <c r="U1056" s="15"/>
      <c r="V1056" s="15"/>
    </row>
    <row r="1057" spans="1:22">
      <c r="A1057" s="15"/>
      <c r="C1057" s="15"/>
      <c r="D1057" s="15"/>
      <c r="E1057" s="15"/>
      <c r="F1057" s="15"/>
      <c r="G1057" s="15"/>
      <c r="H1057" s="15"/>
      <c r="I1057" s="15"/>
      <c r="J1057" s="15"/>
      <c r="K1057" s="15"/>
      <c r="L1057" s="15"/>
      <c r="M1057" s="15"/>
      <c r="N1057" s="15"/>
      <c r="O1057" s="15"/>
      <c r="P1057" s="15"/>
      <c r="Q1057" s="15"/>
      <c r="R1057" s="15"/>
      <c r="S1057" s="15"/>
      <c r="T1057" s="15"/>
      <c r="U1057" s="15"/>
      <c r="V1057" s="15"/>
    </row>
    <row r="1058" spans="1:22">
      <c r="A1058" s="15"/>
      <c r="C1058" s="15"/>
      <c r="D1058" s="15"/>
      <c r="E1058" s="15"/>
      <c r="F1058" s="15"/>
      <c r="G1058" s="15"/>
      <c r="H1058" s="15"/>
      <c r="I1058" s="15"/>
      <c r="J1058" s="15"/>
      <c r="K1058" s="15"/>
      <c r="L1058" s="15"/>
      <c r="M1058" s="15"/>
      <c r="N1058" s="15"/>
      <c r="O1058" s="15"/>
      <c r="P1058" s="15"/>
      <c r="Q1058" s="15"/>
      <c r="R1058" s="15"/>
      <c r="S1058" s="15"/>
      <c r="T1058" s="15"/>
      <c r="U1058" s="15"/>
      <c r="V1058" s="15"/>
    </row>
    <row r="1059" spans="1:22">
      <c r="A1059" s="15"/>
      <c r="C1059" s="15"/>
      <c r="D1059" s="15"/>
      <c r="E1059" s="15"/>
      <c r="F1059" s="15"/>
      <c r="G1059" s="15"/>
      <c r="H1059" s="15"/>
      <c r="I1059" s="15"/>
      <c r="J1059" s="15"/>
      <c r="K1059" s="15"/>
      <c r="L1059" s="15"/>
      <c r="M1059" s="15"/>
      <c r="N1059" s="15"/>
      <c r="O1059" s="15"/>
      <c r="P1059" s="15"/>
      <c r="Q1059" s="15"/>
      <c r="R1059" s="15"/>
      <c r="S1059" s="15"/>
      <c r="T1059" s="15"/>
      <c r="U1059" s="15"/>
      <c r="V1059" s="15"/>
    </row>
    <row r="1060" spans="1:22">
      <c r="A1060" s="15"/>
      <c r="C1060" s="15"/>
      <c r="D1060" s="15"/>
      <c r="E1060" s="15"/>
      <c r="F1060" s="15"/>
      <c r="G1060" s="15"/>
      <c r="H1060" s="15"/>
      <c r="I1060" s="15"/>
      <c r="J1060" s="15"/>
      <c r="K1060" s="15"/>
      <c r="L1060" s="15"/>
      <c r="M1060" s="15"/>
      <c r="N1060" s="15"/>
      <c r="O1060" s="15"/>
      <c r="P1060" s="15"/>
      <c r="Q1060" s="15"/>
      <c r="R1060" s="15"/>
      <c r="S1060" s="15"/>
      <c r="T1060" s="15"/>
      <c r="U1060" s="15"/>
      <c r="V1060" s="15"/>
    </row>
    <row r="1061" spans="1:22">
      <c r="A1061" s="15"/>
      <c r="C1061" s="15"/>
      <c r="D1061" s="15"/>
      <c r="E1061" s="15"/>
      <c r="F1061" s="15"/>
      <c r="G1061" s="15"/>
      <c r="H1061" s="15"/>
      <c r="I1061" s="15"/>
      <c r="J1061" s="15"/>
      <c r="K1061" s="15"/>
      <c r="L1061" s="15"/>
      <c r="M1061" s="15"/>
      <c r="N1061" s="15"/>
      <c r="O1061" s="15"/>
      <c r="P1061" s="15"/>
      <c r="Q1061" s="15"/>
      <c r="R1061" s="15"/>
      <c r="S1061" s="15"/>
      <c r="T1061" s="15"/>
      <c r="U1061" s="15"/>
      <c r="V1061" s="15"/>
    </row>
    <row r="1062" spans="1:22">
      <c r="A1062" s="15"/>
      <c r="C1062" s="15"/>
      <c r="D1062" s="15"/>
      <c r="E1062" s="15"/>
      <c r="F1062" s="15"/>
      <c r="G1062" s="15"/>
      <c r="H1062" s="15"/>
      <c r="I1062" s="15"/>
      <c r="J1062" s="15"/>
      <c r="K1062" s="15"/>
      <c r="L1062" s="15"/>
      <c r="M1062" s="15"/>
      <c r="N1062" s="15"/>
      <c r="O1062" s="15"/>
      <c r="P1062" s="15"/>
      <c r="Q1062" s="15"/>
      <c r="R1062" s="15"/>
      <c r="S1062" s="15"/>
      <c r="T1062" s="15"/>
      <c r="U1062" s="15"/>
      <c r="V1062" s="15"/>
    </row>
    <row r="1063" spans="1:22">
      <c r="A1063" s="15"/>
      <c r="C1063" s="15"/>
      <c r="D1063" s="15"/>
      <c r="E1063" s="15"/>
      <c r="F1063" s="15"/>
      <c r="G1063" s="15"/>
      <c r="H1063" s="15"/>
      <c r="I1063" s="15"/>
      <c r="J1063" s="15"/>
      <c r="K1063" s="15"/>
      <c r="L1063" s="15"/>
      <c r="M1063" s="15"/>
      <c r="N1063" s="15"/>
      <c r="O1063" s="15"/>
      <c r="P1063" s="15"/>
      <c r="Q1063" s="15"/>
      <c r="R1063" s="15"/>
      <c r="S1063" s="15"/>
      <c r="T1063" s="15"/>
      <c r="U1063" s="15"/>
      <c r="V1063" s="15"/>
    </row>
    <row r="1064" spans="1:22">
      <c r="A1064" s="15"/>
      <c r="C1064" s="15"/>
      <c r="D1064" s="15"/>
      <c r="E1064" s="15"/>
      <c r="F1064" s="15"/>
      <c r="G1064" s="15"/>
      <c r="H1064" s="15"/>
      <c r="I1064" s="15"/>
      <c r="J1064" s="15"/>
      <c r="K1064" s="15"/>
      <c r="L1064" s="15"/>
      <c r="M1064" s="15"/>
      <c r="N1064" s="15"/>
      <c r="O1064" s="15"/>
      <c r="P1064" s="15"/>
      <c r="Q1064" s="15"/>
      <c r="R1064" s="15"/>
      <c r="S1064" s="15"/>
      <c r="T1064" s="15"/>
      <c r="U1064" s="15"/>
      <c r="V1064" s="15"/>
    </row>
    <row r="1065" spans="1:22">
      <c r="A1065" s="15"/>
      <c r="C1065" s="15"/>
      <c r="D1065" s="15"/>
      <c r="E1065" s="15"/>
      <c r="F1065" s="15"/>
      <c r="G1065" s="15"/>
      <c r="H1065" s="15"/>
      <c r="I1065" s="15"/>
      <c r="J1065" s="15"/>
      <c r="K1065" s="15"/>
      <c r="L1065" s="15"/>
      <c r="M1065" s="15"/>
      <c r="N1065" s="15"/>
      <c r="O1065" s="15"/>
      <c r="P1065" s="15"/>
      <c r="Q1065" s="15"/>
      <c r="R1065" s="15"/>
      <c r="S1065" s="15"/>
      <c r="T1065" s="15"/>
      <c r="U1065" s="15"/>
      <c r="V1065" s="15"/>
    </row>
    <row r="1066" spans="1:22">
      <c r="A1066" s="15"/>
      <c r="C1066" s="15"/>
      <c r="D1066" s="15"/>
      <c r="E1066" s="15"/>
      <c r="F1066" s="15"/>
      <c r="G1066" s="15"/>
      <c r="H1066" s="15"/>
      <c r="I1066" s="15"/>
      <c r="J1066" s="15"/>
      <c r="K1066" s="15"/>
      <c r="L1066" s="15"/>
      <c r="M1066" s="15"/>
      <c r="N1066" s="15"/>
      <c r="O1066" s="15"/>
      <c r="P1066" s="15"/>
      <c r="Q1066" s="15"/>
      <c r="R1066" s="15"/>
      <c r="S1066" s="15"/>
      <c r="T1066" s="15"/>
      <c r="U1066" s="15"/>
      <c r="V1066" s="15"/>
    </row>
    <row r="1067" spans="1:22">
      <c r="A1067" s="15"/>
      <c r="C1067" s="15"/>
      <c r="D1067" s="15"/>
      <c r="E1067" s="15"/>
      <c r="F1067" s="15"/>
      <c r="G1067" s="15"/>
      <c r="H1067" s="15"/>
      <c r="I1067" s="15"/>
      <c r="J1067" s="15"/>
      <c r="K1067" s="15"/>
      <c r="L1067" s="15"/>
      <c r="M1067" s="15"/>
      <c r="N1067" s="15"/>
      <c r="O1067" s="15"/>
      <c r="P1067" s="15"/>
      <c r="Q1067" s="15"/>
      <c r="R1067" s="15"/>
      <c r="S1067" s="15"/>
      <c r="T1067" s="15"/>
      <c r="U1067" s="15"/>
      <c r="V1067" s="15"/>
    </row>
    <row r="1068" spans="1:22">
      <c r="A1068" s="15"/>
      <c r="C1068" s="15"/>
      <c r="D1068" s="15"/>
      <c r="E1068" s="15"/>
      <c r="F1068" s="15"/>
      <c r="G1068" s="15"/>
      <c r="H1068" s="15"/>
      <c r="I1068" s="15"/>
      <c r="J1068" s="15"/>
      <c r="K1068" s="15"/>
      <c r="L1068" s="15"/>
      <c r="M1068" s="15"/>
      <c r="N1068" s="15"/>
      <c r="O1068" s="15"/>
      <c r="P1068" s="15"/>
      <c r="Q1068" s="15"/>
      <c r="R1068" s="15"/>
      <c r="S1068" s="15"/>
      <c r="T1068" s="15"/>
      <c r="U1068" s="15"/>
      <c r="V1068" s="15"/>
    </row>
    <row r="1069" spans="1:22">
      <c r="A1069" s="15"/>
      <c r="C1069" s="15"/>
      <c r="D1069" s="15"/>
      <c r="E1069" s="15"/>
      <c r="F1069" s="15"/>
      <c r="G1069" s="15"/>
      <c r="H1069" s="15"/>
      <c r="I1069" s="15"/>
      <c r="J1069" s="15"/>
      <c r="K1069" s="15"/>
      <c r="L1069" s="15"/>
      <c r="M1069" s="15"/>
      <c r="N1069" s="15"/>
      <c r="O1069" s="15"/>
      <c r="P1069" s="15"/>
      <c r="Q1069" s="15"/>
      <c r="R1069" s="15"/>
      <c r="S1069" s="15"/>
      <c r="T1069" s="15"/>
      <c r="U1069" s="15"/>
      <c r="V1069" s="15"/>
    </row>
    <row r="1070" spans="1:22">
      <c r="A1070" s="15"/>
      <c r="C1070" s="15"/>
      <c r="D1070" s="15"/>
      <c r="E1070" s="15"/>
      <c r="F1070" s="15"/>
      <c r="G1070" s="15"/>
      <c r="H1070" s="15"/>
      <c r="I1070" s="15"/>
      <c r="J1070" s="15"/>
      <c r="K1070" s="15"/>
      <c r="L1070" s="15"/>
      <c r="M1070" s="15"/>
      <c r="N1070" s="15"/>
      <c r="O1070" s="15"/>
      <c r="P1070" s="15"/>
      <c r="Q1070" s="15"/>
      <c r="R1070" s="15"/>
      <c r="S1070" s="15"/>
      <c r="T1070" s="15"/>
      <c r="U1070" s="15"/>
      <c r="V1070" s="15"/>
    </row>
    <row r="1071" spans="1:22">
      <c r="A1071" s="15"/>
      <c r="C1071" s="15"/>
      <c r="D1071" s="15"/>
      <c r="E1071" s="15"/>
      <c r="F1071" s="15"/>
      <c r="G1071" s="15"/>
      <c r="H1071" s="15"/>
      <c r="I1071" s="15"/>
      <c r="J1071" s="15"/>
      <c r="K1071" s="15"/>
      <c r="L1071" s="15"/>
      <c r="M1071" s="15"/>
      <c r="N1071" s="15"/>
      <c r="O1071" s="15"/>
      <c r="P1071" s="15"/>
      <c r="Q1071" s="15"/>
      <c r="R1071" s="15"/>
      <c r="S1071" s="15"/>
      <c r="T1071" s="15"/>
      <c r="U1071" s="15"/>
      <c r="V1071" s="15"/>
    </row>
    <row r="1072" spans="1:22">
      <c r="A1072" s="15"/>
      <c r="C1072" s="15"/>
      <c r="D1072" s="15"/>
      <c r="E1072" s="15"/>
      <c r="F1072" s="15"/>
      <c r="G1072" s="15"/>
      <c r="H1072" s="15"/>
      <c r="I1072" s="15"/>
      <c r="J1072" s="15"/>
      <c r="K1072" s="15"/>
      <c r="L1072" s="15"/>
      <c r="M1072" s="15"/>
      <c r="N1072" s="15"/>
      <c r="O1072" s="15"/>
      <c r="P1072" s="15"/>
      <c r="Q1072" s="15"/>
      <c r="R1072" s="15"/>
      <c r="S1072" s="15"/>
      <c r="T1072" s="15"/>
      <c r="U1072" s="15"/>
      <c r="V1072" s="15"/>
    </row>
    <row r="1073" spans="1:22">
      <c r="A1073" s="15"/>
      <c r="C1073" s="15"/>
      <c r="D1073" s="15"/>
      <c r="E1073" s="15"/>
      <c r="F1073" s="15"/>
      <c r="G1073" s="15"/>
      <c r="H1073" s="15"/>
      <c r="I1073" s="15"/>
      <c r="J1073" s="15"/>
      <c r="K1073" s="15"/>
      <c r="L1073" s="15"/>
      <c r="M1073" s="15"/>
      <c r="N1073" s="15"/>
      <c r="O1073" s="15"/>
      <c r="P1073" s="15"/>
      <c r="Q1073" s="15"/>
      <c r="R1073" s="15"/>
      <c r="S1073" s="15"/>
      <c r="T1073" s="15"/>
      <c r="U1073" s="15"/>
      <c r="V1073" s="15"/>
    </row>
    <row r="1074" spans="1:22">
      <c r="A1074" s="15"/>
      <c r="C1074" s="15"/>
      <c r="D1074" s="15"/>
      <c r="E1074" s="15"/>
      <c r="F1074" s="15"/>
      <c r="G1074" s="15"/>
      <c r="H1074" s="15"/>
      <c r="I1074" s="15"/>
      <c r="J1074" s="15"/>
      <c r="K1074" s="15"/>
      <c r="L1074" s="15"/>
      <c r="M1074" s="15"/>
      <c r="N1074" s="15"/>
      <c r="O1074" s="15"/>
      <c r="P1074" s="15"/>
      <c r="Q1074" s="15"/>
      <c r="R1074" s="15"/>
      <c r="S1074" s="15"/>
      <c r="T1074" s="15"/>
      <c r="U1074" s="15"/>
      <c r="V1074" s="15"/>
    </row>
    <row r="1075" spans="1:22">
      <c r="A1075" s="15"/>
      <c r="C1075" s="15"/>
      <c r="D1075" s="15"/>
      <c r="E1075" s="15"/>
      <c r="F1075" s="15"/>
      <c r="G1075" s="15"/>
      <c r="H1075" s="15"/>
      <c r="I1075" s="15"/>
      <c r="J1075" s="15"/>
      <c r="K1075" s="15"/>
      <c r="L1075" s="15"/>
      <c r="M1075" s="15"/>
      <c r="N1075" s="15"/>
      <c r="O1075" s="15"/>
      <c r="P1075" s="15"/>
      <c r="Q1075" s="15"/>
      <c r="R1075" s="15"/>
      <c r="S1075" s="15"/>
      <c r="T1075" s="15"/>
      <c r="U1075" s="15"/>
      <c r="V1075" s="15"/>
    </row>
    <row r="1076" spans="1:22">
      <c r="A1076" s="15"/>
      <c r="C1076" s="15"/>
      <c r="D1076" s="15"/>
      <c r="E1076" s="15"/>
      <c r="F1076" s="15"/>
      <c r="G1076" s="15"/>
      <c r="H1076" s="15"/>
      <c r="I1076" s="15"/>
      <c r="J1076" s="15"/>
      <c r="K1076" s="15"/>
      <c r="L1076" s="15"/>
      <c r="M1076" s="15"/>
      <c r="N1076" s="15"/>
      <c r="O1076" s="15"/>
      <c r="P1076" s="15"/>
      <c r="Q1076" s="15"/>
      <c r="R1076" s="15"/>
      <c r="S1076" s="15"/>
      <c r="T1076" s="15"/>
      <c r="U1076" s="15"/>
      <c r="V1076" s="15"/>
    </row>
    <row r="1077" spans="1:22">
      <c r="A1077" s="15"/>
      <c r="C1077" s="15"/>
      <c r="D1077" s="15"/>
      <c r="E1077" s="15"/>
      <c r="F1077" s="15"/>
      <c r="G1077" s="15"/>
      <c r="H1077" s="15"/>
      <c r="I1077" s="15"/>
      <c r="J1077" s="15"/>
      <c r="K1077" s="15"/>
      <c r="L1077" s="15"/>
      <c r="M1077" s="15"/>
      <c r="N1077" s="15"/>
      <c r="O1077" s="15"/>
      <c r="P1077" s="15"/>
      <c r="Q1077" s="15"/>
      <c r="R1077" s="15"/>
      <c r="S1077" s="15"/>
      <c r="T1077" s="15"/>
      <c r="U1077" s="15"/>
      <c r="V1077" s="15"/>
    </row>
    <row r="1078" spans="1:22">
      <c r="A1078" s="15"/>
      <c r="C1078" s="15"/>
      <c r="D1078" s="15"/>
      <c r="E1078" s="15"/>
      <c r="F1078" s="15"/>
      <c r="G1078" s="15"/>
      <c r="H1078" s="15"/>
      <c r="I1078" s="15"/>
      <c r="J1078" s="15"/>
      <c r="K1078" s="15"/>
      <c r="L1078" s="15"/>
      <c r="M1078" s="15"/>
      <c r="N1078" s="15"/>
      <c r="O1078" s="15"/>
      <c r="P1078" s="15"/>
      <c r="Q1078" s="15"/>
      <c r="R1078" s="15"/>
      <c r="S1078" s="15"/>
      <c r="T1078" s="15"/>
      <c r="U1078" s="15"/>
      <c r="V1078" s="15"/>
    </row>
    <row r="1079" spans="1:22">
      <c r="A1079" s="15"/>
      <c r="C1079" s="15"/>
      <c r="D1079" s="15"/>
      <c r="E1079" s="15"/>
      <c r="F1079" s="15"/>
      <c r="G1079" s="15"/>
      <c r="H1079" s="15"/>
      <c r="I1079" s="15"/>
      <c r="J1079" s="15"/>
      <c r="K1079" s="15"/>
      <c r="L1079" s="15"/>
      <c r="M1079" s="15"/>
      <c r="N1079" s="15"/>
      <c r="O1079" s="15"/>
      <c r="P1079" s="15"/>
      <c r="Q1079" s="15"/>
      <c r="R1079" s="15"/>
      <c r="S1079" s="15"/>
      <c r="T1079" s="15"/>
      <c r="U1079" s="15"/>
      <c r="V1079" s="15"/>
    </row>
    <row r="1080" spans="1:22">
      <c r="A1080" s="15"/>
      <c r="C1080" s="15"/>
      <c r="D1080" s="15"/>
      <c r="E1080" s="15"/>
      <c r="F1080" s="15"/>
      <c r="G1080" s="15"/>
      <c r="H1080" s="15"/>
      <c r="I1080" s="15"/>
      <c r="J1080" s="15"/>
      <c r="K1080" s="15"/>
      <c r="L1080" s="15"/>
      <c r="M1080" s="15"/>
      <c r="N1080" s="15"/>
      <c r="O1080" s="15"/>
      <c r="P1080" s="15"/>
      <c r="Q1080" s="15"/>
      <c r="R1080" s="15"/>
      <c r="S1080" s="15"/>
      <c r="T1080" s="15"/>
      <c r="U1080" s="15"/>
      <c r="V1080" s="15"/>
    </row>
    <row r="1081" spans="1:22">
      <c r="A1081" s="15"/>
      <c r="C1081" s="15"/>
      <c r="D1081" s="15"/>
      <c r="E1081" s="15"/>
      <c r="F1081" s="15"/>
      <c r="G1081" s="15"/>
      <c r="H1081" s="15"/>
      <c r="I1081" s="15"/>
      <c r="J1081" s="15"/>
      <c r="K1081" s="15"/>
      <c r="L1081" s="15"/>
      <c r="M1081" s="15"/>
      <c r="N1081" s="15"/>
      <c r="O1081" s="15"/>
      <c r="P1081" s="15"/>
      <c r="Q1081" s="15"/>
      <c r="R1081" s="15"/>
      <c r="S1081" s="15"/>
      <c r="T1081" s="15"/>
      <c r="U1081" s="15"/>
      <c r="V1081" s="15"/>
    </row>
    <row r="1082" spans="1:22">
      <c r="A1082" s="15"/>
      <c r="C1082" s="15"/>
      <c r="D1082" s="15"/>
      <c r="E1082" s="15"/>
      <c r="F1082" s="15"/>
      <c r="G1082" s="15"/>
      <c r="H1082" s="15"/>
      <c r="I1082" s="15"/>
      <c r="J1082" s="15"/>
      <c r="K1082" s="15"/>
      <c r="L1082" s="15"/>
      <c r="M1082" s="15"/>
      <c r="N1082" s="15"/>
      <c r="O1082" s="15"/>
      <c r="P1082" s="15"/>
      <c r="Q1082" s="15"/>
      <c r="R1082" s="15"/>
      <c r="S1082" s="15"/>
      <c r="T1082" s="15"/>
      <c r="U1082" s="15"/>
      <c r="V1082" s="15"/>
    </row>
    <row r="1083" spans="1:22">
      <c r="A1083" s="15"/>
      <c r="C1083" s="15"/>
      <c r="D1083" s="15"/>
      <c r="E1083" s="15"/>
      <c r="F1083" s="15"/>
      <c r="G1083" s="15"/>
      <c r="H1083" s="15"/>
      <c r="I1083" s="15"/>
      <c r="J1083" s="15"/>
      <c r="K1083" s="15"/>
      <c r="L1083" s="15"/>
      <c r="M1083" s="15"/>
      <c r="N1083" s="15"/>
      <c r="O1083" s="15"/>
      <c r="P1083" s="15"/>
      <c r="Q1083" s="15"/>
      <c r="R1083" s="15"/>
      <c r="S1083" s="15"/>
      <c r="T1083" s="15"/>
      <c r="U1083" s="15"/>
      <c r="V1083" s="15"/>
    </row>
    <row r="1084" spans="1:22">
      <c r="A1084" s="15"/>
      <c r="C1084" s="15"/>
      <c r="D1084" s="15"/>
      <c r="E1084" s="15"/>
      <c r="F1084" s="15"/>
      <c r="G1084" s="15"/>
      <c r="H1084" s="15"/>
      <c r="I1084" s="15"/>
      <c r="J1084" s="15"/>
      <c r="K1084" s="15"/>
      <c r="L1084" s="15"/>
      <c r="M1084" s="15"/>
      <c r="N1084" s="15"/>
      <c r="O1084" s="15"/>
      <c r="P1084" s="15"/>
      <c r="Q1084" s="15"/>
      <c r="R1084" s="15"/>
      <c r="S1084" s="15"/>
      <c r="T1084" s="15"/>
      <c r="U1084" s="15"/>
      <c r="V1084" s="15"/>
    </row>
    <row r="1085" spans="1:22">
      <c r="A1085" s="15"/>
      <c r="C1085" s="15"/>
      <c r="D1085" s="15"/>
      <c r="E1085" s="15"/>
      <c r="F1085" s="15"/>
      <c r="G1085" s="15"/>
      <c r="H1085" s="15"/>
      <c r="I1085" s="15"/>
      <c r="J1085" s="15"/>
      <c r="K1085" s="15"/>
      <c r="L1085" s="15"/>
      <c r="M1085" s="15"/>
      <c r="N1085" s="15"/>
      <c r="O1085" s="15"/>
      <c r="P1085" s="15"/>
      <c r="Q1085" s="15"/>
      <c r="R1085" s="15"/>
      <c r="S1085" s="15"/>
      <c r="T1085" s="15"/>
      <c r="U1085" s="15"/>
      <c r="V1085" s="15"/>
    </row>
    <row r="1086" spans="1:22">
      <c r="A1086" s="15"/>
      <c r="C1086" s="15"/>
      <c r="D1086" s="15"/>
      <c r="E1086" s="15"/>
      <c r="F1086" s="15"/>
      <c r="G1086" s="15"/>
      <c r="H1086" s="15"/>
      <c r="I1086" s="15"/>
      <c r="J1086" s="15"/>
      <c r="K1086" s="15"/>
      <c r="L1086" s="15"/>
      <c r="M1086" s="15"/>
      <c r="N1086" s="15"/>
      <c r="O1086" s="15"/>
      <c r="P1086" s="15"/>
      <c r="Q1086" s="15"/>
      <c r="R1086" s="15"/>
      <c r="S1086" s="15"/>
      <c r="T1086" s="15"/>
      <c r="U1086" s="15"/>
      <c r="V1086" s="15"/>
    </row>
    <row r="1087" spans="1:22">
      <c r="A1087" s="15"/>
      <c r="C1087" s="15"/>
      <c r="D1087" s="15"/>
      <c r="E1087" s="15"/>
      <c r="F1087" s="15"/>
      <c r="G1087" s="15"/>
      <c r="H1087" s="15"/>
      <c r="I1087" s="15"/>
      <c r="J1087" s="15"/>
      <c r="K1087" s="15"/>
      <c r="L1087" s="15"/>
      <c r="M1087" s="15"/>
      <c r="N1087" s="15"/>
      <c r="O1087" s="15"/>
      <c r="P1087" s="15"/>
      <c r="Q1087" s="15"/>
      <c r="R1087" s="15"/>
      <c r="S1087" s="15"/>
      <c r="T1087" s="15"/>
      <c r="U1087" s="15"/>
      <c r="V1087" s="15"/>
    </row>
    <row r="1088" spans="1:22">
      <c r="A1088" s="15"/>
      <c r="C1088" s="15"/>
      <c r="D1088" s="15"/>
      <c r="E1088" s="15"/>
      <c r="F1088" s="15"/>
      <c r="G1088" s="15"/>
      <c r="H1088" s="15"/>
      <c r="I1088" s="15"/>
      <c r="J1088" s="15"/>
      <c r="K1088" s="15"/>
      <c r="L1088" s="15"/>
      <c r="M1088" s="15"/>
      <c r="N1088" s="15"/>
      <c r="O1088" s="15"/>
      <c r="P1088" s="15"/>
      <c r="Q1088" s="15"/>
      <c r="R1088" s="15"/>
      <c r="S1088" s="15"/>
      <c r="T1088" s="15"/>
      <c r="U1088" s="15"/>
      <c r="V1088" s="15"/>
    </row>
    <row r="1089" spans="1:22">
      <c r="A1089" s="15"/>
      <c r="C1089" s="15"/>
      <c r="D1089" s="15"/>
      <c r="E1089" s="15"/>
      <c r="F1089" s="15"/>
      <c r="G1089" s="15"/>
      <c r="H1089" s="15"/>
      <c r="I1089" s="15"/>
      <c r="J1089" s="15"/>
      <c r="K1089" s="15"/>
      <c r="L1089" s="15"/>
      <c r="M1089" s="15"/>
      <c r="N1089" s="15"/>
      <c r="O1089" s="15"/>
      <c r="P1089" s="15"/>
      <c r="Q1089" s="15"/>
      <c r="R1089" s="15"/>
      <c r="S1089" s="15"/>
      <c r="T1089" s="15"/>
      <c r="U1089" s="15"/>
      <c r="V1089" s="15"/>
    </row>
    <row r="1090" spans="1:22">
      <c r="A1090" s="15"/>
      <c r="C1090" s="15"/>
      <c r="D1090" s="15"/>
      <c r="E1090" s="15"/>
      <c r="F1090" s="15"/>
      <c r="G1090" s="15"/>
      <c r="H1090" s="15"/>
      <c r="I1090" s="15"/>
      <c r="J1090" s="15"/>
      <c r="K1090" s="15"/>
      <c r="L1090" s="15"/>
      <c r="M1090" s="15"/>
      <c r="N1090" s="15"/>
      <c r="O1090" s="15"/>
      <c r="P1090" s="15"/>
      <c r="Q1090" s="15"/>
      <c r="R1090" s="15"/>
      <c r="S1090" s="15"/>
      <c r="T1090" s="15"/>
      <c r="U1090" s="15"/>
      <c r="V1090" s="15"/>
    </row>
    <row r="1091" spans="1:22">
      <c r="A1091" s="15"/>
      <c r="C1091" s="15"/>
      <c r="D1091" s="15"/>
      <c r="E1091" s="15"/>
      <c r="F1091" s="15"/>
      <c r="G1091" s="15"/>
      <c r="H1091" s="15"/>
      <c r="I1091" s="15"/>
      <c r="J1091" s="15"/>
      <c r="K1091" s="15"/>
      <c r="L1091" s="15"/>
      <c r="M1091" s="15"/>
      <c r="N1091" s="15"/>
      <c r="O1091" s="15"/>
      <c r="P1091" s="15"/>
      <c r="Q1091" s="15"/>
      <c r="R1091" s="15"/>
      <c r="S1091" s="15"/>
      <c r="T1091" s="15"/>
      <c r="U1091" s="15"/>
      <c r="V1091" s="15"/>
    </row>
    <row r="1092" spans="1:22">
      <c r="A1092" s="15"/>
      <c r="C1092" s="15"/>
      <c r="D1092" s="15"/>
      <c r="E1092" s="15"/>
      <c r="F1092" s="15"/>
      <c r="G1092" s="15"/>
      <c r="H1092" s="15"/>
      <c r="I1092" s="15"/>
      <c r="J1092" s="15"/>
      <c r="K1092" s="15"/>
      <c r="L1092" s="15"/>
      <c r="M1092" s="15"/>
      <c r="N1092" s="15"/>
      <c r="O1092" s="15"/>
      <c r="P1092" s="15"/>
      <c r="Q1092" s="15"/>
      <c r="R1092" s="15"/>
      <c r="S1092" s="15"/>
      <c r="T1092" s="15"/>
      <c r="U1092" s="15"/>
      <c r="V1092" s="15"/>
    </row>
    <row r="1093" spans="1:22">
      <c r="A1093" s="15"/>
      <c r="C1093" s="15"/>
      <c r="D1093" s="15"/>
      <c r="E1093" s="15"/>
      <c r="F1093" s="15"/>
      <c r="G1093" s="15"/>
      <c r="H1093" s="15"/>
      <c r="I1093" s="15"/>
      <c r="J1093" s="15"/>
      <c r="K1093" s="15"/>
      <c r="L1093" s="15"/>
      <c r="M1093" s="15"/>
      <c r="N1093" s="15"/>
      <c r="O1093" s="15"/>
      <c r="P1093" s="15"/>
      <c r="Q1093" s="15"/>
      <c r="R1093" s="15"/>
      <c r="S1093" s="15"/>
      <c r="T1093" s="15"/>
      <c r="U1093" s="15"/>
      <c r="V1093" s="15"/>
    </row>
    <row r="1094" spans="1:22">
      <c r="A1094" s="15"/>
      <c r="C1094" s="15"/>
      <c r="D1094" s="15"/>
      <c r="E1094" s="15"/>
      <c r="F1094" s="15"/>
      <c r="G1094" s="15"/>
      <c r="H1094" s="15"/>
      <c r="I1094" s="15"/>
      <c r="J1094" s="15"/>
      <c r="K1094" s="15"/>
      <c r="L1094" s="15"/>
      <c r="M1094" s="15"/>
      <c r="N1094" s="15"/>
      <c r="O1094" s="15"/>
      <c r="P1094" s="15"/>
      <c r="Q1094" s="15"/>
      <c r="R1094" s="15"/>
      <c r="S1094" s="15"/>
      <c r="T1094" s="15"/>
      <c r="U1094" s="15"/>
      <c r="V1094" s="15"/>
    </row>
    <row r="1095" spans="1:22">
      <c r="A1095" s="15"/>
      <c r="C1095" s="15"/>
      <c r="D1095" s="15"/>
      <c r="E1095" s="15"/>
      <c r="F1095" s="15"/>
      <c r="G1095" s="15"/>
      <c r="H1095" s="15"/>
      <c r="I1095" s="15"/>
      <c r="J1095" s="15"/>
      <c r="K1095" s="15"/>
      <c r="L1095" s="15"/>
      <c r="M1095" s="15"/>
      <c r="N1095" s="15"/>
      <c r="O1095" s="15"/>
      <c r="P1095" s="15"/>
      <c r="Q1095" s="15"/>
      <c r="R1095" s="15"/>
      <c r="S1095" s="15"/>
      <c r="T1095" s="15"/>
      <c r="U1095" s="15"/>
      <c r="V1095" s="15"/>
    </row>
    <row r="1096" spans="1:22">
      <c r="A1096" s="15"/>
      <c r="C1096" s="15"/>
      <c r="D1096" s="15"/>
      <c r="E1096" s="15"/>
      <c r="F1096" s="15"/>
      <c r="G1096" s="15"/>
      <c r="H1096" s="15"/>
      <c r="I1096" s="15"/>
      <c r="J1096" s="15"/>
      <c r="K1096" s="15"/>
      <c r="L1096" s="15"/>
      <c r="M1096" s="15"/>
      <c r="N1096" s="15"/>
      <c r="O1096" s="15"/>
      <c r="P1096" s="15"/>
      <c r="Q1096" s="15"/>
      <c r="R1096" s="15"/>
      <c r="S1096" s="15"/>
      <c r="T1096" s="15"/>
      <c r="U1096" s="15"/>
      <c r="V1096" s="15"/>
    </row>
    <row r="1097" spans="1:22">
      <c r="A1097" s="15"/>
      <c r="C1097" s="15"/>
      <c r="D1097" s="15"/>
      <c r="E1097" s="15"/>
      <c r="F1097" s="15"/>
      <c r="G1097" s="15"/>
      <c r="H1097" s="15"/>
      <c r="I1097" s="15"/>
      <c r="J1097" s="15"/>
      <c r="K1097" s="15"/>
      <c r="L1097" s="15"/>
      <c r="M1097" s="15"/>
      <c r="N1097" s="15"/>
      <c r="O1097" s="15"/>
      <c r="P1097" s="15"/>
      <c r="Q1097" s="15"/>
      <c r="R1097" s="15"/>
      <c r="S1097" s="15"/>
      <c r="T1097" s="15"/>
      <c r="U1097" s="15"/>
      <c r="V1097" s="15"/>
    </row>
    <row r="1098" spans="1:22">
      <c r="A1098" s="15"/>
      <c r="C1098" s="15"/>
      <c r="D1098" s="15"/>
      <c r="E1098" s="15"/>
      <c r="F1098" s="15"/>
      <c r="G1098" s="15"/>
      <c r="H1098" s="15"/>
      <c r="I1098" s="15"/>
      <c r="J1098" s="15"/>
      <c r="K1098" s="15"/>
      <c r="L1098" s="15"/>
      <c r="M1098" s="15"/>
      <c r="N1098" s="15"/>
      <c r="O1098" s="15"/>
      <c r="P1098" s="15"/>
      <c r="Q1098" s="15"/>
      <c r="R1098" s="15"/>
      <c r="S1098" s="15"/>
      <c r="T1098" s="15"/>
      <c r="U1098" s="15"/>
      <c r="V1098" s="15"/>
    </row>
    <row r="1099" spans="1:22">
      <c r="A1099" s="15"/>
      <c r="C1099" s="15"/>
      <c r="D1099" s="15"/>
      <c r="E1099" s="15"/>
      <c r="F1099" s="15"/>
      <c r="G1099" s="15"/>
      <c r="H1099" s="15"/>
      <c r="I1099" s="15"/>
      <c r="J1099" s="15"/>
      <c r="K1099" s="15"/>
      <c r="L1099" s="15"/>
      <c r="M1099" s="15"/>
      <c r="N1099" s="15"/>
      <c r="O1099" s="15"/>
      <c r="P1099" s="15"/>
      <c r="Q1099" s="15"/>
      <c r="R1099" s="15"/>
      <c r="S1099" s="15"/>
      <c r="T1099" s="15"/>
      <c r="U1099" s="15"/>
      <c r="V1099" s="15"/>
    </row>
    <row r="1100" spans="1:22">
      <c r="A1100" s="15"/>
      <c r="C1100" s="15"/>
      <c r="D1100" s="15"/>
      <c r="E1100" s="15"/>
      <c r="F1100" s="15"/>
      <c r="G1100" s="15"/>
      <c r="H1100" s="15"/>
      <c r="I1100" s="15"/>
      <c r="J1100" s="15"/>
      <c r="K1100" s="15"/>
      <c r="L1100" s="15"/>
      <c r="M1100" s="15"/>
      <c r="N1100" s="15"/>
      <c r="O1100" s="15"/>
      <c r="P1100" s="15"/>
      <c r="Q1100" s="15"/>
      <c r="R1100" s="15"/>
      <c r="S1100" s="15"/>
      <c r="T1100" s="15"/>
      <c r="U1100" s="15"/>
      <c r="V1100" s="15"/>
    </row>
    <row r="1101" spans="1:22">
      <c r="A1101" s="15"/>
      <c r="C1101" s="15"/>
      <c r="D1101" s="15"/>
      <c r="E1101" s="15"/>
      <c r="F1101" s="15"/>
      <c r="G1101" s="15"/>
      <c r="H1101" s="15"/>
      <c r="I1101" s="15"/>
      <c r="J1101" s="15"/>
      <c r="K1101" s="15"/>
      <c r="L1101" s="15"/>
      <c r="M1101" s="15"/>
      <c r="N1101" s="15"/>
      <c r="O1101" s="15"/>
      <c r="P1101" s="15"/>
      <c r="Q1101" s="15"/>
      <c r="R1101" s="15"/>
      <c r="S1101" s="15"/>
      <c r="T1101" s="15"/>
      <c r="U1101" s="15"/>
      <c r="V1101" s="15"/>
    </row>
    <row r="1102" spans="1:22">
      <c r="A1102" s="15"/>
      <c r="C1102" s="15"/>
      <c r="D1102" s="15"/>
      <c r="E1102" s="15"/>
      <c r="F1102" s="15"/>
      <c r="G1102" s="15"/>
      <c r="H1102" s="15"/>
      <c r="I1102" s="15"/>
      <c r="J1102" s="15"/>
      <c r="K1102" s="15"/>
      <c r="L1102" s="15"/>
      <c r="M1102" s="15"/>
      <c r="N1102" s="15"/>
      <c r="O1102" s="15"/>
      <c r="P1102" s="15"/>
      <c r="Q1102" s="15"/>
      <c r="R1102" s="15"/>
      <c r="S1102" s="15"/>
      <c r="T1102" s="15"/>
      <c r="U1102" s="15"/>
      <c r="V1102" s="15"/>
    </row>
    <row r="1103" spans="1:22">
      <c r="A1103" s="15"/>
      <c r="C1103" s="15"/>
      <c r="D1103" s="15"/>
      <c r="E1103" s="15"/>
      <c r="F1103" s="15"/>
      <c r="G1103" s="15"/>
      <c r="H1103" s="15"/>
      <c r="I1103" s="15"/>
      <c r="J1103" s="15"/>
      <c r="K1103" s="15"/>
      <c r="L1103" s="15"/>
      <c r="M1103" s="15"/>
      <c r="N1103" s="15"/>
      <c r="O1103" s="15"/>
      <c r="P1103" s="15"/>
      <c r="Q1103" s="15"/>
      <c r="R1103" s="15"/>
      <c r="S1103" s="15"/>
      <c r="T1103" s="15"/>
      <c r="U1103" s="15"/>
      <c r="V1103" s="15"/>
    </row>
    <row r="1104" spans="1:22">
      <c r="A1104" s="15"/>
      <c r="C1104" s="15"/>
      <c r="D1104" s="15"/>
      <c r="E1104" s="15"/>
      <c r="F1104" s="15"/>
      <c r="G1104" s="15"/>
      <c r="H1104" s="15"/>
      <c r="I1104" s="15"/>
      <c r="J1104" s="15"/>
      <c r="K1104" s="15"/>
      <c r="L1104" s="15"/>
      <c r="M1104" s="15"/>
      <c r="N1104" s="15"/>
      <c r="O1104" s="15"/>
      <c r="P1104" s="15"/>
      <c r="Q1104" s="15"/>
      <c r="R1104" s="15"/>
      <c r="S1104" s="15"/>
      <c r="T1104" s="15"/>
      <c r="U1104" s="15"/>
      <c r="V1104" s="15"/>
    </row>
    <row r="1105" spans="1:22">
      <c r="A1105" s="15"/>
      <c r="C1105" s="15"/>
      <c r="D1105" s="15"/>
      <c r="E1105" s="15"/>
      <c r="F1105" s="15"/>
      <c r="G1105" s="15"/>
      <c r="H1105" s="15"/>
      <c r="I1105" s="15"/>
      <c r="J1105" s="15"/>
      <c r="K1105" s="15"/>
      <c r="L1105" s="15"/>
      <c r="M1105" s="15"/>
      <c r="N1105" s="15"/>
      <c r="O1105" s="15"/>
      <c r="P1105" s="15"/>
      <c r="Q1105" s="15"/>
      <c r="R1105" s="15"/>
      <c r="S1105" s="15"/>
      <c r="T1105" s="15"/>
      <c r="U1105" s="15"/>
      <c r="V1105" s="15"/>
    </row>
    <row r="1106" spans="1:22">
      <c r="A1106" s="15"/>
      <c r="C1106" s="15"/>
      <c r="D1106" s="15"/>
      <c r="E1106" s="15"/>
      <c r="F1106" s="15"/>
      <c r="G1106" s="15"/>
      <c r="H1106" s="15"/>
      <c r="I1106" s="15"/>
      <c r="J1106" s="15"/>
      <c r="K1106" s="15"/>
      <c r="L1106" s="15"/>
      <c r="M1106" s="15"/>
      <c r="N1106" s="15"/>
      <c r="O1106" s="15"/>
      <c r="P1106" s="15"/>
      <c r="Q1106" s="15"/>
      <c r="R1106" s="15"/>
      <c r="S1106" s="15"/>
      <c r="T1106" s="15"/>
      <c r="U1106" s="15"/>
      <c r="V1106" s="15"/>
    </row>
    <row r="1107" spans="1:22">
      <c r="A1107" s="15"/>
      <c r="C1107" s="15"/>
      <c r="D1107" s="15"/>
      <c r="E1107" s="15"/>
      <c r="F1107" s="15"/>
      <c r="G1107" s="15"/>
      <c r="H1107" s="15"/>
      <c r="I1107" s="15"/>
      <c r="J1107" s="15"/>
      <c r="K1107" s="15"/>
      <c r="L1107" s="15"/>
      <c r="M1107" s="15"/>
      <c r="N1107" s="15"/>
      <c r="O1107" s="15"/>
      <c r="P1107" s="15"/>
      <c r="Q1107" s="15"/>
      <c r="R1107" s="15"/>
      <c r="S1107" s="15"/>
      <c r="T1107" s="15"/>
      <c r="U1107" s="15"/>
      <c r="V1107" s="15"/>
    </row>
    <row r="1108" spans="1:22">
      <c r="A1108" s="15"/>
      <c r="C1108" s="15"/>
      <c r="D1108" s="15"/>
      <c r="E1108" s="15"/>
      <c r="F1108" s="15"/>
      <c r="G1108" s="15"/>
      <c r="H1108" s="15"/>
      <c r="I1108" s="15"/>
      <c r="J1108" s="15"/>
      <c r="K1108" s="15"/>
      <c r="L1108" s="15"/>
      <c r="M1108" s="15"/>
      <c r="N1108" s="15"/>
      <c r="O1108" s="15"/>
      <c r="P1108" s="15"/>
      <c r="Q1108" s="15"/>
      <c r="R1108" s="15"/>
      <c r="S1108" s="15"/>
      <c r="T1108" s="15"/>
      <c r="U1108" s="15"/>
      <c r="V1108" s="15"/>
    </row>
    <row r="1109" spans="1:22">
      <c r="A1109" s="15"/>
      <c r="C1109" s="15"/>
      <c r="D1109" s="15"/>
      <c r="E1109" s="15"/>
      <c r="F1109" s="15"/>
      <c r="G1109" s="15"/>
      <c r="H1109" s="15"/>
      <c r="I1109" s="15"/>
      <c r="J1109" s="15"/>
      <c r="K1109" s="15"/>
      <c r="L1109" s="15"/>
      <c r="M1109" s="15"/>
      <c r="N1109" s="15"/>
      <c r="O1109" s="15"/>
      <c r="P1109" s="15"/>
      <c r="Q1109" s="15"/>
      <c r="R1109" s="15"/>
      <c r="S1109" s="15"/>
      <c r="T1109" s="15"/>
      <c r="U1109" s="15"/>
      <c r="V1109" s="15"/>
    </row>
    <row r="1110" spans="1:22">
      <c r="A1110" s="15"/>
      <c r="C1110" s="15"/>
      <c r="D1110" s="15"/>
      <c r="E1110" s="15"/>
      <c r="F1110" s="15"/>
      <c r="G1110" s="15"/>
      <c r="H1110" s="15"/>
      <c r="I1110" s="15"/>
      <c r="J1110" s="15"/>
      <c r="K1110" s="15"/>
      <c r="L1110" s="15"/>
      <c r="M1110" s="15"/>
      <c r="N1110" s="15"/>
      <c r="O1110" s="15"/>
      <c r="P1110" s="15"/>
      <c r="Q1110" s="15"/>
      <c r="R1110" s="15"/>
      <c r="S1110" s="15"/>
      <c r="T1110" s="15"/>
      <c r="U1110" s="15"/>
      <c r="V1110" s="15"/>
    </row>
    <row r="1111" spans="1:22">
      <c r="A1111" s="15"/>
      <c r="C1111" s="15"/>
      <c r="D1111" s="15"/>
      <c r="E1111" s="15"/>
      <c r="F1111" s="15"/>
      <c r="G1111" s="15"/>
      <c r="H1111" s="15"/>
      <c r="I1111" s="15"/>
      <c r="J1111" s="15"/>
      <c r="K1111" s="15"/>
      <c r="L1111" s="15"/>
      <c r="M1111" s="15"/>
      <c r="N1111" s="15"/>
      <c r="O1111" s="15"/>
      <c r="P1111" s="15"/>
      <c r="Q1111" s="15"/>
      <c r="R1111" s="15"/>
      <c r="S1111" s="15"/>
      <c r="T1111" s="15"/>
      <c r="U1111" s="15"/>
      <c r="V1111" s="15"/>
    </row>
    <row r="1112" spans="1:22">
      <c r="A1112" s="15"/>
      <c r="C1112" s="15"/>
      <c r="D1112" s="15"/>
      <c r="E1112" s="15"/>
      <c r="F1112" s="15"/>
      <c r="G1112" s="15"/>
      <c r="H1112" s="15"/>
      <c r="I1112" s="15"/>
      <c r="J1112" s="15"/>
      <c r="K1112" s="15"/>
      <c r="L1112" s="15"/>
      <c r="M1112" s="15"/>
      <c r="N1112" s="15"/>
      <c r="O1112" s="15"/>
      <c r="P1112" s="15"/>
      <c r="Q1112" s="15"/>
      <c r="R1112" s="15"/>
      <c r="S1112" s="15"/>
      <c r="T1112" s="15"/>
      <c r="U1112" s="15"/>
      <c r="V1112" s="15"/>
    </row>
    <row r="1113" spans="1:22">
      <c r="A1113" s="15"/>
      <c r="C1113" s="15"/>
      <c r="D1113" s="15"/>
      <c r="E1113" s="15"/>
      <c r="F1113" s="15"/>
      <c r="G1113" s="15"/>
      <c r="H1113" s="15"/>
      <c r="I1113" s="15"/>
      <c r="J1113" s="15"/>
      <c r="K1113" s="15"/>
      <c r="L1113" s="15"/>
      <c r="M1113" s="15"/>
      <c r="N1113" s="15"/>
      <c r="O1113" s="15"/>
      <c r="P1113" s="15"/>
      <c r="Q1113" s="15"/>
      <c r="R1113" s="15"/>
      <c r="S1113" s="15"/>
      <c r="T1113" s="15"/>
      <c r="U1113" s="15"/>
      <c r="V1113" s="15"/>
    </row>
    <row r="1114" spans="1:22">
      <c r="A1114" s="15"/>
      <c r="C1114" s="15"/>
      <c r="D1114" s="15"/>
      <c r="E1114" s="15"/>
      <c r="F1114" s="15"/>
      <c r="G1114" s="15"/>
      <c r="H1114" s="15"/>
      <c r="I1114" s="15"/>
      <c r="J1114" s="15"/>
      <c r="K1114" s="15"/>
      <c r="L1114" s="15"/>
      <c r="M1114" s="15"/>
      <c r="N1114" s="15"/>
      <c r="O1114" s="15"/>
      <c r="P1114" s="15"/>
      <c r="Q1114" s="15"/>
      <c r="R1114" s="15"/>
      <c r="S1114" s="15"/>
      <c r="T1114" s="15"/>
      <c r="U1114" s="15"/>
      <c r="V1114" s="15"/>
    </row>
    <row r="1115" spans="1:22">
      <c r="A1115" s="15"/>
      <c r="C1115" s="15"/>
      <c r="D1115" s="15"/>
      <c r="E1115" s="15"/>
      <c r="F1115" s="15"/>
      <c r="G1115" s="15"/>
      <c r="H1115" s="15"/>
      <c r="I1115" s="15"/>
      <c r="J1115" s="15"/>
      <c r="K1115" s="15"/>
      <c r="L1115" s="15"/>
      <c r="M1115" s="15"/>
      <c r="N1115" s="15"/>
      <c r="O1115" s="15"/>
      <c r="P1115" s="15"/>
      <c r="Q1115" s="15"/>
      <c r="R1115" s="15"/>
      <c r="S1115" s="15"/>
      <c r="T1115" s="15"/>
      <c r="U1115" s="15"/>
      <c r="V1115" s="15"/>
    </row>
    <row r="1116" spans="1:22">
      <c r="A1116" s="15"/>
      <c r="C1116" s="15"/>
      <c r="D1116" s="15"/>
      <c r="E1116" s="15"/>
      <c r="F1116" s="15"/>
      <c r="G1116" s="15"/>
      <c r="H1116" s="15"/>
      <c r="I1116" s="15"/>
      <c r="J1116" s="15"/>
      <c r="K1116" s="15"/>
      <c r="L1116" s="15"/>
      <c r="M1116" s="15"/>
      <c r="N1116" s="15"/>
      <c r="O1116" s="15"/>
      <c r="P1116" s="15"/>
      <c r="Q1116" s="15"/>
      <c r="R1116" s="15"/>
      <c r="S1116" s="15"/>
      <c r="T1116" s="15"/>
      <c r="U1116" s="15"/>
      <c r="V1116" s="15"/>
    </row>
    <row r="1117" spans="1:22">
      <c r="A1117" s="15"/>
      <c r="C1117" s="15"/>
      <c r="D1117" s="15"/>
      <c r="E1117" s="15"/>
      <c r="F1117" s="15"/>
      <c r="G1117" s="15"/>
      <c r="H1117" s="15"/>
      <c r="I1117" s="15"/>
      <c r="J1117" s="15"/>
      <c r="K1117" s="15"/>
      <c r="L1117" s="15"/>
      <c r="M1117" s="15"/>
      <c r="N1117" s="15"/>
      <c r="O1117" s="15"/>
      <c r="P1117" s="15"/>
      <c r="Q1117" s="15"/>
      <c r="R1117" s="15"/>
      <c r="S1117" s="15"/>
      <c r="T1117" s="15"/>
      <c r="U1117" s="15"/>
      <c r="V1117" s="15"/>
    </row>
    <row r="1118" spans="1:22">
      <c r="A1118" s="15"/>
      <c r="C1118" s="15"/>
      <c r="D1118" s="15"/>
      <c r="E1118" s="15"/>
      <c r="F1118" s="15"/>
      <c r="G1118" s="15"/>
      <c r="H1118" s="15"/>
      <c r="I1118" s="15"/>
      <c r="J1118" s="15"/>
      <c r="K1118" s="15"/>
      <c r="L1118" s="15"/>
      <c r="M1118" s="15"/>
      <c r="N1118" s="15"/>
      <c r="O1118" s="15"/>
      <c r="P1118" s="15"/>
      <c r="Q1118" s="15"/>
      <c r="R1118" s="15"/>
      <c r="S1118" s="15"/>
      <c r="T1118" s="15"/>
      <c r="U1118" s="15"/>
      <c r="V1118" s="15"/>
    </row>
    <row r="1119" spans="1:22">
      <c r="A1119" s="15"/>
      <c r="C1119" s="15"/>
      <c r="D1119" s="15"/>
      <c r="E1119" s="15"/>
      <c r="F1119" s="15"/>
      <c r="G1119" s="15"/>
      <c r="H1119" s="15"/>
      <c r="I1119" s="15"/>
      <c r="J1119" s="15"/>
      <c r="K1119" s="15"/>
      <c r="L1119" s="15"/>
      <c r="M1119" s="15"/>
      <c r="N1119" s="15"/>
      <c r="O1119" s="15"/>
      <c r="P1119" s="15"/>
      <c r="Q1119" s="15"/>
      <c r="R1119" s="15"/>
      <c r="S1119" s="15"/>
      <c r="T1119" s="15"/>
      <c r="U1119" s="15"/>
      <c r="V1119" s="15"/>
    </row>
    <row r="1120" spans="1:22">
      <c r="A1120" s="15"/>
      <c r="C1120" s="15"/>
      <c r="D1120" s="15"/>
      <c r="E1120" s="15"/>
      <c r="F1120" s="15"/>
      <c r="G1120" s="15"/>
      <c r="H1120" s="15"/>
      <c r="I1120" s="15"/>
      <c r="J1120" s="15"/>
      <c r="K1120" s="15"/>
      <c r="L1120" s="15"/>
      <c r="M1120" s="15"/>
      <c r="N1120" s="15"/>
      <c r="O1120" s="15"/>
      <c r="P1120" s="15"/>
      <c r="Q1120" s="15"/>
      <c r="R1120" s="15"/>
      <c r="S1120" s="15"/>
      <c r="T1120" s="15"/>
      <c r="U1120" s="15"/>
      <c r="V1120" s="15"/>
    </row>
    <row r="1121" spans="1:22">
      <c r="A1121" s="15"/>
      <c r="C1121" s="15"/>
      <c r="D1121" s="15"/>
      <c r="E1121" s="15"/>
      <c r="F1121" s="15"/>
      <c r="G1121" s="15"/>
      <c r="H1121" s="15"/>
      <c r="I1121" s="15"/>
      <c r="J1121" s="15"/>
      <c r="K1121" s="15"/>
      <c r="L1121" s="15"/>
      <c r="M1121" s="15"/>
      <c r="N1121" s="15"/>
      <c r="O1121" s="15"/>
      <c r="P1121" s="15"/>
      <c r="Q1121" s="15"/>
      <c r="R1121" s="15"/>
      <c r="S1121" s="15"/>
      <c r="T1121" s="15"/>
      <c r="U1121" s="15"/>
      <c r="V1121" s="15"/>
    </row>
    <row r="1122" spans="1:22">
      <c r="A1122" s="15"/>
      <c r="C1122" s="15"/>
      <c r="D1122" s="15"/>
      <c r="E1122" s="15"/>
      <c r="F1122" s="15"/>
      <c r="G1122" s="15"/>
      <c r="H1122" s="15"/>
      <c r="I1122" s="15"/>
      <c r="J1122" s="15"/>
      <c r="K1122" s="15"/>
      <c r="L1122" s="15"/>
      <c r="M1122" s="15"/>
      <c r="N1122" s="15"/>
      <c r="O1122" s="15"/>
      <c r="P1122" s="15"/>
      <c r="Q1122" s="15"/>
      <c r="R1122" s="15"/>
      <c r="S1122" s="15"/>
      <c r="T1122" s="15"/>
      <c r="U1122" s="15"/>
      <c r="V1122" s="15"/>
    </row>
    <row r="1123" spans="1:22">
      <c r="A1123" s="15"/>
      <c r="C1123" s="15"/>
      <c r="D1123" s="15"/>
      <c r="E1123" s="15"/>
      <c r="F1123" s="15"/>
      <c r="G1123" s="15"/>
      <c r="H1123" s="15"/>
      <c r="I1123" s="15"/>
      <c r="J1123" s="15"/>
      <c r="K1123" s="15"/>
      <c r="L1123" s="15"/>
      <c r="M1123" s="15"/>
      <c r="N1123" s="15"/>
      <c r="O1123" s="15"/>
      <c r="P1123" s="15"/>
      <c r="Q1123" s="15"/>
      <c r="R1123" s="15"/>
      <c r="S1123" s="15"/>
      <c r="T1123" s="15"/>
      <c r="U1123" s="15"/>
      <c r="V1123" s="15"/>
    </row>
    <row r="1124" spans="1:22">
      <c r="A1124" s="15"/>
      <c r="C1124" s="15"/>
      <c r="D1124" s="15"/>
      <c r="E1124" s="15"/>
      <c r="F1124" s="15"/>
      <c r="G1124" s="15"/>
      <c r="H1124" s="15"/>
      <c r="I1124" s="15"/>
      <c r="J1124" s="15"/>
      <c r="K1124" s="15"/>
      <c r="L1124" s="15"/>
      <c r="M1124" s="15"/>
      <c r="N1124" s="15"/>
      <c r="O1124" s="15"/>
      <c r="P1124" s="15"/>
      <c r="Q1124" s="15"/>
      <c r="R1124" s="15"/>
      <c r="S1124" s="15"/>
      <c r="T1124" s="15"/>
      <c r="U1124" s="15"/>
      <c r="V1124" s="15"/>
    </row>
    <row r="1125" spans="1:22">
      <c r="A1125" s="15"/>
      <c r="C1125" s="15"/>
      <c r="D1125" s="15"/>
      <c r="E1125" s="15"/>
      <c r="F1125" s="15"/>
      <c r="G1125" s="15"/>
      <c r="H1125" s="15"/>
      <c r="I1125" s="15"/>
      <c r="J1125" s="15"/>
      <c r="K1125" s="15"/>
      <c r="L1125" s="15"/>
      <c r="M1125" s="15"/>
      <c r="N1125" s="15"/>
      <c r="O1125" s="15"/>
      <c r="P1125" s="15"/>
      <c r="Q1125" s="15"/>
      <c r="R1125" s="15"/>
      <c r="S1125" s="15"/>
      <c r="T1125" s="15"/>
      <c r="U1125" s="15"/>
      <c r="V1125" s="15"/>
    </row>
    <row r="1126" spans="1:22">
      <c r="A1126" s="15"/>
      <c r="C1126" s="15"/>
      <c r="D1126" s="15"/>
      <c r="E1126" s="15"/>
      <c r="F1126" s="15"/>
      <c r="G1126" s="15"/>
      <c r="H1126" s="15"/>
      <c r="I1126" s="15"/>
      <c r="J1126" s="15"/>
      <c r="K1126" s="15"/>
      <c r="L1126" s="15"/>
      <c r="M1126" s="15"/>
      <c r="N1126" s="15"/>
      <c r="O1126" s="15"/>
      <c r="P1126" s="15"/>
      <c r="Q1126" s="15"/>
      <c r="R1126" s="15"/>
      <c r="S1126" s="15"/>
      <c r="T1126" s="15"/>
      <c r="U1126" s="15"/>
      <c r="V1126" s="15"/>
    </row>
    <row r="1127" spans="1:22">
      <c r="A1127" s="15"/>
      <c r="C1127" s="15"/>
      <c r="D1127" s="15"/>
      <c r="E1127" s="15"/>
      <c r="F1127" s="15"/>
      <c r="G1127" s="15"/>
      <c r="H1127" s="15"/>
      <c r="I1127" s="15"/>
      <c r="J1127" s="15"/>
      <c r="K1127" s="15"/>
      <c r="L1127" s="15"/>
      <c r="M1127" s="15"/>
      <c r="N1127" s="15"/>
      <c r="O1127" s="15"/>
      <c r="P1127" s="15"/>
      <c r="Q1127" s="15"/>
      <c r="R1127" s="15"/>
      <c r="S1127" s="15"/>
      <c r="T1127" s="15"/>
      <c r="U1127" s="15"/>
      <c r="V1127" s="15"/>
    </row>
    <row r="1128" spans="1:22">
      <c r="A1128" s="15"/>
      <c r="C1128" s="15"/>
      <c r="D1128" s="15"/>
      <c r="E1128" s="15"/>
      <c r="F1128" s="15"/>
      <c r="G1128" s="15"/>
      <c r="H1128" s="15"/>
      <c r="I1128" s="15"/>
      <c r="J1128" s="15"/>
      <c r="K1128" s="15"/>
      <c r="L1128" s="15"/>
      <c r="M1128" s="15"/>
      <c r="N1128" s="15"/>
      <c r="O1128" s="15"/>
      <c r="P1128" s="15"/>
      <c r="Q1128" s="15"/>
      <c r="R1128" s="15"/>
      <c r="S1128" s="15"/>
      <c r="T1128" s="15"/>
      <c r="U1128" s="15"/>
      <c r="V1128" s="15"/>
    </row>
    <row r="1129" spans="1:22">
      <c r="A1129" s="15"/>
      <c r="C1129" s="15"/>
      <c r="D1129" s="15"/>
      <c r="E1129" s="15"/>
      <c r="F1129" s="15"/>
      <c r="G1129" s="15"/>
      <c r="H1129" s="15"/>
      <c r="I1129" s="15"/>
      <c r="J1129" s="15"/>
      <c r="K1129" s="15"/>
      <c r="L1129" s="15"/>
      <c r="M1129" s="15"/>
      <c r="N1129" s="15"/>
      <c r="O1129" s="15"/>
      <c r="P1129" s="15"/>
      <c r="Q1129" s="15"/>
      <c r="R1129" s="15"/>
      <c r="S1129" s="15"/>
      <c r="T1129" s="15"/>
      <c r="U1129" s="15"/>
      <c r="V1129" s="15"/>
    </row>
    <row r="1130" spans="1:22">
      <c r="A1130" s="15"/>
      <c r="C1130" s="15"/>
      <c r="D1130" s="15"/>
      <c r="E1130" s="15"/>
      <c r="F1130" s="15"/>
      <c r="G1130" s="15"/>
      <c r="H1130" s="15"/>
      <c r="I1130" s="15"/>
      <c r="J1130" s="15"/>
      <c r="K1130" s="15"/>
      <c r="L1130" s="15"/>
      <c r="M1130" s="15"/>
      <c r="N1130" s="15"/>
      <c r="O1130" s="15"/>
      <c r="P1130" s="15"/>
      <c r="Q1130" s="15"/>
      <c r="R1130" s="15"/>
      <c r="S1130" s="15"/>
      <c r="T1130" s="15"/>
      <c r="U1130" s="15"/>
      <c r="V1130" s="15"/>
    </row>
    <row r="1131" spans="1:22">
      <c r="A1131" s="15"/>
      <c r="C1131" s="15"/>
      <c r="D1131" s="15"/>
      <c r="E1131" s="15"/>
      <c r="F1131" s="15"/>
      <c r="G1131" s="15"/>
      <c r="H1131" s="15"/>
      <c r="I1131" s="15"/>
      <c r="J1131" s="15"/>
      <c r="K1131" s="15"/>
      <c r="L1131" s="15"/>
      <c r="M1131" s="15"/>
      <c r="N1131" s="15"/>
      <c r="O1131" s="15"/>
      <c r="P1131" s="15"/>
      <c r="Q1131" s="15"/>
      <c r="R1131" s="15"/>
      <c r="S1131" s="15"/>
      <c r="T1131" s="15"/>
      <c r="U1131" s="15"/>
      <c r="V1131" s="15"/>
    </row>
    <row r="1132" spans="1:22">
      <c r="A1132" s="15"/>
      <c r="C1132" s="15"/>
      <c r="D1132" s="15"/>
      <c r="E1132" s="15"/>
      <c r="F1132" s="15"/>
      <c r="G1132" s="15"/>
      <c r="H1132" s="15"/>
      <c r="I1132" s="15"/>
      <c r="J1132" s="15"/>
      <c r="K1132" s="15"/>
      <c r="L1132" s="15"/>
      <c r="M1132" s="15"/>
      <c r="N1132" s="15"/>
      <c r="O1132" s="15"/>
      <c r="P1132" s="15"/>
      <c r="Q1132" s="15"/>
      <c r="R1132" s="15"/>
      <c r="S1132" s="15"/>
      <c r="T1132" s="15"/>
      <c r="U1132" s="15"/>
      <c r="V1132" s="15"/>
    </row>
    <row r="1133" spans="1:22">
      <c r="A1133" s="15"/>
      <c r="C1133" s="15"/>
      <c r="D1133" s="15"/>
      <c r="E1133" s="15"/>
      <c r="F1133" s="15"/>
      <c r="G1133" s="15"/>
      <c r="H1133" s="15"/>
      <c r="I1133" s="15"/>
      <c r="J1133" s="15"/>
      <c r="K1133" s="15"/>
      <c r="L1133" s="15"/>
      <c r="M1133" s="15"/>
      <c r="N1133" s="15"/>
      <c r="O1133" s="15"/>
      <c r="P1133" s="15"/>
      <c r="Q1133" s="15"/>
      <c r="R1133" s="15"/>
      <c r="S1133" s="15"/>
      <c r="T1133" s="15"/>
      <c r="U1133" s="15"/>
      <c r="V1133" s="15"/>
    </row>
    <row r="1134" spans="1:22">
      <c r="A1134" s="15"/>
      <c r="C1134" s="15"/>
      <c r="D1134" s="15"/>
      <c r="E1134" s="15"/>
      <c r="F1134" s="15"/>
      <c r="G1134" s="15"/>
      <c r="H1134" s="15"/>
      <c r="I1134" s="15"/>
      <c r="J1134" s="15"/>
      <c r="K1134" s="15"/>
      <c r="L1134" s="15"/>
      <c r="M1134" s="15"/>
      <c r="N1134" s="15"/>
      <c r="O1134" s="15"/>
      <c r="P1134" s="15"/>
      <c r="Q1134" s="15"/>
      <c r="R1134" s="15"/>
      <c r="S1134" s="15"/>
      <c r="T1134" s="15"/>
      <c r="U1134" s="15"/>
      <c r="V1134" s="15"/>
    </row>
    <row r="1135" spans="1:22">
      <c r="A1135" s="15"/>
      <c r="C1135" s="15"/>
      <c r="D1135" s="15"/>
      <c r="E1135" s="15"/>
      <c r="F1135" s="15"/>
      <c r="G1135" s="15"/>
      <c r="H1135" s="15"/>
      <c r="I1135" s="15"/>
      <c r="J1135" s="15"/>
      <c r="K1135" s="15"/>
      <c r="L1135" s="15"/>
      <c r="M1135" s="15"/>
      <c r="N1135" s="15"/>
      <c r="O1135" s="15"/>
      <c r="P1135" s="15"/>
      <c r="Q1135" s="15"/>
      <c r="R1135" s="15"/>
      <c r="S1135" s="15"/>
      <c r="T1135" s="15"/>
      <c r="U1135" s="15"/>
      <c r="V1135" s="15"/>
    </row>
    <row r="1136" spans="1:22">
      <c r="A1136" s="15"/>
      <c r="C1136" s="15"/>
      <c r="D1136" s="15"/>
      <c r="E1136" s="15"/>
      <c r="F1136" s="15"/>
      <c r="G1136" s="15"/>
      <c r="H1136" s="15"/>
      <c r="I1136" s="15"/>
      <c r="J1136" s="15"/>
      <c r="K1136" s="15"/>
      <c r="L1136" s="15"/>
      <c r="M1136" s="15"/>
      <c r="N1136" s="15"/>
      <c r="O1136" s="15"/>
      <c r="P1136" s="15"/>
      <c r="Q1136" s="15"/>
      <c r="R1136" s="15"/>
      <c r="S1136" s="15"/>
      <c r="T1136" s="15"/>
      <c r="U1136" s="15"/>
      <c r="V1136" s="15"/>
    </row>
    <row r="1137" spans="1:22">
      <c r="A1137" s="15"/>
      <c r="C1137" s="15"/>
      <c r="D1137" s="15"/>
      <c r="E1137" s="15"/>
      <c r="F1137" s="15"/>
      <c r="G1137" s="15"/>
      <c r="H1137" s="15"/>
      <c r="I1137" s="15"/>
      <c r="J1137" s="15"/>
      <c r="K1137" s="15"/>
      <c r="L1137" s="15"/>
      <c r="M1137" s="15"/>
      <c r="N1137" s="15"/>
      <c r="O1137" s="15"/>
      <c r="P1137" s="15"/>
      <c r="Q1137" s="15"/>
      <c r="R1137" s="15"/>
      <c r="S1137" s="15"/>
      <c r="T1137" s="15"/>
      <c r="U1137" s="15"/>
      <c r="V1137" s="15"/>
    </row>
    <row r="1138" spans="1:22">
      <c r="A1138" s="15"/>
      <c r="C1138" s="15"/>
      <c r="D1138" s="15"/>
      <c r="E1138" s="15"/>
      <c r="F1138" s="15"/>
      <c r="G1138" s="15"/>
      <c r="H1138" s="15"/>
      <c r="I1138" s="15"/>
      <c r="J1138" s="15"/>
      <c r="K1138" s="15"/>
      <c r="L1138" s="15"/>
      <c r="M1138" s="15"/>
      <c r="N1138" s="15"/>
      <c r="O1138" s="15"/>
      <c r="P1138" s="15"/>
      <c r="Q1138" s="15"/>
      <c r="R1138" s="15"/>
      <c r="S1138" s="15"/>
      <c r="T1138" s="15"/>
      <c r="U1138" s="15"/>
      <c r="V1138" s="15"/>
    </row>
    <row r="1139" spans="1:22">
      <c r="A1139" s="15"/>
      <c r="C1139" s="15"/>
      <c r="D1139" s="15"/>
      <c r="E1139" s="15"/>
      <c r="F1139" s="15"/>
      <c r="G1139" s="15"/>
      <c r="H1139" s="15"/>
      <c r="I1139" s="15"/>
      <c r="J1139" s="15"/>
      <c r="K1139" s="15"/>
      <c r="L1139" s="15"/>
      <c r="M1139" s="15"/>
      <c r="N1139" s="15"/>
      <c r="O1139" s="15"/>
      <c r="P1139" s="15"/>
      <c r="Q1139" s="15"/>
      <c r="R1139" s="15"/>
      <c r="S1139" s="15"/>
      <c r="T1139" s="15"/>
      <c r="U1139" s="15"/>
      <c r="V1139" s="15"/>
    </row>
    <row r="1140" spans="1:22">
      <c r="A1140" s="15"/>
      <c r="C1140" s="15"/>
      <c r="D1140" s="15"/>
      <c r="E1140" s="15"/>
      <c r="F1140" s="15"/>
      <c r="G1140" s="15"/>
      <c r="H1140" s="15"/>
      <c r="I1140" s="15"/>
      <c r="J1140" s="15"/>
      <c r="K1140" s="15"/>
      <c r="L1140" s="15"/>
      <c r="M1140" s="15"/>
      <c r="N1140" s="15"/>
      <c r="O1140" s="15"/>
      <c r="P1140" s="15"/>
      <c r="Q1140" s="15"/>
      <c r="R1140" s="15"/>
      <c r="S1140" s="15"/>
      <c r="T1140" s="15"/>
      <c r="U1140" s="15"/>
      <c r="V1140" s="15"/>
    </row>
    <row r="1141" spans="1:22">
      <c r="A1141" s="15"/>
      <c r="C1141" s="15"/>
      <c r="D1141" s="15"/>
      <c r="E1141" s="15"/>
      <c r="F1141" s="15"/>
      <c r="G1141" s="15"/>
      <c r="H1141" s="15"/>
      <c r="I1141" s="15"/>
      <c r="J1141" s="15"/>
      <c r="K1141" s="15"/>
      <c r="L1141" s="15"/>
      <c r="M1141" s="15"/>
      <c r="N1141" s="15"/>
      <c r="O1141" s="15"/>
      <c r="P1141" s="15"/>
      <c r="Q1141" s="15"/>
      <c r="R1141" s="15"/>
      <c r="S1141" s="15"/>
      <c r="T1141" s="15"/>
      <c r="U1141" s="15"/>
      <c r="V1141" s="15"/>
    </row>
    <row r="1142" spans="1:22">
      <c r="A1142" s="15"/>
      <c r="C1142" s="15"/>
      <c r="D1142" s="15"/>
      <c r="E1142" s="15"/>
      <c r="F1142" s="15"/>
      <c r="G1142" s="15"/>
      <c r="H1142" s="15"/>
      <c r="I1142" s="15"/>
      <c r="J1142" s="15"/>
      <c r="K1142" s="15"/>
      <c r="L1142" s="15"/>
      <c r="M1142" s="15"/>
      <c r="N1142" s="15"/>
      <c r="O1142" s="15"/>
      <c r="P1142" s="15"/>
      <c r="Q1142" s="15"/>
      <c r="R1142" s="15"/>
      <c r="S1142" s="15"/>
      <c r="T1142" s="15"/>
      <c r="U1142" s="15"/>
      <c r="V1142" s="15"/>
    </row>
    <row r="1143" spans="1:22">
      <c r="A1143" s="15"/>
      <c r="C1143" s="15"/>
      <c r="D1143" s="15"/>
      <c r="E1143" s="15"/>
      <c r="F1143" s="15"/>
      <c r="G1143" s="15"/>
      <c r="H1143" s="15"/>
      <c r="I1143" s="15"/>
      <c r="J1143" s="15"/>
      <c r="K1143" s="15"/>
      <c r="L1143" s="15"/>
      <c r="M1143" s="15"/>
      <c r="N1143" s="15"/>
      <c r="O1143" s="15"/>
      <c r="P1143" s="15"/>
      <c r="Q1143" s="15"/>
      <c r="R1143" s="15"/>
      <c r="S1143" s="15"/>
      <c r="T1143" s="15"/>
      <c r="U1143" s="15"/>
      <c r="V1143" s="15"/>
    </row>
    <row r="1144" spans="1:22">
      <c r="A1144" s="15"/>
      <c r="C1144" s="15"/>
      <c r="D1144" s="15"/>
      <c r="E1144" s="15"/>
      <c r="F1144" s="15"/>
      <c r="G1144" s="15"/>
      <c r="H1144" s="15"/>
      <c r="I1144" s="15"/>
      <c r="J1144" s="15"/>
      <c r="K1144" s="15"/>
      <c r="L1144" s="15"/>
      <c r="M1144" s="15"/>
      <c r="N1144" s="15"/>
      <c r="O1144" s="15"/>
      <c r="P1144" s="15"/>
      <c r="Q1144" s="15"/>
      <c r="R1144" s="15"/>
      <c r="S1144" s="15"/>
      <c r="T1144" s="15"/>
      <c r="U1144" s="15"/>
      <c r="V1144" s="15"/>
    </row>
    <row r="1145" spans="1:22">
      <c r="A1145" s="15"/>
      <c r="C1145" s="15"/>
      <c r="D1145" s="15"/>
      <c r="E1145" s="15"/>
      <c r="F1145" s="15"/>
      <c r="G1145" s="15"/>
      <c r="H1145" s="15"/>
      <c r="I1145" s="15"/>
      <c r="J1145" s="15"/>
      <c r="K1145" s="15"/>
      <c r="L1145" s="15"/>
      <c r="M1145" s="15"/>
      <c r="N1145" s="15"/>
      <c r="O1145" s="15"/>
      <c r="P1145" s="15"/>
      <c r="Q1145" s="15"/>
      <c r="R1145" s="15"/>
      <c r="S1145" s="15"/>
      <c r="T1145" s="15"/>
      <c r="U1145" s="15"/>
      <c r="V1145" s="15"/>
    </row>
    <row r="1146" spans="1:22">
      <c r="A1146" s="15"/>
      <c r="C1146" s="15"/>
      <c r="D1146" s="15"/>
      <c r="E1146" s="15"/>
      <c r="F1146" s="15"/>
      <c r="G1146" s="15"/>
      <c r="H1146" s="15"/>
      <c r="I1146" s="15"/>
      <c r="J1146" s="15"/>
      <c r="K1146" s="15"/>
      <c r="L1146" s="15"/>
      <c r="M1146" s="15"/>
      <c r="N1146" s="15"/>
      <c r="O1146" s="15"/>
      <c r="P1146" s="15"/>
      <c r="Q1146" s="15"/>
      <c r="R1146" s="15"/>
      <c r="S1146" s="15"/>
      <c r="T1146" s="15"/>
      <c r="U1146" s="15"/>
      <c r="V1146" s="15"/>
    </row>
    <row r="1147" spans="1:22">
      <c r="A1147" s="15"/>
      <c r="C1147" s="15"/>
      <c r="D1147" s="15"/>
      <c r="E1147" s="15"/>
      <c r="F1147" s="15"/>
      <c r="G1147" s="15"/>
      <c r="H1147" s="15"/>
      <c r="I1147" s="15"/>
      <c r="J1147" s="15"/>
      <c r="K1147" s="15"/>
      <c r="L1147" s="15"/>
      <c r="M1147" s="15"/>
      <c r="N1147" s="15"/>
      <c r="O1147" s="15"/>
      <c r="P1147" s="15"/>
      <c r="Q1147" s="15"/>
      <c r="R1147" s="15"/>
      <c r="S1147" s="15"/>
      <c r="T1147" s="15"/>
      <c r="U1147" s="15"/>
      <c r="V1147" s="15"/>
    </row>
    <row r="1148" spans="1:22">
      <c r="A1148" s="15"/>
      <c r="C1148" s="15"/>
      <c r="D1148" s="15"/>
      <c r="E1148" s="15"/>
      <c r="F1148" s="15"/>
      <c r="G1148" s="15"/>
      <c r="H1148" s="15"/>
      <c r="I1148" s="15"/>
      <c r="J1148" s="15"/>
      <c r="K1148" s="15"/>
      <c r="L1148" s="15"/>
      <c r="M1148" s="15"/>
      <c r="N1148" s="15"/>
      <c r="O1148" s="15"/>
      <c r="P1148" s="15"/>
      <c r="Q1148" s="15"/>
      <c r="R1148" s="15"/>
      <c r="S1148" s="15"/>
      <c r="T1148" s="15"/>
      <c r="U1148" s="15"/>
      <c r="V1148" s="15"/>
    </row>
    <row r="1149" spans="1:22">
      <c r="A1149" s="15"/>
      <c r="C1149" s="15"/>
      <c r="D1149" s="15"/>
      <c r="E1149" s="15"/>
      <c r="F1149" s="15"/>
      <c r="G1149" s="15"/>
      <c r="H1149" s="15"/>
      <c r="I1149" s="15"/>
      <c r="J1149" s="15"/>
      <c r="K1149" s="15"/>
      <c r="L1149" s="15"/>
      <c r="M1149" s="15"/>
      <c r="N1149" s="15"/>
      <c r="O1149" s="15"/>
      <c r="P1149" s="15"/>
      <c r="Q1149" s="15"/>
      <c r="R1149" s="15"/>
      <c r="S1149" s="15"/>
      <c r="T1149" s="15"/>
      <c r="U1149" s="15"/>
      <c r="V1149" s="15"/>
    </row>
    <row r="1150" spans="1:22">
      <c r="A1150" s="15"/>
      <c r="C1150" s="15"/>
      <c r="D1150" s="15"/>
      <c r="E1150" s="15"/>
      <c r="F1150" s="15"/>
      <c r="G1150" s="15"/>
      <c r="H1150" s="15"/>
      <c r="I1150" s="15"/>
      <c r="J1150" s="15"/>
      <c r="K1150" s="15"/>
      <c r="L1150" s="15"/>
      <c r="M1150" s="15"/>
      <c r="N1150" s="15"/>
      <c r="O1150" s="15"/>
      <c r="P1150" s="15"/>
      <c r="Q1150" s="15"/>
      <c r="R1150" s="15"/>
      <c r="S1150" s="15"/>
      <c r="T1150" s="15"/>
      <c r="U1150" s="15"/>
      <c r="V1150" s="15"/>
    </row>
    <row r="1151" spans="1:22">
      <c r="A1151" s="15"/>
      <c r="C1151" s="15"/>
      <c r="D1151" s="15"/>
      <c r="E1151" s="15"/>
      <c r="F1151" s="15"/>
      <c r="G1151" s="15"/>
      <c r="H1151" s="15"/>
      <c r="I1151" s="15"/>
      <c r="J1151" s="15"/>
      <c r="K1151" s="15"/>
      <c r="L1151" s="15"/>
      <c r="M1151" s="15"/>
      <c r="N1151" s="15"/>
      <c r="O1151" s="15"/>
      <c r="P1151" s="15"/>
      <c r="Q1151" s="15"/>
      <c r="R1151" s="15"/>
      <c r="S1151" s="15"/>
      <c r="T1151" s="15"/>
      <c r="U1151" s="15"/>
      <c r="V1151" s="15"/>
    </row>
    <row r="1152" spans="1:22">
      <c r="A1152" s="15"/>
      <c r="C1152" s="15"/>
      <c r="D1152" s="15"/>
      <c r="E1152" s="15"/>
      <c r="F1152" s="15"/>
      <c r="G1152" s="15"/>
      <c r="H1152" s="15"/>
      <c r="I1152" s="15"/>
      <c r="J1152" s="15"/>
      <c r="K1152" s="15"/>
      <c r="L1152" s="15"/>
      <c r="M1152" s="15"/>
      <c r="N1152" s="15"/>
      <c r="O1152" s="15"/>
      <c r="P1152" s="15"/>
      <c r="Q1152" s="15"/>
      <c r="R1152" s="15"/>
      <c r="S1152" s="15"/>
      <c r="T1152" s="15"/>
      <c r="U1152" s="15"/>
      <c r="V1152" s="15"/>
    </row>
    <row r="1153" spans="1:22">
      <c r="A1153" s="15"/>
      <c r="C1153" s="15"/>
      <c r="D1153" s="15"/>
      <c r="E1153" s="15"/>
      <c r="F1153" s="15"/>
      <c r="G1153" s="15"/>
      <c r="H1153" s="15"/>
      <c r="I1153" s="15"/>
      <c r="J1153" s="15"/>
      <c r="K1153" s="15"/>
      <c r="L1153" s="15"/>
      <c r="M1153" s="15"/>
      <c r="N1153" s="15"/>
      <c r="O1153" s="15"/>
      <c r="P1153" s="15"/>
      <c r="Q1153" s="15"/>
      <c r="R1153" s="15"/>
      <c r="S1153" s="15"/>
      <c r="T1153" s="15"/>
      <c r="U1153" s="15"/>
      <c r="V1153" s="15"/>
    </row>
    <row r="1154" spans="1:22">
      <c r="A1154" s="15"/>
      <c r="C1154" s="15"/>
      <c r="D1154" s="15"/>
      <c r="E1154" s="15"/>
      <c r="F1154" s="15"/>
      <c r="G1154" s="15"/>
      <c r="H1154" s="15"/>
      <c r="I1154" s="15"/>
      <c r="J1154" s="15"/>
      <c r="K1154" s="15"/>
      <c r="L1154" s="15"/>
      <c r="M1154" s="15"/>
      <c r="N1154" s="15"/>
      <c r="O1154" s="15"/>
      <c r="P1154" s="15"/>
      <c r="Q1154" s="15"/>
      <c r="R1154" s="15"/>
      <c r="S1154" s="15"/>
      <c r="T1154" s="15"/>
      <c r="U1154" s="15"/>
      <c r="V1154" s="15"/>
    </row>
    <row r="1155" spans="1:22">
      <c r="A1155" s="15"/>
      <c r="C1155" s="15"/>
      <c r="D1155" s="15"/>
      <c r="E1155" s="15"/>
      <c r="F1155" s="15"/>
      <c r="G1155" s="15"/>
      <c r="H1155" s="15"/>
      <c r="I1155" s="15"/>
      <c r="J1155" s="15"/>
      <c r="K1155" s="15"/>
      <c r="L1155" s="15"/>
      <c r="M1155" s="15"/>
      <c r="N1155" s="15"/>
      <c r="O1155" s="15"/>
      <c r="P1155" s="15"/>
      <c r="Q1155" s="15"/>
      <c r="R1155" s="15"/>
      <c r="S1155" s="15"/>
      <c r="T1155" s="15"/>
      <c r="U1155" s="15"/>
      <c r="V1155" s="15"/>
    </row>
    <row r="1156" spans="1:22">
      <c r="A1156" s="15"/>
      <c r="C1156" s="15"/>
      <c r="D1156" s="15"/>
      <c r="E1156" s="15"/>
      <c r="F1156" s="15"/>
      <c r="G1156" s="15"/>
      <c r="H1156" s="15"/>
      <c r="I1156" s="15"/>
      <c r="J1156" s="15"/>
      <c r="K1156" s="15"/>
      <c r="L1156" s="15"/>
      <c r="M1156" s="15"/>
      <c r="N1156" s="15"/>
      <c r="O1156" s="15"/>
      <c r="P1156" s="15"/>
      <c r="Q1156" s="15"/>
      <c r="R1156" s="15"/>
      <c r="S1156" s="15"/>
      <c r="T1156" s="15"/>
      <c r="U1156" s="15"/>
      <c r="V1156" s="15"/>
    </row>
    <row r="1157" spans="1:22">
      <c r="A1157" s="15"/>
      <c r="C1157" s="15"/>
      <c r="D1157" s="15"/>
      <c r="E1157" s="15"/>
      <c r="F1157" s="15"/>
      <c r="G1157" s="15"/>
      <c r="H1157" s="15"/>
      <c r="I1157" s="15"/>
      <c r="J1157" s="15"/>
      <c r="K1157" s="15"/>
      <c r="L1157" s="15"/>
      <c r="M1157" s="15"/>
      <c r="N1157" s="15"/>
      <c r="O1157" s="15"/>
      <c r="P1157" s="15"/>
      <c r="Q1157" s="15"/>
      <c r="R1157" s="15"/>
      <c r="S1157" s="15"/>
      <c r="T1157" s="15"/>
      <c r="U1157" s="15"/>
      <c r="V1157" s="15"/>
    </row>
    <row r="1158" spans="1:22">
      <c r="A1158" s="15"/>
      <c r="C1158" s="15"/>
      <c r="D1158" s="15"/>
      <c r="E1158" s="15"/>
      <c r="F1158" s="15"/>
      <c r="G1158" s="15"/>
      <c r="H1158" s="15"/>
      <c r="I1158" s="15"/>
      <c r="J1158" s="15"/>
      <c r="K1158" s="15"/>
      <c r="L1158" s="15"/>
      <c r="M1158" s="15"/>
      <c r="N1158" s="15"/>
      <c r="O1158" s="15"/>
      <c r="P1158" s="15"/>
      <c r="Q1158" s="15"/>
      <c r="R1158" s="15"/>
      <c r="S1158" s="15"/>
      <c r="T1158" s="15"/>
      <c r="U1158" s="15"/>
      <c r="V1158" s="15"/>
    </row>
    <row r="1159" spans="1:22">
      <c r="A1159" s="15"/>
      <c r="C1159" s="15"/>
      <c r="D1159" s="15"/>
      <c r="E1159" s="15"/>
      <c r="F1159" s="15"/>
      <c r="G1159" s="15"/>
      <c r="H1159" s="15"/>
      <c r="I1159" s="15"/>
      <c r="J1159" s="15"/>
      <c r="K1159" s="15"/>
      <c r="L1159" s="15"/>
      <c r="M1159" s="15"/>
      <c r="N1159" s="15"/>
      <c r="O1159" s="15"/>
      <c r="P1159" s="15"/>
      <c r="Q1159" s="15"/>
      <c r="R1159" s="15"/>
      <c r="S1159" s="15"/>
      <c r="T1159" s="15"/>
      <c r="U1159" s="15"/>
      <c r="V1159" s="15"/>
    </row>
    <row r="1160" spans="1:22">
      <c r="A1160" s="15"/>
      <c r="C1160" s="15"/>
      <c r="D1160" s="15"/>
      <c r="E1160" s="15"/>
      <c r="F1160" s="15"/>
      <c r="G1160" s="15"/>
      <c r="H1160" s="15"/>
      <c r="I1160" s="15"/>
      <c r="J1160" s="15"/>
      <c r="K1160" s="15"/>
      <c r="L1160" s="15"/>
      <c r="M1160" s="15"/>
      <c r="N1160" s="15"/>
      <c r="O1160" s="15"/>
      <c r="P1160" s="15"/>
      <c r="Q1160" s="15"/>
      <c r="R1160" s="15"/>
      <c r="S1160" s="15"/>
      <c r="T1160" s="15"/>
      <c r="U1160" s="15"/>
      <c r="V1160" s="15"/>
    </row>
    <row r="1161" spans="1:22">
      <c r="A1161" s="15"/>
      <c r="C1161" s="15"/>
      <c r="D1161" s="15"/>
      <c r="E1161" s="15"/>
      <c r="F1161" s="15"/>
      <c r="G1161" s="15"/>
      <c r="H1161" s="15"/>
      <c r="I1161" s="15"/>
      <c r="J1161" s="15"/>
      <c r="K1161" s="15"/>
      <c r="L1161" s="15"/>
      <c r="M1161" s="15"/>
      <c r="N1161" s="15"/>
      <c r="O1161" s="15"/>
      <c r="P1161" s="15"/>
      <c r="Q1161" s="15"/>
      <c r="R1161" s="15"/>
      <c r="S1161" s="15"/>
      <c r="T1161" s="15"/>
      <c r="U1161" s="15"/>
      <c r="V1161" s="15"/>
    </row>
    <row r="1162" spans="1:22">
      <c r="A1162" s="15"/>
      <c r="C1162" s="15"/>
      <c r="D1162" s="15"/>
      <c r="E1162" s="15"/>
      <c r="F1162" s="15"/>
      <c r="G1162" s="15"/>
      <c r="H1162" s="15"/>
      <c r="I1162" s="15"/>
      <c r="J1162" s="15"/>
      <c r="K1162" s="15"/>
      <c r="L1162" s="15"/>
      <c r="M1162" s="15"/>
      <c r="N1162" s="15"/>
      <c r="O1162" s="15"/>
      <c r="P1162" s="15"/>
      <c r="Q1162" s="15"/>
      <c r="R1162" s="15"/>
      <c r="S1162" s="15"/>
      <c r="T1162" s="15"/>
      <c r="U1162" s="15"/>
      <c r="V1162" s="15"/>
    </row>
    <row r="1163" spans="1:22">
      <c r="A1163" s="15"/>
      <c r="C1163" s="15"/>
      <c r="D1163" s="15"/>
      <c r="E1163" s="15"/>
      <c r="F1163" s="15"/>
      <c r="G1163" s="15"/>
      <c r="H1163" s="15"/>
      <c r="I1163" s="15"/>
      <c r="J1163" s="15"/>
      <c r="K1163" s="15"/>
      <c r="L1163" s="15"/>
      <c r="M1163" s="15"/>
      <c r="N1163" s="15"/>
      <c r="O1163" s="15"/>
      <c r="P1163" s="15"/>
      <c r="Q1163" s="15"/>
      <c r="R1163" s="15"/>
      <c r="S1163" s="15"/>
      <c r="T1163" s="15"/>
      <c r="U1163" s="15"/>
      <c r="V1163" s="15"/>
    </row>
    <row r="1164" spans="1:22">
      <c r="A1164" s="15"/>
      <c r="C1164" s="15"/>
      <c r="D1164" s="15"/>
      <c r="E1164" s="15"/>
      <c r="F1164" s="15"/>
      <c r="G1164" s="15"/>
      <c r="H1164" s="15"/>
      <c r="I1164" s="15"/>
      <c r="J1164" s="15"/>
      <c r="K1164" s="15"/>
      <c r="L1164" s="15"/>
      <c r="M1164" s="15"/>
      <c r="N1164" s="15"/>
      <c r="O1164" s="15"/>
      <c r="P1164" s="15"/>
      <c r="Q1164" s="15"/>
      <c r="R1164" s="15"/>
      <c r="S1164" s="15"/>
      <c r="T1164" s="15"/>
      <c r="U1164" s="15"/>
      <c r="V1164" s="15"/>
    </row>
    <row r="1165" spans="1:22">
      <c r="A1165" s="15"/>
      <c r="C1165" s="15"/>
      <c r="D1165" s="15"/>
      <c r="E1165" s="15"/>
      <c r="F1165" s="15"/>
      <c r="G1165" s="15"/>
      <c r="H1165" s="15"/>
      <c r="I1165" s="15"/>
      <c r="J1165" s="15"/>
      <c r="K1165" s="15"/>
      <c r="L1165" s="15"/>
      <c r="M1165" s="15"/>
      <c r="N1165" s="15"/>
      <c r="O1165" s="15"/>
      <c r="P1165" s="15"/>
      <c r="Q1165" s="15"/>
      <c r="R1165" s="15"/>
      <c r="S1165" s="15"/>
      <c r="T1165" s="15"/>
      <c r="U1165" s="15"/>
      <c r="V1165" s="15"/>
    </row>
    <row r="1166" spans="1:22">
      <c r="A1166" s="15"/>
      <c r="C1166" s="15"/>
      <c r="D1166" s="15"/>
      <c r="E1166" s="15"/>
      <c r="F1166" s="15"/>
      <c r="G1166" s="15"/>
      <c r="H1166" s="15"/>
      <c r="I1166" s="15"/>
      <c r="J1166" s="15"/>
      <c r="K1166" s="15"/>
      <c r="L1166" s="15"/>
      <c r="M1166" s="15"/>
      <c r="N1166" s="15"/>
      <c r="O1166" s="15"/>
      <c r="P1166" s="15"/>
      <c r="Q1166" s="15"/>
      <c r="R1166" s="15"/>
      <c r="S1166" s="15"/>
      <c r="T1166" s="15"/>
      <c r="U1166" s="15"/>
      <c r="V1166" s="15"/>
    </row>
    <row r="1167" spans="1:22">
      <c r="A1167" s="15"/>
      <c r="C1167" s="15"/>
      <c r="D1167" s="15"/>
      <c r="E1167" s="15"/>
      <c r="F1167" s="15"/>
      <c r="G1167" s="15"/>
      <c r="H1167" s="15"/>
      <c r="I1167" s="15"/>
      <c r="J1167" s="15"/>
      <c r="K1167" s="15"/>
      <c r="L1167" s="15"/>
      <c r="M1167" s="15"/>
      <c r="N1167" s="15"/>
      <c r="O1167" s="15"/>
      <c r="P1167" s="15"/>
      <c r="Q1167" s="15"/>
      <c r="R1167" s="15"/>
      <c r="S1167" s="15"/>
      <c r="T1167" s="15"/>
      <c r="U1167" s="15"/>
      <c r="V1167" s="15"/>
    </row>
  </sheetData>
  <mergeCells count="26">
    <mergeCell ref="AF247:AG247"/>
    <mergeCell ref="A263:AB263"/>
    <mergeCell ref="A120:C120"/>
    <mergeCell ref="A940:AE940"/>
    <mergeCell ref="A259:AB259"/>
    <mergeCell ref="A260:AB260"/>
    <mergeCell ref="A261:AB261"/>
    <mergeCell ref="A262:AB262"/>
    <mergeCell ref="A305:I305"/>
    <mergeCell ref="A306:I306"/>
    <mergeCell ref="A4:C4"/>
    <mergeCell ref="HG478:IB478"/>
    <mergeCell ref="FG478:GF478"/>
    <mergeCell ref="GG478:HF478"/>
    <mergeCell ref="A121:G121"/>
    <mergeCell ref="A245:H245"/>
    <mergeCell ref="A246:D246"/>
    <mergeCell ref="A247:F247"/>
    <mergeCell ref="A370:AD370"/>
    <mergeCell ref="AF245:AG245"/>
    <mergeCell ref="AF246:AG246"/>
    <mergeCell ref="A248:AE248"/>
    <mergeCell ref="A258:AB258"/>
    <mergeCell ref="A119:F119"/>
    <mergeCell ref="A122:F122"/>
    <mergeCell ref="A304:D304"/>
  </mergeCells>
  <phoneticPr fontId="28" type="noConversion"/>
  <conditionalFormatting sqref="A880 A890 A900 A910 A920 A930">
    <cfRule type="expression" dxfId="5" priority="1" stopIfTrue="1">
      <formula>#REF!="Задача"</formula>
    </cfRule>
    <cfRule type="expression" dxfId="4" priority="2" stopIfTrue="1">
      <formula>#REF!="Цель"</formula>
    </cfRule>
    <cfRule type="expression" dxfId="3" priority="3" stopIfTrue="1">
      <formula>#REF!="Направление"</formula>
    </cfRule>
  </conditionalFormatting>
  <pageMargins left="0.51181102362204722" right="0.11811023622047245" top="0.35433070866141736" bottom="0.35433070866141736" header="0.11811023622047245" footer="0.31496062992125984"/>
  <pageSetup paperSize="9" scale="58" orientation="portrait" r:id="rId1"/>
  <rowBreaks count="13" manualBreakCount="13">
    <brk id="59" max="250" man="1"/>
    <brk id="124" max="250" man="1"/>
    <brk id="187" max="250" man="1"/>
    <brk id="251" max="16383" man="1"/>
    <brk id="297" max="250" man="1"/>
    <brk id="356" max="16383" man="1"/>
    <brk id="402" max="16383" man="1"/>
    <brk id="446" max="16383" man="1"/>
    <brk id="498" max="250" man="1"/>
    <brk id="558" max="251" man="1"/>
    <brk id="676" max="251" man="1"/>
    <brk id="851" max="16383" man="1"/>
    <brk id="880" max="251" man="1"/>
  </rowBreaks>
  <colBreaks count="2" manualBreakCount="2">
    <brk id="33" max="1048575" man="1"/>
    <brk id="4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R24"/>
  <sheetViews>
    <sheetView workbookViewId="0">
      <pane xSplit="1" topLeftCell="AD1" activePane="topRight" state="frozen"/>
      <selection pane="topRight" activeCell="AS1" sqref="AS1"/>
    </sheetView>
  </sheetViews>
  <sheetFormatPr defaultRowHeight="12.75"/>
  <cols>
    <col min="1" max="1" width="35.5703125" bestFit="1" customWidth="1"/>
    <col min="2" max="2" width="11.28515625" bestFit="1" customWidth="1"/>
    <col min="3" max="4" width="5" bestFit="1" customWidth="1"/>
    <col min="5" max="5" width="5.42578125" bestFit="1" customWidth="1"/>
    <col min="6" max="12" width="7.85546875" bestFit="1" customWidth="1"/>
    <col min="13" max="26" width="8.85546875" bestFit="1" customWidth="1"/>
    <col min="27" max="30" width="7.42578125" bestFit="1" customWidth="1"/>
    <col min="31" max="32" width="8.28515625" bestFit="1" customWidth="1"/>
    <col min="33" max="33" width="9.28515625" bestFit="1" customWidth="1"/>
    <col min="34" max="34" width="8.85546875" bestFit="1" customWidth="1"/>
    <col min="35" max="36" width="9.28515625" bestFit="1" customWidth="1"/>
    <col min="37" max="37" width="9.7109375" customWidth="1"/>
    <col min="38" max="43" width="10.5703125" customWidth="1"/>
    <col min="44" max="44" width="10.7109375" customWidth="1"/>
  </cols>
  <sheetData>
    <row r="1" spans="1:44" s="15" customFormat="1" ht="38.25">
      <c r="A1" s="406" t="s">
        <v>210</v>
      </c>
      <c r="B1" s="407" t="s">
        <v>217</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267">
        <v>2020</v>
      </c>
      <c r="AG1" s="267">
        <v>2021</v>
      </c>
      <c r="AH1" s="267">
        <v>2022</v>
      </c>
      <c r="AI1" s="408">
        <v>2023</v>
      </c>
      <c r="AJ1" s="796">
        <v>2024</v>
      </c>
      <c r="AK1" s="409">
        <v>2025</v>
      </c>
      <c r="AL1" s="853" t="s">
        <v>470</v>
      </c>
      <c r="AM1" s="887" t="s">
        <v>478</v>
      </c>
      <c r="AN1" s="887" t="s">
        <v>486</v>
      </c>
      <c r="AO1" s="887" t="s">
        <v>492</v>
      </c>
      <c r="AP1" s="925" t="s">
        <v>501</v>
      </c>
      <c r="AQ1" s="267" t="s">
        <v>527</v>
      </c>
      <c r="AR1" s="1087" t="s">
        <v>538</v>
      </c>
    </row>
    <row r="2" spans="1:44" s="15" customFormat="1">
      <c r="A2" s="410" t="s">
        <v>211</v>
      </c>
      <c r="B2" s="298" t="s">
        <v>214</v>
      </c>
      <c r="C2" s="36"/>
      <c r="D2" s="36"/>
      <c r="E2" s="36"/>
      <c r="F2" s="36"/>
      <c r="G2" s="36"/>
      <c r="H2" s="36"/>
      <c r="I2" s="36"/>
      <c r="J2" s="36"/>
      <c r="K2" s="36"/>
      <c r="L2" s="36"/>
      <c r="M2" s="36"/>
      <c r="N2" s="36"/>
      <c r="O2" s="36"/>
      <c r="P2" s="36"/>
      <c r="Q2" s="36"/>
      <c r="R2" s="36"/>
      <c r="S2" s="36"/>
      <c r="T2" s="36"/>
      <c r="U2" s="36"/>
      <c r="V2" s="36"/>
      <c r="W2" s="36"/>
      <c r="X2" s="36"/>
      <c r="Y2" s="36"/>
      <c r="Z2" s="36"/>
      <c r="AA2" s="36"/>
      <c r="AB2" s="241"/>
      <c r="AC2" s="34"/>
      <c r="AD2" s="241"/>
      <c r="AE2" s="241"/>
      <c r="AF2" s="411"/>
      <c r="AJ2" s="786"/>
      <c r="AK2" s="18"/>
      <c r="AL2" s="852"/>
      <c r="AM2" s="811"/>
      <c r="AN2" s="811"/>
      <c r="AO2" s="811"/>
      <c r="AP2" s="916"/>
      <c r="AQ2" s="34"/>
      <c r="AR2" s="1078"/>
    </row>
    <row r="3" spans="1:44" s="15" customFormat="1">
      <c r="A3" s="333" t="s">
        <v>108</v>
      </c>
      <c r="B3" s="283"/>
      <c r="C3" s="36">
        <v>2.6</v>
      </c>
      <c r="D3" s="36">
        <v>26</v>
      </c>
      <c r="E3" s="36">
        <v>465</v>
      </c>
      <c r="F3" s="36">
        <v>13382</v>
      </c>
      <c r="G3" s="36">
        <v>17156</v>
      </c>
      <c r="H3" s="36">
        <v>19536</v>
      </c>
      <c r="I3" s="36">
        <v>16542</v>
      </c>
      <c r="J3" s="36">
        <v>26839</v>
      </c>
      <c r="K3" s="36">
        <v>50209</v>
      </c>
      <c r="L3" s="36">
        <v>53909</v>
      </c>
      <c r="M3" s="36">
        <v>114763</v>
      </c>
      <c r="N3" s="36">
        <v>153395</v>
      </c>
      <c r="O3" s="36">
        <v>166241</v>
      </c>
      <c r="P3" s="36">
        <v>278490</v>
      </c>
      <c r="Q3" s="36">
        <v>334159</v>
      </c>
      <c r="R3" s="36">
        <v>417421</v>
      </c>
      <c r="S3" s="36">
        <v>492751</v>
      </c>
      <c r="T3" s="36">
        <v>485068</v>
      </c>
      <c r="U3" s="36">
        <v>382684</v>
      </c>
      <c r="V3" s="36">
        <v>398408</v>
      </c>
      <c r="W3" s="36">
        <v>415419</v>
      </c>
      <c r="X3" s="36">
        <v>458276</v>
      </c>
      <c r="Y3" s="36">
        <v>482877</v>
      </c>
      <c r="Z3" s="36">
        <v>511598</v>
      </c>
      <c r="AA3" s="299">
        <v>533370</v>
      </c>
      <c r="AB3" s="66">
        <v>581574</v>
      </c>
      <c r="AC3" s="59">
        <v>644406</v>
      </c>
      <c r="AD3" s="59">
        <v>732930</v>
      </c>
      <c r="AE3" s="300">
        <v>820449</v>
      </c>
      <c r="AF3" s="300">
        <v>976795</v>
      </c>
      <c r="AG3" s="300">
        <v>1187620</v>
      </c>
      <c r="AH3" s="359">
        <v>1407989.996</v>
      </c>
      <c r="AI3" s="412">
        <v>1803183.33</v>
      </c>
      <c r="AJ3" s="797">
        <v>2069933</v>
      </c>
      <c r="AK3" s="68">
        <v>2547857</v>
      </c>
      <c r="AL3" s="861">
        <v>127818</v>
      </c>
      <c r="AM3" s="768">
        <v>253012</v>
      </c>
      <c r="AN3" s="768">
        <v>373700</v>
      </c>
      <c r="AO3" s="768">
        <v>588602</v>
      </c>
      <c r="AP3" s="926">
        <v>768827</v>
      </c>
      <c r="AQ3" s="59">
        <v>1021498</v>
      </c>
      <c r="AR3" s="70">
        <v>1239654</v>
      </c>
    </row>
    <row r="4" spans="1:44" s="15" customFormat="1">
      <c r="A4" s="335" t="s">
        <v>109</v>
      </c>
      <c r="B4" s="283"/>
      <c r="C4" s="413" t="s">
        <v>4</v>
      </c>
      <c r="D4" s="413" t="s">
        <v>4</v>
      </c>
      <c r="E4" s="413" t="s">
        <v>4</v>
      </c>
      <c r="F4" s="413" t="s">
        <v>4</v>
      </c>
      <c r="G4" s="413" t="s">
        <v>4</v>
      </c>
      <c r="H4" s="413" t="s">
        <v>4</v>
      </c>
      <c r="I4" s="413" t="s">
        <v>4</v>
      </c>
      <c r="J4" s="413" t="s">
        <v>4</v>
      </c>
      <c r="K4" s="413" t="s">
        <v>4</v>
      </c>
      <c r="L4" s="58" t="s">
        <v>1</v>
      </c>
      <c r="M4" s="36">
        <v>65565</v>
      </c>
      <c r="N4" s="36">
        <v>38973</v>
      </c>
      <c r="O4" s="36">
        <v>44351</v>
      </c>
      <c r="P4" s="36">
        <v>56819</v>
      </c>
      <c r="Q4" s="36">
        <v>74726</v>
      </c>
      <c r="R4" s="36">
        <v>60608</v>
      </c>
      <c r="S4" s="36">
        <v>51720</v>
      </c>
      <c r="T4" s="36">
        <v>64478</v>
      </c>
      <c r="U4" s="36">
        <v>49619</v>
      </c>
      <c r="V4" s="36">
        <v>78833</v>
      </c>
      <c r="W4" s="36">
        <v>107081</v>
      </c>
      <c r="X4" s="36">
        <v>97872</v>
      </c>
      <c r="Y4" s="36">
        <v>71477</v>
      </c>
      <c r="Z4" s="36">
        <v>72649</v>
      </c>
      <c r="AA4" s="299">
        <v>54297</v>
      </c>
      <c r="AB4" s="66">
        <v>63503</v>
      </c>
      <c r="AC4" s="59">
        <v>89389</v>
      </c>
      <c r="AD4" s="59">
        <v>91106</v>
      </c>
      <c r="AE4" s="300">
        <v>125208</v>
      </c>
      <c r="AF4" s="300">
        <v>115479</v>
      </c>
      <c r="AG4" s="300">
        <v>159987</v>
      </c>
      <c r="AH4" s="414">
        <v>150154.88099999999</v>
      </c>
      <c r="AI4" s="412">
        <v>366210</v>
      </c>
      <c r="AJ4" s="797">
        <v>279664</v>
      </c>
      <c r="AK4" s="68">
        <v>279619</v>
      </c>
      <c r="AL4" s="861">
        <v>14742</v>
      </c>
      <c r="AM4" s="768">
        <v>31787</v>
      </c>
      <c r="AN4" s="768">
        <v>51212</v>
      </c>
      <c r="AO4" s="768">
        <v>83184</v>
      </c>
      <c r="AP4" s="926">
        <v>105277</v>
      </c>
      <c r="AQ4" s="59">
        <v>138708</v>
      </c>
      <c r="AR4" s="70">
        <v>169827</v>
      </c>
    </row>
    <row r="5" spans="1:44" s="15" customFormat="1">
      <c r="A5" s="335" t="s">
        <v>135</v>
      </c>
      <c r="B5" s="283"/>
      <c r="C5" s="413" t="s">
        <v>1</v>
      </c>
      <c r="D5" s="413" t="s">
        <v>1</v>
      </c>
      <c r="E5" s="413" t="s">
        <v>1</v>
      </c>
      <c r="F5" s="413" t="s">
        <v>1</v>
      </c>
      <c r="G5" s="413" t="s">
        <v>1</v>
      </c>
      <c r="H5" s="413" t="s">
        <v>1</v>
      </c>
      <c r="I5" s="413" t="s">
        <v>1</v>
      </c>
      <c r="J5" s="413" t="s">
        <v>1</v>
      </c>
      <c r="K5" s="413" t="s">
        <v>1</v>
      </c>
      <c r="L5" s="58" t="s">
        <v>1</v>
      </c>
      <c r="M5" s="36" t="s">
        <v>26</v>
      </c>
      <c r="N5" s="36" t="s">
        <v>1</v>
      </c>
      <c r="O5" s="36" t="s">
        <v>1</v>
      </c>
      <c r="P5" s="36" t="s">
        <v>1</v>
      </c>
      <c r="Q5" s="36" t="s">
        <v>1</v>
      </c>
      <c r="R5" s="36" t="s">
        <v>1</v>
      </c>
      <c r="S5" s="36" t="s">
        <v>1</v>
      </c>
      <c r="T5" s="36">
        <v>2093</v>
      </c>
      <c r="U5" s="36">
        <v>10109</v>
      </c>
      <c r="V5" s="36">
        <v>18710</v>
      </c>
      <c r="W5" s="36">
        <v>22985</v>
      </c>
      <c r="X5" s="36">
        <v>30230</v>
      </c>
      <c r="Y5" s="36">
        <v>33783</v>
      </c>
      <c r="Z5" s="36">
        <v>71894</v>
      </c>
      <c r="AA5" s="299">
        <v>99695</v>
      </c>
      <c r="AB5" s="66">
        <v>68274</v>
      </c>
      <c r="AC5" s="59">
        <v>67877</v>
      </c>
      <c r="AD5" s="59">
        <v>91293</v>
      </c>
      <c r="AE5" s="300">
        <v>107178</v>
      </c>
      <c r="AF5" s="300">
        <v>144168</v>
      </c>
      <c r="AG5" s="300">
        <v>124189</v>
      </c>
      <c r="AH5" s="414">
        <v>125752.9</v>
      </c>
      <c r="AI5" s="412">
        <v>186565</v>
      </c>
      <c r="AJ5" s="797">
        <v>376850</v>
      </c>
      <c r="AK5" s="68">
        <v>563730</v>
      </c>
      <c r="AL5" s="861">
        <v>51076</v>
      </c>
      <c r="AM5" s="768">
        <v>68183</v>
      </c>
      <c r="AN5" s="768">
        <v>92445</v>
      </c>
      <c r="AO5" s="768">
        <v>134009</v>
      </c>
      <c r="AP5" s="926">
        <v>177693</v>
      </c>
      <c r="AQ5" s="59">
        <v>216778</v>
      </c>
      <c r="AR5" s="70">
        <v>253621</v>
      </c>
    </row>
    <row r="6" spans="1:44" s="15" customFormat="1">
      <c r="A6" s="335" t="s">
        <v>110</v>
      </c>
      <c r="B6" s="283"/>
      <c r="C6" s="413" t="s">
        <v>4</v>
      </c>
      <c r="D6" s="413" t="s">
        <v>4</v>
      </c>
      <c r="E6" s="413" t="s">
        <v>4</v>
      </c>
      <c r="F6" s="413" t="s">
        <v>4</v>
      </c>
      <c r="G6" s="413" t="s">
        <v>4</v>
      </c>
      <c r="H6" s="413" t="s">
        <v>4</v>
      </c>
      <c r="I6" s="413" t="s">
        <v>4</v>
      </c>
      <c r="J6" s="413" t="s">
        <v>4</v>
      </c>
      <c r="K6" s="413" t="s">
        <v>4</v>
      </c>
      <c r="L6" s="58" t="s">
        <v>1</v>
      </c>
      <c r="M6" s="36">
        <v>3884</v>
      </c>
      <c r="N6" s="36">
        <v>8479</v>
      </c>
      <c r="O6" s="36">
        <v>9114</v>
      </c>
      <c r="P6" s="36">
        <v>11317</v>
      </c>
      <c r="Q6" s="36">
        <v>22018</v>
      </c>
      <c r="R6" s="36">
        <v>33406</v>
      </c>
      <c r="S6" s="36">
        <v>38451</v>
      </c>
      <c r="T6" s="36">
        <v>44975</v>
      </c>
      <c r="U6" s="36">
        <v>41800</v>
      </c>
      <c r="V6" s="36">
        <v>50056</v>
      </c>
      <c r="W6" s="36">
        <v>48873</v>
      </c>
      <c r="X6" s="36">
        <v>49420</v>
      </c>
      <c r="Y6" s="36">
        <v>57108</v>
      </c>
      <c r="Z6" s="36">
        <v>55731</v>
      </c>
      <c r="AA6" s="299">
        <v>49989</v>
      </c>
      <c r="AB6" s="66">
        <v>57056</v>
      </c>
      <c r="AC6" s="59">
        <v>65040</v>
      </c>
      <c r="AD6" s="59">
        <v>69199</v>
      </c>
      <c r="AE6" s="300">
        <v>57938</v>
      </c>
      <c r="AF6" s="300">
        <v>65685</v>
      </c>
      <c r="AG6" s="300">
        <v>89729</v>
      </c>
      <c r="AH6" s="414">
        <v>102022.147</v>
      </c>
      <c r="AI6" s="412">
        <v>101642</v>
      </c>
      <c r="AJ6" s="797">
        <v>140027</v>
      </c>
      <c r="AK6" s="68">
        <v>161200</v>
      </c>
      <c r="AL6" s="861">
        <v>2362</v>
      </c>
      <c r="AM6" s="768">
        <v>5239</v>
      </c>
      <c r="AN6" s="768">
        <v>11131</v>
      </c>
      <c r="AO6" s="768">
        <v>22532</v>
      </c>
      <c r="AP6" s="926">
        <v>32200</v>
      </c>
      <c r="AQ6" s="59">
        <v>39412</v>
      </c>
      <c r="AR6" s="70">
        <v>50018</v>
      </c>
    </row>
    <row r="7" spans="1:44" s="15" customFormat="1">
      <c r="A7" s="335" t="s">
        <v>111</v>
      </c>
      <c r="B7" s="283"/>
      <c r="C7" s="413" t="s">
        <v>4</v>
      </c>
      <c r="D7" s="413" t="s">
        <v>4</v>
      </c>
      <c r="E7" s="413" t="s">
        <v>4</v>
      </c>
      <c r="F7" s="413" t="s">
        <v>4</v>
      </c>
      <c r="G7" s="413" t="s">
        <v>4</v>
      </c>
      <c r="H7" s="413" t="s">
        <v>4</v>
      </c>
      <c r="I7" s="413" t="s">
        <v>4</v>
      </c>
      <c r="J7" s="413" t="s">
        <v>4</v>
      </c>
      <c r="K7" s="413" t="s">
        <v>4</v>
      </c>
      <c r="L7" s="58" t="s">
        <v>1</v>
      </c>
      <c r="M7" s="36">
        <v>15434</v>
      </c>
      <c r="N7" s="36">
        <v>30524</v>
      </c>
      <c r="O7" s="36">
        <v>34833</v>
      </c>
      <c r="P7" s="36">
        <v>97966</v>
      </c>
      <c r="Q7" s="36">
        <v>87238</v>
      </c>
      <c r="R7" s="36">
        <v>136416</v>
      </c>
      <c r="S7" s="36">
        <v>181270</v>
      </c>
      <c r="T7" s="36">
        <v>200351</v>
      </c>
      <c r="U7" s="36">
        <v>159831</v>
      </c>
      <c r="V7" s="36">
        <v>117772</v>
      </c>
      <c r="W7" s="36">
        <v>111808</v>
      </c>
      <c r="X7" s="36">
        <v>110770</v>
      </c>
      <c r="Y7" s="36">
        <v>113789</v>
      </c>
      <c r="Z7" s="36">
        <v>127015</v>
      </c>
      <c r="AA7" s="299">
        <v>143005</v>
      </c>
      <c r="AB7" s="66">
        <v>146348</v>
      </c>
      <c r="AC7" s="59">
        <v>163945</v>
      </c>
      <c r="AD7" s="59">
        <v>182083</v>
      </c>
      <c r="AE7" s="300">
        <v>206872</v>
      </c>
      <c r="AF7" s="300">
        <v>225215</v>
      </c>
      <c r="AG7" s="300">
        <v>285497</v>
      </c>
      <c r="AH7" s="414">
        <v>367607.06599999999</v>
      </c>
      <c r="AI7" s="412">
        <v>390217</v>
      </c>
      <c r="AJ7" s="797">
        <v>436968</v>
      </c>
      <c r="AK7" s="68">
        <v>485497</v>
      </c>
      <c r="AL7" s="861">
        <v>14191</v>
      </c>
      <c r="AM7" s="768">
        <v>27854</v>
      </c>
      <c r="AN7" s="768">
        <v>42896</v>
      </c>
      <c r="AO7" s="768">
        <v>110995</v>
      </c>
      <c r="AP7" s="926">
        <v>138126</v>
      </c>
      <c r="AQ7" s="59">
        <v>184117</v>
      </c>
      <c r="AR7" s="70">
        <v>234289</v>
      </c>
    </row>
    <row r="8" spans="1:44" s="15" customFormat="1">
      <c r="A8" s="335" t="s">
        <v>388</v>
      </c>
      <c r="B8" s="283"/>
      <c r="C8" s="413" t="s">
        <v>4</v>
      </c>
      <c r="D8" s="413" t="s">
        <v>4</v>
      </c>
      <c r="E8" s="413" t="s">
        <v>4</v>
      </c>
      <c r="F8" s="413" t="s">
        <v>4</v>
      </c>
      <c r="G8" s="413" t="s">
        <v>4</v>
      </c>
      <c r="H8" s="413" t="s">
        <v>4</v>
      </c>
      <c r="I8" s="413" t="s">
        <v>4</v>
      </c>
      <c r="J8" s="413" t="s">
        <v>4</v>
      </c>
      <c r="K8" s="413" t="s">
        <v>4</v>
      </c>
      <c r="L8" s="58" t="s">
        <v>1</v>
      </c>
      <c r="M8" s="36">
        <v>9902</v>
      </c>
      <c r="N8" s="36">
        <v>14176</v>
      </c>
      <c r="O8" s="36">
        <v>16376</v>
      </c>
      <c r="P8" s="36">
        <v>27230</v>
      </c>
      <c r="Q8" s="36">
        <v>39678</v>
      </c>
      <c r="R8" s="36">
        <v>49578</v>
      </c>
      <c r="S8" s="36">
        <v>41969</v>
      </c>
      <c r="T8" s="36">
        <v>38202</v>
      </c>
      <c r="U8" s="36">
        <v>28227</v>
      </c>
      <c r="V8" s="36">
        <v>25401</v>
      </c>
      <c r="W8" s="36">
        <v>24860</v>
      </c>
      <c r="X8" s="36">
        <v>33835</v>
      </c>
      <c r="Y8" s="36">
        <v>27028</v>
      </c>
      <c r="Z8" s="36">
        <v>28272</v>
      </c>
      <c r="AA8" s="299">
        <v>35135</v>
      </c>
      <c r="AB8" s="66">
        <v>50325</v>
      </c>
      <c r="AC8" s="59">
        <v>42891</v>
      </c>
      <c r="AD8" s="59">
        <v>46588</v>
      </c>
      <c r="AE8" s="300">
        <v>37348</v>
      </c>
      <c r="AF8" s="300">
        <v>47433</v>
      </c>
      <c r="AG8" s="300">
        <v>71553</v>
      </c>
      <c r="AH8" s="414">
        <v>73346.698999999993</v>
      </c>
      <c r="AI8" s="412">
        <v>103310</v>
      </c>
      <c r="AJ8" s="797">
        <v>122817</v>
      </c>
      <c r="AK8" s="68">
        <v>184701</v>
      </c>
      <c r="AL8" s="861">
        <v>5428</v>
      </c>
      <c r="AM8" s="768">
        <v>19117</v>
      </c>
      <c r="AN8" s="768">
        <v>22428</v>
      </c>
      <c r="AO8" s="768">
        <v>26299</v>
      </c>
      <c r="AP8" s="926">
        <v>43674</v>
      </c>
      <c r="AQ8" s="59">
        <v>58790</v>
      </c>
      <c r="AR8" s="70">
        <v>68783</v>
      </c>
    </row>
    <row r="9" spans="1:44" s="15" customFormat="1">
      <c r="A9" s="335" t="s">
        <v>136</v>
      </c>
      <c r="B9" s="283"/>
      <c r="C9" s="413" t="s">
        <v>4</v>
      </c>
      <c r="D9" s="413" t="s">
        <v>4</v>
      </c>
      <c r="E9" s="413" t="s">
        <v>4</v>
      </c>
      <c r="F9" s="413" t="s">
        <v>4</v>
      </c>
      <c r="G9" s="413" t="s">
        <v>4</v>
      </c>
      <c r="H9" s="413" t="s">
        <v>4</v>
      </c>
      <c r="I9" s="413" t="s">
        <v>4</v>
      </c>
      <c r="J9" s="413" t="s">
        <v>4</v>
      </c>
      <c r="K9" s="413" t="s">
        <v>4</v>
      </c>
      <c r="L9" s="58" t="s">
        <v>1</v>
      </c>
      <c r="M9" s="36">
        <v>13861</v>
      </c>
      <c r="N9" s="36">
        <v>52654</v>
      </c>
      <c r="O9" s="36">
        <v>52059</v>
      </c>
      <c r="P9" s="36">
        <v>65426</v>
      </c>
      <c r="Q9" s="36">
        <v>96048</v>
      </c>
      <c r="R9" s="36">
        <v>116717</v>
      </c>
      <c r="S9" s="36">
        <v>156186</v>
      </c>
      <c r="T9" s="36">
        <v>106969</v>
      </c>
      <c r="U9" s="36">
        <v>71513</v>
      </c>
      <c r="V9" s="36">
        <v>86894</v>
      </c>
      <c r="W9" s="36">
        <v>74440</v>
      </c>
      <c r="X9" s="36">
        <v>94444</v>
      </c>
      <c r="Y9" s="36">
        <v>106620</v>
      </c>
      <c r="Z9" s="36">
        <v>96539</v>
      </c>
      <c r="AA9" s="299">
        <v>106437</v>
      </c>
      <c r="AB9" s="66">
        <v>119941</v>
      </c>
      <c r="AC9" s="59">
        <v>117147</v>
      </c>
      <c r="AD9" s="59">
        <v>162234</v>
      </c>
      <c r="AE9" s="300">
        <v>170669</v>
      </c>
      <c r="AF9" s="300">
        <v>165353</v>
      </c>
      <c r="AG9" s="300">
        <v>188465</v>
      </c>
      <c r="AH9" s="414">
        <v>269311.87800000003</v>
      </c>
      <c r="AI9" s="412">
        <v>360468</v>
      </c>
      <c r="AJ9" s="797">
        <v>331930</v>
      </c>
      <c r="AK9" s="68">
        <v>352827</v>
      </c>
      <c r="AL9" s="861">
        <v>10261</v>
      </c>
      <c r="AM9" s="768">
        <v>46478</v>
      </c>
      <c r="AN9" s="768">
        <v>68332</v>
      </c>
      <c r="AO9" s="768">
        <v>97392</v>
      </c>
      <c r="AP9" s="926">
        <v>130656</v>
      </c>
      <c r="AQ9" s="59">
        <v>186427</v>
      </c>
      <c r="AR9" s="70">
        <v>224150</v>
      </c>
    </row>
    <row r="10" spans="1:44" s="15" customFormat="1">
      <c r="A10" s="335" t="s">
        <v>112</v>
      </c>
      <c r="B10" s="283"/>
      <c r="C10" s="413" t="s">
        <v>1</v>
      </c>
      <c r="D10" s="413" t="s">
        <v>1</v>
      </c>
      <c r="E10" s="413" t="s">
        <v>1</v>
      </c>
      <c r="F10" s="413" t="s">
        <v>1</v>
      </c>
      <c r="G10" s="413" t="s">
        <v>1</v>
      </c>
      <c r="H10" s="413" t="s">
        <v>1</v>
      </c>
      <c r="I10" s="413" t="s">
        <v>1</v>
      </c>
      <c r="J10" s="413" t="s">
        <v>1</v>
      </c>
      <c r="K10" s="413" t="s">
        <v>1</v>
      </c>
      <c r="L10" s="58" t="s">
        <v>1</v>
      </c>
      <c r="M10" s="36" t="s">
        <v>1</v>
      </c>
      <c r="N10" s="36" t="s">
        <v>1</v>
      </c>
      <c r="O10" s="36" t="s">
        <v>1</v>
      </c>
      <c r="P10" s="36" t="s">
        <v>1</v>
      </c>
      <c r="Q10" s="36" t="s">
        <v>1</v>
      </c>
      <c r="R10" s="36" t="s">
        <v>1</v>
      </c>
      <c r="S10" s="36" t="s">
        <v>1</v>
      </c>
      <c r="T10" s="36" t="s">
        <v>1</v>
      </c>
      <c r="U10" s="36" t="s">
        <v>1</v>
      </c>
      <c r="V10" s="36" t="s">
        <v>1</v>
      </c>
      <c r="W10" s="36" t="s">
        <v>1</v>
      </c>
      <c r="X10" s="36" t="s">
        <v>1</v>
      </c>
      <c r="Y10" s="36" t="s">
        <v>1</v>
      </c>
      <c r="Z10" s="36">
        <v>15372</v>
      </c>
      <c r="AA10" s="299">
        <v>7345</v>
      </c>
      <c r="AB10" s="66">
        <v>21990</v>
      </c>
      <c r="AC10" s="59">
        <v>30904</v>
      </c>
      <c r="AD10" s="59">
        <v>37569</v>
      </c>
      <c r="AE10" s="300">
        <v>43973</v>
      </c>
      <c r="AF10" s="300">
        <v>129617</v>
      </c>
      <c r="AG10" s="300">
        <v>128132</v>
      </c>
      <c r="AH10" s="414">
        <v>133545.56200000001</v>
      </c>
      <c r="AI10" s="412">
        <v>142121</v>
      </c>
      <c r="AJ10" s="797">
        <v>163930</v>
      </c>
      <c r="AK10" s="68">
        <v>203559</v>
      </c>
      <c r="AL10" s="861">
        <v>10590</v>
      </c>
      <c r="AM10" s="768">
        <v>17112</v>
      </c>
      <c r="AN10" s="768">
        <v>30963</v>
      </c>
      <c r="AO10" s="768">
        <v>42538</v>
      </c>
      <c r="AP10" s="926">
        <v>56140</v>
      </c>
      <c r="AQ10" s="59">
        <v>68966</v>
      </c>
      <c r="AR10" s="70">
        <v>89339</v>
      </c>
    </row>
    <row r="11" spans="1:44" s="15" customFormat="1">
      <c r="A11" s="335" t="s">
        <v>113</v>
      </c>
      <c r="B11" s="283"/>
      <c r="C11" s="413" t="s">
        <v>4</v>
      </c>
      <c r="D11" s="413" t="s">
        <v>4</v>
      </c>
      <c r="E11" s="413" t="s">
        <v>4</v>
      </c>
      <c r="F11" s="413" t="s">
        <v>4</v>
      </c>
      <c r="G11" s="413" t="s">
        <v>4</v>
      </c>
      <c r="H11" s="413" t="s">
        <v>4</v>
      </c>
      <c r="I11" s="413" t="s">
        <v>4</v>
      </c>
      <c r="J11" s="413" t="s">
        <v>4</v>
      </c>
      <c r="K11" s="413" t="s">
        <v>4</v>
      </c>
      <c r="L11" s="58" t="s">
        <v>1</v>
      </c>
      <c r="M11" s="36">
        <v>6117</v>
      </c>
      <c r="N11" s="36">
        <v>8589</v>
      </c>
      <c r="O11" s="36">
        <v>9508</v>
      </c>
      <c r="P11" s="36">
        <v>19732</v>
      </c>
      <c r="Q11" s="36">
        <v>14451</v>
      </c>
      <c r="R11" s="36">
        <v>20696</v>
      </c>
      <c r="S11" s="36">
        <v>23155</v>
      </c>
      <c r="T11" s="36">
        <v>28000</v>
      </c>
      <c r="U11" s="36">
        <v>21585</v>
      </c>
      <c r="V11" s="36">
        <v>20742</v>
      </c>
      <c r="W11" s="36">
        <v>25372</v>
      </c>
      <c r="X11" s="36">
        <v>41705</v>
      </c>
      <c r="Y11" s="36">
        <v>73072</v>
      </c>
      <c r="Z11" s="36">
        <v>44126</v>
      </c>
      <c r="AA11" s="299">
        <v>37467</v>
      </c>
      <c r="AB11" s="66">
        <v>54137</v>
      </c>
      <c r="AC11" s="59">
        <v>67213</v>
      </c>
      <c r="AD11" s="59">
        <v>52858</v>
      </c>
      <c r="AE11" s="300">
        <v>71263</v>
      </c>
      <c r="AF11" s="300">
        <v>83845</v>
      </c>
      <c r="AG11" s="300">
        <v>140068</v>
      </c>
      <c r="AH11" s="414">
        <v>186248.86300000001</v>
      </c>
      <c r="AI11" s="412">
        <v>152650</v>
      </c>
      <c r="AJ11" s="797">
        <v>217747</v>
      </c>
      <c r="AK11" s="68">
        <v>316723</v>
      </c>
      <c r="AL11" s="861">
        <v>19167</v>
      </c>
      <c r="AM11" s="768">
        <v>37241</v>
      </c>
      <c r="AN11" s="768">
        <v>54291</v>
      </c>
      <c r="AO11" s="768">
        <v>71653</v>
      </c>
      <c r="AP11" s="926">
        <v>85061</v>
      </c>
      <c r="AQ11" s="59">
        <v>128301</v>
      </c>
      <c r="AR11" s="70">
        <v>149628</v>
      </c>
    </row>
    <row r="12" spans="1:44" s="15" customFormat="1" ht="25.5">
      <c r="A12" s="415" t="s">
        <v>212</v>
      </c>
      <c r="B12" s="416" t="s">
        <v>215</v>
      </c>
      <c r="C12" s="36" t="s">
        <v>1</v>
      </c>
      <c r="D12" s="36" t="s">
        <v>1</v>
      </c>
      <c r="E12" s="36">
        <v>88.4</v>
      </c>
      <c r="F12" s="36">
        <v>375.5</v>
      </c>
      <c r="G12" s="36">
        <v>281.5</v>
      </c>
      <c r="H12" s="36">
        <v>290.3</v>
      </c>
      <c r="I12" s="36">
        <v>219.3</v>
      </c>
      <c r="J12" s="36">
        <v>342.8</v>
      </c>
      <c r="K12" s="36">
        <v>420.08868808567604</v>
      </c>
      <c r="L12" s="36">
        <v>379.29360444663337</v>
      </c>
      <c r="M12" s="36">
        <v>782.08395802098948</v>
      </c>
      <c r="N12" s="36">
        <v>1000.750260960334</v>
      </c>
      <c r="O12" s="36">
        <v>1111.3852119267281</v>
      </c>
      <c r="P12" s="36">
        <v>2047.1184945604234</v>
      </c>
      <c r="Q12" s="36">
        <v>2514.7426249247442</v>
      </c>
      <c r="R12" s="36">
        <v>3310.5004361963674</v>
      </c>
      <c r="S12" s="36">
        <v>4020.8159934720525</v>
      </c>
      <c r="T12" s="36">
        <v>4032.1529509559437</v>
      </c>
      <c r="U12" s="36">
        <v>2594.4677966101694</v>
      </c>
      <c r="V12" s="36">
        <v>2703.8208347472005</v>
      </c>
      <c r="W12" s="36">
        <v>2833.303778474969</v>
      </c>
      <c r="X12" s="36">
        <v>3073.6150234741785</v>
      </c>
      <c r="Y12" s="36">
        <v>3168.1</v>
      </c>
      <c r="Z12" s="36">
        <v>2805.6</v>
      </c>
      <c r="AA12" s="417">
        <v>2405.8000000000002</v>
      </c>
      <c r="AB12" s="64">
        <v>1699.7</v>
      </c>
      <c r="AC12" s="276">
        <v>1976.7</v>
      </c>
      <c r="AD12" s="36">
        <v>2126.1999999999998</v>
      </c>
      <c r="AE12" s="250">
        <v>2143.6</v>
      </c>
      <c r="AF12" s="418">
        <v>2365.4</v>
      </c>
      <c r="AG12" s="34">
        <v>2787.6</v>
      </c>
      <c r="AH12" s="419">
        <v>3057.7</v>
      </c>
      <c r="AI12" s="312">
        <v>3951.7</v>
      </c>
      <c r="AJ12" s="782">
        <v>4409.3999999999996</v>
      </c>
      <c r="AK12" s="186">
        <v>4884.8</v>
      </c>
      <c r="AL12" s="860"/>
      <c r="AM12" s="811"/>
      <c r="AN12" s="811"/>
      <c r="AO12" s="811"/>
      <c r="AP12" s="916"/>
      <c r="AQ12" s="34"/>
      <c r="AR12" s="1078"/>
    </row>
    <row r="13" spans="1:44" s="15" customFormat="1">
      <c r="A13" s="336" t="s">
        <v>102</v>
      </c>
      <c r="B13" s="373" t="s">
        <v>74</v>
      </c>
      <c r="C13" s="36"/>
      <c r="D13" s="36"/>
      <c r="E13" s="36"/>
      <c r="F13" s="36"/>
      <c r="G13" s="36"/>
      <c r="H13" s="36"/>
      <c r="I13" s="36"/>
      <c r="J13" s="36"/>
      <c r="K13" s="36"/>
      <c r="L13" s="36"/>
      <c r="M13" s="36"/>
      <c r="N13" s="36"/>
      <c r="O13" s="36"/>
      <c r="P13" s="36"/>
      <c r="Q13" s="36"/>
      <c r="R13" s="36"/>
      <c r="S13" s="36"/>
      <c r="T13" s="36"/>
      <c r="U13" s="36"/>
      <c r="V13" s="36"/>
      <c r="W13" s="36"/>
      <c r="X13" s="36"/>
      <c r="Y13" s="36"/>
      <c r="Z13" s="36"/>
      <c r="AA13" s="37"/>
      <c r="AB13" s="34"/>
      <c r="AC13" s="34"/>
      <c r="AD13" s="382"/>
      <c r="AE13" s="34"/>
      <c r="AF13" s="51"/>
      <c r="AG13" s="332"/>
      <c r="AH13" s="283"/>
      <c r="AI13" s="242"/>
      <c r="AJ13" s="786"/>
      <c r="AK13" s="975"/>
      <c r="AL13" s="860"/>
      <c r="AM13" s="811"/>
      <c r="AN13" s="811"/>
      <c r="AO13" s="811"/>
      <c r="AP13" s="916"/>
      <c r="AQ13" s="34"/>
      <c r="AR13" s="1078"/>
    </row>
    <row r="14" spans="1:44" s="15" customFormat="1">
      <c r="A14" s="333" t="s">
        <v>108</v>
      </c>
      <c r="B14" s="283"/>
      <c r="C14" s="413" t="s">
        <v>4</v>
      </c>
      <c r="D14" s="413" t="s">
        <v>4</v>
      </c>
      <c r="E14" s="413" t="s">
        <v>4</v>
      </c>
      <c r="F14" s="413" t="s">
        <v>4</v>
      </c>
      <c r="G14" s="413" t="s">
        <v>4</v>
      </c>
      <c r="H14" s="413" t="s">
        <v>4</v>
      </c>
      <c r="I14" s="413" t="s">
        <v>4</v>
      </c>
      <c r="J14" s="413" t="s">
        <v>4</v>
      </c>
      <c r="K14" s="36">
        <v>176.7</v>
      </c>
      <c r="L14" s="36">
        <v>99.5</v>
      </c>
      <c r="M14" s="36">
        <v>194.5</v>
      </c>
      <c r="N14" s="36">
        <v>123.2</v>
      </c>
      <c r="O14" s="36">
        <v>103</v>
      </c>
      <c r="P14" s="36">
        <v>157.69999999999999</v>
      </c>
      <c r="Q14" s="36">
        <v>111.9</v>
      </c>
      <c r="R14" s="36">
        <v>120.1</v>
      </c>
      <c r="S14" s="36">
        <v>109.3</v>
      </c>
      <c r="T14" s="36">
        <v>90</v>
      </c>
      <c r="U14" s="36">
        <v>75.400000000000006</v>
      </c>
      <c r="V14" s="36">
        <v>100.4</v>
      </c>
      <c r="W14" s="36">
        <v>100.6</v>
      </c>
      <c r="X14" s="36">
        <v>106.3</v>
      </c>
      <c r="Y14" s="36">
        <v>102.5</v>
      </c>
      <c r="Z14" s="36">
        <v>94.8</v>
      </c>
      <c r="AA14" s="420">
        <v>102.4</v>
      </c>
      <c r="AB14" s="53">
        <v>104</v>
      </c>
      <c r="AC14" s="46">
        <v>104.8</v>
      </c>
      <c r="AD14" s="382">
        <v>110.9</v>
      </c>
      <c r="AE14" s="339">
        <v>108.3</v>
      </c>
      <c r="AF14" s="339">
        <v>117.9</v>
      </c>
      <c r="AG14" s="339">
        <v>115.1</v>
      </c>
      <c r="AH14" s="341">
        <v>112.5</v>
      </c>
      <c r="AI14" s="354">
        <v>125.2</v>
      </c>
      <c r="AJ14" s="765">
        <v>112.7</v>
      </c>
      <c r="AK14" s="36">
        <v>119</v>
      </c>
      <c r="AL14" s="863">
        <v>101.1</v>
      </c>
      <c r="AM14" s="782">
        <v>106.1</v>
      </c>
      <c r="AN14" s="782">
        <v>102.3</v>
      </c>
      <c r="AO14" s="782">
        <v>103.1</v>
      </c>
      <c r="AP14" s="927">
        <v>101.6</v>
      </c>
      <c r="AQ14" s="276">
        <v>104.6</v>
      </c>
      <c r="AR14" s="312">
        <v>104.6</v>
      </c>
    </row>
    <row r="15" spans="1:44" s="15" customFormat="1">
      <c r="A15" s="335" t="s">
        <v>109</v>
      </c>
      <c r="B15" s="283"/>
      <c r="C15" s="413" t="s">
        <v>4</v>
      </c>
      <c r="D15" s="413" t="s">
        <v>4</v>
      </c>
      <c r="E15" s="413" t="s">
        <v>4</v>
      </c>
      <c r="F15" s="413" t="s">
        <v>4</v>
      </c>
      <c r="G15" s="413" t="s">
        <v>4</v>
      </c>
      <c r="H15" s="413" t="s">
        <v>4</v>
      </c>
      <c r="I15" s="413" t="s">
        <v>4</v>
      </c>
      <c r="J15" s="413" t="s">
        <v>4</v>
      </c>
      <c r="K15" s="413" t="s">
        <v>4</v>
      </c>
      <c r="L15" s="58" t="s">
        <v>1</v>
      </c>
      <c r="M15" s="58" t="s">
        <v>1</v>
      </c>
      <c r="N15" s="36">
        <v>54.8</v>
      </c>
      <c r="O15" s="36">
        <v>108.2</v>
      </c>
      <c r="P15" s="36">
        <v>120.6</v>
      </c>
      <c r="Q15" s="36">
        <v>122.7</v>
      </c>
      <c r="R15" s="36">
        <v>78</v>
      </c>
      <c r="S15" s="36">
        <v>79</v>
      </c>
      <c r="T15" s="36">
        <v>114</v>
      </c>
      <c r="U15" s="36">
        <v>73.5</v>
      </c>
      <c r="V15" s="36">
        <v>153.19999999999999</v>
      </c>
      <c r="W15" s="36">
        <v>131.1</v>
      </c>
      <c r="X15" s="36">
        <v>88.1</v>
      </c>
      <c r="Y15" s="36">
        <v>71</v>
      </c>
      <c r="Z15" s="36">
        <v>97</v>
      </c>
      <c r="AA15" s="420">
        <v>73.400000000000006</v>
      </c>
      <c r="AB15" s="53">
        <v>110.8</v>
      </c>
      <c r="AC15" s="46">
        <v>132.19999999999999</v>
      </c>
      <c r="AD15" s="382">
        <v>100.3</v>
      </c>
      <c r="AE15" s="339">
        <v>132.30000000000001</v>
      </c>
      <c r="AF15" s="339">
        <v>90.9</v>
      </c>
      <c r="AG15" s="339">
        <v>131.19999999999999</v>
      </c>
      <c r="AH15" s="341">
        <v>87.8</v>
      </c>
      <c r="AI15" s="354">
        <v>235.4</v>
      </c>
      <c r="AJ15" s="765">
        <v>75.7</v>
      </c>
      <c r="AK15" s="36">
        <v>96.1</v>
      </c>
      <c r="AL15" s="863">
        <v>118.2</v>
      </c>
      <c r="AM15" s="782">
        <v>119.1</v>
      </c>
      <c r="AN15" s="782">
        <v>117.8</v>
      </c>
      <c r="AO15" s="782">
        <v>144.9</v>
      </c>
      <c r="AP15" s="927">
        <v>125</v>
      </c>
      <c r="AQ15" s="276">
        <v>141.19999999999999</v>
      </c>
      <c r="AR15" s="312">
        <v>133.5</v>
      </c>
    </row>
    <row r="16" spans="1:44" s="15" customFormat="1">
      <c r="A16" s="335" t="s">
        <v>135</v>
      </c>
      <c r="B16" s="283"/>
      <c r="C16" s="413" t="s">
        <v>1</v>
      </c>
      <c r="D16" s="413" t="s">
        <v>1</v>
      </c>
      <c r="E16" s="413" t="s">
        <v>1</v>
      </c>
      <c r="F16" s="413" t="s">
        <v>1</v>
      </c>
      <c r="G16" s="413" t="s">
        <v>1</v>
      </c>
      <c r="H16" s="413" t="s">
        <v>1</v>
      </c>
      <c r="I16" s="413" t="s">
        <v>1</v>
      </c>
      <c r="J16" s="413" t="s">
        <v>1</v>
      </c>
      <c r="K16" s="413" t="s">
        <v>1</v>
      </c>
      <c r="L16" s="58" t="s">
        <v>1</v>
      </c>
      <c r="M16" s="58" t="s">
        <v>1</v>
      </c>
      <c r="N16" s="36" t="s">
        <v>1</v>
      </c>
      <c r="O16" s="36" t="s">
        <v>1</v>
      </c>
      <c r="P16" s="36" t="s">
        <v>1</v>
      </c>
      <c r="Q16" s="36" t="s">
        <v>1</v>
      </c>
      <c r="R16" s="36" t="s">
        <v>1</v>
      </c>
      <c r="S16" s="36" t="s">
        <v>1</v>
      </c>
      <c r="T16" s="36" t="s">
        <v>1</v>
      </c>
      <c r="U16" s="36">
        <v>461.3</v>
      </c>
      <c r="V16" s="36">
        <v>178.5</v>
      </c>
      <c r="W16" s="36">
        <v>118.6</v>
      </c>
      <c r="X16" s="36">
        <v>126.7</v>
      </c>
      <c r="Y16" s="36">
        <v>108.7</v>
      </c>
      <c r="Z16" s="36">
        <v>180.6</v>
      </c>
      <c r="AA16" s="420">
        <v>136.19999999999999</v>
      </c>
      <c r="AB16" s="53">
        <v>65.8</v>
      </c>
      <c r="AC16" s="46">
        <v>94.7</v>
      </c>
      <c r="AD16" s="382">
        <v>129</v>
      </c>
      <c r="AE16" s="339">
        <v>114.8</v>
      </c>
      <c r="AF16" s="339">
        <v>133.69999999999999</v>
      </c>
      <c r="AG16" s="339">
        <v>81.7</v>
      </c>
      <c r="AH16" s="341">
        <v>97</v>
      </c>
      <c r="AI16" s="354">
        <v>143.19999999999999</v>
      </c>
      <c r="AJ16" s="765">
        <v>195.9</v>
      </c>
      <c r="AK16" s="36">
        <v>145.1</v>
      </c>
      <c r="AL16" s="863">
        <v>284.10000000000002</v>
      </c>
      <c r="AM16" s="782">
        <v>158.80000000000001</v>
      </c>
      <c r="AN16" s="782">
        <v>160.1</v>
      </c>
      <c r="AO16" s="782">
        <v>154.6</v>
      </c>
      <c r="AP16" s="927">
        <v>170.9</v>
      </c>
      <c r="AQ16" s="276">
        <v>134.5</v>
      </c>
      <c r="AR16" s="312">
        <v>134.1</v>
      </c>
    </row>
    <row r="17" spans="1:44" s="15" customFormat="1">
      <c r="A17" s="335" t="s">
        <v>110</v>
      </c>
      <c r="B17" s="283"/>
      <c r="C17" s="413" t="s">
        <v>4</v>
      </c>
      <c r="D17" s="413" t="s">
        <v>4</v>
      </c>
      <c r="E17" s="413" t="s">
        <v>4</v>
      </c>
      <c r="F17" s="413" t="s">
        <v>4</v>
      </c>
      <c r="G17" s="413" t="s">
        <v>4</v>
      </c>
      <c r="H17" s="413" t="s">
        <v>4</v>
      </c>
      <c r="I17" s="413" t="s">
        <v>4</v>
      </c>
      <c r="J17" s="413" t="s">
        <v>4</v>
      </c>
      <c r="K17" s="413" t="s">
        <v>4</v>
      </c>
      <c r="L17" s="58" t="s">
        <v>1</v>
      </c>
      <c r="M17" s="58" t="s">
        <v>1</v>
      </c>
      <c r="N17" s="36">
        <v>201.2</v>
      </c>
      <c r="O17" s="36">
        <v>102.2</v>
      </c>
      <c r="P17" s="36">
        <v>116.9</v>
      </c>
      <c r="Q17" s="36">
        <v>181.5</v>
      </c>
      <c r="R17" s="36">
        <v>145.9</v>
      </c>
      <c r="S17" s="36">
        <v>106.6</v>
      </c>
      <c r="T17" s="36">
        <v>106.9</v>
      </c>
      <c r="U17" s="36">
        <v>88.8</v>
      </c>
      <c r="V17" s="36">
        <v>115.5</v>
      </c>
      <c r="W17" s="36">
        <v>94.2</v>
      </c>
      <c r="X17" s="36">
        <v>97.4</v>
      </c>
      <c r="Y17" s="36">
        <v>112.4</v>
      </c>
      <c r="Z17" s="36">
        <v>93.1</v>
      </c>
      <c r="AA17" s="420">
        <v>88.1</v>
      </c>
      <c r="AB17" s="53">
        <v>109.2</v>
      </c>
      <c r="AC17" s="46">
        <v>108.3</v>
      </c>
      <c r="AD17" s="382">
        <v>103.6</v>
      </c>
      <c r="AE17" s="339">
        <v>81.599999999999994</v>
      </c>
      <c r="AF17" s="339">
        <v>112.4</v>
      </c>
      <c r="AG17" s="339">
        <v>129.5</v>
      </c>
      <c r="AH17" s="341">
        <v>110.8</v>
      </c>
      <c r="AI17" s="354">
        <v>96.3</v>
      </c>
      <c r="AJ17" s="765">
        <v>134.4</v>
      </c>
      <c r="AK17" s="36">
        <v>111.8</v>
      </c>
      <c r="AL17" s="863">
        <v>19.899999999999999</v>
      </c>
      <c r="AM17" s="782">
        <v>26.9</v>
      </c>
      <c r="AN17" s="782">
        <v>48.2</v>
      </c>
      <c r="AO17" s="782">
        <v>64</v>
      </c>
      <c r="AP17" s="927">
        <v>74.8</v>
      </c>
      <c r="AQ17" s="276">
        <v>75.7</v>
      </c>
      <c r="AR17" s="312">
        <v>75.400000000000006</v>
      </c>
    </row>
    <row r="18" spans="1:44" s="15" customFormat="1">
      <c r="A18" s="335" t="s">
        <v>111</v>
      </c>
      <c r="B18" s="283"/>
      <c r="C18" s="413" t="s">
        <v>4</v>
      </c>
      <c r="D18" s="413" t="s">
        <v>4</v>
      </c>
      <c r="E18" s="413" t="s">
        <v>4</v>
      </c>
      <c r="F18" s="413" t="s">
        <v>4</v>
      </c>
      <c r="G18" s="413" t="s">
        <v>4</v>
      </c>
      <c r="H18" s="413" t="s">
        <v>4</v>
      </c>
      <c r="I18" s="413" t="s">
        <v>4</v>
      </c>
      <c r="J18" s="413" t="s">
        <v>4</v>
      </c>
      <c r="K18" s="413" t="s">
        <v>4</v>
      </c>
      <c r="L18" s="58" t="s">
        <v>1</v>
      </c>
      <c r="M18" s="58" t="s">
        <v>1</v>
      </c>
      <c r="N18" s="36">
        <v>182.3</v>
      </c>
      <c r="O18" s="36">
        <v>108.5</v>
      </c>
      <c r="P18" s="36">
        <v>264.8</v>
      </c>
      <c r="Q18" s="36">
        <v>83.1</v>
      </c>
      <c r="R18" s="36">
        <v>150.4</v>
      </c>
      <c r="S18" s="36">
        <v>123</v>
      </c>
      <c r="T18" s="36">
        <v>101</v>
      </c>
      <c r="U18" s="36">
        <v>76.2</v>
      </c>
      <c r="V18" s="36">
        <v>71.099999999999994</v>
      </c>
      <c r="W18" s="36">
        <v>91.6</v>
      </c>
      <c r="X18" s="36">
        <v>95.4</v>
      </c>
      <c r="Y18" s="36">
        <v>99.9</v>
      </c>
      <c r="Z18" s="36">
        <v>98.3</v>
      </c>
      <c r="AA18" s="420">
        <v>110.6</v>
      </c>
      <c r="AB18" s="53">
        <v>97.5</v>
      </c>
      <c r="AC18" s="46">
        <v>105.9</v>
      </c>
      <c r="AD18" s="382">
        <v>108.1</v>
      </c>
      <c r="AE18" s="339">
        <v>109.8</v>
      </c>
      <c r="AF18" s="339">
        <v>107.8</v>
      </c>
      <c r="AG18" s="339">
        <v>120</v>
      </c>
      <c r="AH18" s="341">
        <v>121.6</v>
      </c>
      <c r="AI18" s="354">
        <v>102.5</v>
      </c>
      <c r="AJ18" s="765">
        <v>110.2</v>
      </c>
      <c r="AK18" s="36">
        <v>107.2</v>
      </c>
      <c r="AL18" s="863">
        <v>51.5</v>
      </c>
      <c r="AM18" s="782">
        <v>51.5</v>
      </c>
      <c r="AN18" s="782">
        <v>48</v>
      </c>
      <c r="AO18" s="782">
        <v>76.900000000000006</v>
      </c>
      <c r="AP18" s="927">
        <v>74.3</v>
      </c>
      <c r="AQ18" s="276">
        <v>80.400000000000006</v>
      </c>
      <c r="AR18" s="312">
        <v>87.4</v>
      </c>
    </row>
    <row r="19" spans="1:44" s="15" customFormat="1">
      <c r="A19" s="335" t="s">
        <v>388</v>
      </c>
      <c r="B19" s="283"/>
      <c r="C19" s="413" t="s">
        <v>4</v>
      </c>
      <c r="D19" s="413" t="s">
        <v>4</v>
      </c>
      <c r="E19" s="413" t="s">
        <v>4</v>
      </c>
      <c r="F19" s="413" t="s">
        <v>4</v>
      </c>
      <c r="G19" s="413" t="s">
        <v>4</v>
      </c>
      <c r="H19" s="413" t="s">
        <v>4</v>
      </c>
      <c r="I19" s="413" t="s">
        <v>4</v>
      </c>
      <c r="J19" s="413" t="s">
        <v>4</v>
      </c>
      <c r="K19" s="413" t="s">
        <v>4</v>
      </c>
      <c r="L19" s="58" t="s">
        <v>1</v>
      </c>
      <c r="M19" s="58" t="s">
        <v>1</v>
      </c>
      <c r="N19" s="36">
        <v>131.9</v>
      </c>
      <c r="O19" s="36">
        <v>109.8</v>
      </c>
      <c r="P19" s="36">
        <v>156.6</v>
      </c>
      <c r="Q19" s="36">
        <v>135.9</v>
      </c>
      <c r="R19" s="36">
        <v>120.1</v>
      </c>
      <c r="S19" s="36">
        <v>78.400000000000006</v>
      </c>
      <c r="T19" s="36">
        <v>83.2</v>
      </c>
      <c r="U19" s="36">
        <v>70.599999999999994</v>
      </c>
      <c r="V19" s="36">
        <v>86.8</v>
      </c>
      <c r="W19" s="36">
        <v>94.5</v>
      </c>
      <c r="X19" s="36">
        <v>131.1</v>
      </c>
      <c r="Y19" s="36">
        <v>77.7</v>
      </c>
      <c r="Z19" s="36">
        <v>93.6</v>
      </c>
      <c r="AA19" s="420">
        <v>122.1</v>
      </c>
      <c r="AB19" s="53">
        <v>136</v>
      </c>
      <c r="AC19" s="46">
        <v>80.5</v>
      </c>
      <c r="AD19" s="382">
        <v>106.9</v>
      </c>
      <c r="AE19" s="339">
        <v>76.900000000000006</v>
      </c>
      <c r="AF19" s="339">
        <v>125</v>
      </c>
      <c r="AG19" s="339">
        <v>142.69999999999999</v>
      </c>
      <c r="AH19" s="341">
        <v>96.5</v>
      </c>
      <c r="AI19" s="354">
        <v>135.6</v>
      </c>
      <c r="AJ19" s="765">
        <v>117.5</v>
      </c>
      <c r="AK19" s="36">
        <v>145</v>
      </c>
      <c r="AL19" s="863">
        <v>140.69999999999999</v>
      </c>
      <c r="AM19" s="782">
        <v>132</v>
      </c>
      <c r="AN19" s="782">
        <v>109.7</v>
      </c>
      <c r="AO19" s="782">
        <v>58.7</v>
      </c>
      <c r="AP19" s="927">
        <v>63.2</v>
      </c>
      <c r="AQ19" s="276">
        <v>73.599999999999994</v>
      </c>
      <c r="AR19" s="312">
        <v>79.900000000000006</v>
      </c>
    </row>
    <row r="20" spans="1:44" s="15" customFormat="1">
      <c r="A20" s="335" t="s">
        <v>136</v>
      </c>
      <c r="B20" s="283"/>
      <c r="C20" s="413" t="s">
        <v>4</v>
      </c>
      <c r="D20" s="413" t="s">
        <v>4</v>
      </c>
      <c r="E20" s="413" t="s">
        <v>4</v>
      </c>
      <c r="F20" s="413" t="s">
        <v>4</v>
      </c>
      <c r="G20" s="413" t="s">
        <v>4</v>
      </c>
      <c r="H20" s="413" t="s">
        <v>4</v>
      </c>
      <c r="I20" s="413" t="s">
        <v>4</v>
      </c>
      <c r="J20" s="413" t="s">
        <v>4</v>
      </c>
      <c r="K20" s="413" t="s">
        <v>4</v>
      </c>
      <c r="L20" s="58" t="s">
        <v>1</v>
      </c>
      <c r="M20" s="58" t="s">
        <v>1</v>
      </c>
      <c r="N20" s="36">
        <v>350.1</v>
      </c>
      <c r="O20" s="36">
        <v>94</v>
      </c>
      <c r="P20" s="36">
        <v>118.3</v>
      </c>
      <c r="Q20" s="36">
        <v>136.9</v>
      </c>
      <c r="R20" s="36">
        <v>116.8</v>
      </c>
      <c r="S20" s="36">
        <v>123.9</v>
      </c>
      <c r="T20" s="36">
        <v>62.6</v>
      </c>
      <c r="U20" s="36">
        <v>63.9</v>
      </c>
      <c r="V20" s="36">
        <v>117.2</v>
      </c>
      <c r="W20" s="36">
        <v>82.7</v>
      </c>
      <c r="X20" s="36">
        <v>122.2</v>
      </c>
      <c r="Y20" s="36">
        <v>109.8</v>
      </c>
      <c r="Z20" s="36">
        <v>86.4</v>
      </c>
      <c r="AA20" s="420">
        <v>108.3</v>
      </c>
      <c r="AB20" s="53">
        <v>107.6</v>
      </c>
      <c r="AC20" s="46">
        <v>92.1</v>
      </c>
      <c r="AD20" s="382">
        <v>135.80000000000001</v>
      </c>
      <c r="AE20" s="339">
        <v>101.2</v>
      </c>
      <c r="AF20" s="339">
        <v>95.9</v>
      </c>
      <c r="AG20" s="339">
        <v>107.9</v>
      </c>
      <c r="AH20" s="341">
        <v>135.30000000000001</v>
      </c>
      <c r="AI20" s="354">
        <v>137.69999999999999</v>
      </c>
      <c r="AJ20" s="765">
        <v>91.2</v>
      </c>
      <c r="AK20" s="36">
        <v>102.5</v>
      </c>
      <c r="AL20" s="863">
        <v>40.9</v>
      </c>
      <c r="AM20" s="782">
        <v>130.30000000000001</v>
      </c>
      <c r="AN20" s="782">
        <v>110.3</v>
      </c>
      <c r="AO20" s="782">
        <v>107.6</v>
      </c>
      <c r="AP20" s="927">
        <v>113.8</v>
      </c>
      <c r="AQ20" s="276">
        <v>137.5</v>
      </c>
      <c r="AR20" s="312">
        <v>121.9</v>
      </c>
    </row>
    <row r="21" spans="1:44" s="15" customFormat="1">
      <c r="A21" s="335" t="s">
        <v>112</v>
      </c>
      <c r="B21" s="283"/>
      <c r="C21" s="413" t="s">
        <v>1</v>
      </c>
      <c r="D21" s="413" t="s">
        <v>1</v>
      </c>
      <c r="E21" s="413" t="s">
        <v>1</v>
      </c>
      <c r="F21" s="413" t="s">
        <v>1</v>
      </c>
      <c r="G21" s="413" t="s">
        <v>1</v>
      </c>
      <c r="H21" s="413" t="s">
        <v>1</v>
      </c>
      <c r="I21" s="413" t="s">
        <v>1</v>
      </c>
      <c r="J21" s="413" t="s">
        <v>1</v>
      </c>
      <c r="K21" s="413" t="s">
        <v>1</v>
      </c>
      <c r="L21" s="58" t="s">
        <v>1</v>
      </c>
      <c r="M21" s="58" t="s">
        <v>1</v>
      </c>
      <c r="N21" s="36" t="s">
        <v>1</v>
      </c>
      <c r="O21" s="36" t="s">
        <v>1</v>
      </c>
      <c r="P21" s="36" t="s">
        <v>1</v>
      </c>
      <c r="Q21" s="36" t="s">
        <v>1</v>
      </c>
      <c r="R21" s="36" t="s">
        <v>1</v>
      </c>
      <c r="S21" s="36" t="s">
        <v>1</v>
      </c>
      <c r="T21" s="36" t="s">
        <v>1</v>
      </c>
      <c r="U21" s="36" t="s">
        <v>1</v>
      </c>
      <c r="V21" s="36" t="s">
        <v>1</v>
      </c>
      <c r="W21" s="36" t="s">
        <v>1</v>
      </c>
      <c r="X21" s="36" t="s">
        <v>1</v>
      </c>
      <c r="Y21" s="36" t="s">
        <v>1</v>
      </c>
      <c r="Z21" s="36">
        <v>92.9</v>
      </c>
      <c r="AA21" s="420">
        <v>46.9</v>
      </c>
      <c r="AB21" s="53">
        <v>288.2</v>
      </c>
      <c r="AC21" s="46">
        <v>134</v>
      </c>
      <c r="AD21" s="382">
        <v>116.3</v>
      </c>
      <c r="AE21" s="339">
        <v>114.5</v>
      </c>
      <c r="AF21" s="339">
        <v>294.8</v>
      </c>
      <c r="AG21" s="339">
        <v>93.9</v>
      </c>
      <c r="AH21" s="341">
        <v>100.1</v>
      </c>
      <c r="AI21" s="354">
        <v>102.3</v>
      </c>
      <c r="AJ21" s="765">
        <v>111.9</v>
      </c>
      <c r="AK21" s="36">
        <v>121.3</v>
      </c>
      <c r="AL21" s="863">
        <v>112.6</v>
      </c>
      <c r="AM21" s="782">
        <v>95.1</v>
      </c>
      <c r="AN21" s="782">
        <v>94.9</v>
      </c>
      <c r="AO21" s="782">
        <v>76.5</v>
      </c>
      <c r="AP21" s="927">
        <v>71</v>
      </c>
      <c r="AQ21" s="276">
        <v>74</v>
      </c>
      <c r="AR21" s="312">
        <v>82.5</v>
      </c>
    </row>
    <row r="22" spans="1:44" s="15" customFormat="1">
      <c r="A22" s="335" t="s">
        <v>113</v>
      </c>
      <c r="B22" s="283"/>
      <c r="C22" s="413" t="s">
        <v>4</v>
      </c>
      <c r="D22" s="413" t="s">
        <v>4</v>
      </c>
      <c r="E22" s="413" t="s">
        <v>4</v>
      </c>
      <c r="F22" s="413" t="s">
        <v>4</v>
      </c>
      <c r="G22" s="413" t="s">
        <v>4</v>
      </c>
      <c r="H22" s="413" t="s">
        <v>4</v>
      </c>
      <c r="I22" s="413" t="s">
        <v>4</v>
      </c>
      <c r="J22" s="413" t="s">
        <v>4</v>
      </c>
      <c r="K22" s="413" t="s">
        <v>4</v>
      </c>
      <c r="L22" s="58" t="s">
        <v>1</v>
      </c>
      <c r="M22" s="58" t="s">
        <v>1</v>
      </c>
      <c r="N22" s="36">
        <v>129.4</v>
      </c>
      <c r="O22" s="36">
        <v>105.2</v>
      </c>
      <c r="P22" s="36">
        <v>195.4</v>
      </c>
      <c r="Q22" s="36">
        <v>68.3</v>
      </c>
      <c r="R22" s="36">
        <v>137.69999999999999</v>
      </c>
      <c r="S22" s="36">
        <v>103.6</v>
      </c>
      <c r="T22" s="36">
        <v>110.5</v>
      </c>
      <c r="U22" s="36">
        <v>73.599999999999994</v>
      </c>
      <c r="V22" s="36">
        <v>92.7</v>
      </c>
      <c r="W22" s="36">
        <v>118.1</v>
      </c>
      <c r="X22" s="36">
        <v>158.4</v>
      </c>
      <c r="Y22" s="36">
        <v>170.4</v>
      </c>
      <c r="Z22" s="36">
        <v>57.1</v>
      </c>
      <c r="AA22" s="420">
        <v>83.4</v>
      </c>
      <c r="AB22" s="53">
        <v>137.6</v>
      </c>
      <c r="AC22" s="46">
        <v>117.4</v>
      </c>
      <c r="AD22" s="382">
        <v>77.599999999999994</v>
      </c>
      <c r="AE22" s="339">
        <v>129.80000000000001</v>
      </c>
      <c r="AF22" s="339">
        <v>115.8</v>
      </c>
      <c r="AG22" s="339">
        <v>158.19999999999999</v>
      </c>
      <c r="AH22" s="341">
        <v>126</v>
      </c>
      <c r="AI22" s="354">
        <v>79</v>
      </c>
      <c r="AJ22" s="765">
        <v>140.4</v>
      </c>
      <c r="AK22" s="36">
        <v>140.4</v>
      </c>
      <c r="AL22" s="863">
        <v>104.1</v>
      </c>
      <c r="AM22" s="782">
        <v>137.9</v>
      </c>
      <c r="AN22" s="782">
        <v>146.5</v>
      </c>
      <c r="AO22" s="782">
        <v>125.5</v>
      </c>
      <c r="AP22" s="927">
        <v>111.5</v>
      </c>
      <c r="AQ22" s="276">
        <v>100.4</v>
      </c>
      <c r="AR22" s="312">
        <v>96.4</v>
      </c>
    </row>
    <row r="23" spans="1:44" s="15" customFormat="1">
      <c r="A23" s="421" t="s">
        <v>213</v>
      </c>
      <c r="B23" s="373" t="s">
        <v>74</v>
      </c>
      <c r="C23" s="413" t="s">
        <v>4</v>
      </c>
      <c r="D23" s="413" t="s">
        <v>4</v>
      </c>
      <c r="E23" s="413" t="s">
        <v>4</v>
      </c>
      <c r="F23" s="413" t="s">
        <v>4</v>
      </c>
      <c r="G23" s="413" t="s">
        <v>4</v>
      </c>
      <c r="H23" s="413" t="s">
        <v>4</v>
      </c>
      <c r="I23" s="413" t="s">
        <v>4</v>
      </c>
      <c r="J23" s="413" t="s">
        <v>4</v>
      </c>
      <c r="K23" s="413" t="s">
        <v>4</v>
      </c>
      <c r="L23" s="36">
        <v>99.5</v>
      </c>
      <c r="M23" s="36">
        <v>193.5</v>
      </c>
      <c r="N23" s="36">
        <v>238.4</v>
      </c>
      <c r="O23" s="36">
        <v>245.6</v>
      </c>
      <c r="P23" s="36">
        <v>387.3</v>
      </c>
      <c r="Q23" s="36">
        <v>433.4</v>
      </c>
      <c r="R23" s="36">
        <v>520.5</v>
      </c>
      <c r="S23" s="36">
        <v>568.9</v>
      </c>
      <c r="T23" s="36">
        <v>512</v>
      </c>
      <c r="U23" s="36">
        <v>386</v>
      </c>
      <c r="V23" s="36">
        <v>387.5</v>
      </c>
      <c r="W23" s="36">
        <v>389.8</v>
      </c>
      <c r="X23" s="36">
        <v>414.4</v>
      </c>
      <c r="Y23" s="36">
        <v>424.8</v>
      </c>
      <c r="Z23" s="36">
        <v>402.7</v>
      </c>
      <c r="AA23" s="37">
        <v>412.4</v>
      </c>
      <c r="AB23" s="34">
        <v>428.9</v>
      </c>
      <c r="AC23" s="34">
        <v>449.5</v>
      </c>
      <c r="AD23" s="382">
        <v>498.5</v>
      </c>
      <c r="AE23" s="345">
        <v>539.9</v>
      </c>
      <c r="AF23" s="347">
        <v>636.5</v>
      </c>
      <c r="AG23" s="347">
        <v>732.6</v>
      </c>
      <c r="AH23" s="283">
        <v>824.2</v>
      </c>
      <c r="AI23" s="18">
        <v>1031.9000000000001</v>
      </c>
      <c r="AJ23" s="811">
        <v>1162.9000000000001</v>
      </c>
      <c r="AK23" s="186">
        <v>1383.9</v>
      </c>
      <c r="AL23" s="860"/>
      <c r="AM23" s="811"/>
      <c r="AN23" s="811"/>
      <c r="AO23" s="811"/>
      <c r="AP23" s="916"/>
      <c r="AQ23" s="34"/>
      <c r="AR23" s="1078"/>
    </row>
    <row r="24" spans="1:44">
      <c r="AQ24" s="15"/>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R85"/>
  <sheetViews>
    <sheetView workbookViewId="0">
      <pane xSplit="1" topLeftCell="AG1" activePane="topRight" state="frozen"/>
      <selection pane="topRight" activeCell="AR4" sqref="AR4:AR22"/>
    </sheetView>
  </sheetViews>
  <sheetFormatPr defaultRowHeight="12.75"/>
  <cols>
    <col min="1" max="1" width="38.5703125" bestFit="1" customWidth="1"/>
    <col min="2" max="2" width="12.42578125" bestFit="1" customWidth="1"/>
    <col min="3" max="10" width="5" bestFit="1" customWidth="1"/>
    <col min="11" max="25" width="6.42578125" bestFit="1" customWidth="1"/>
    <col min="26" max="29" width="7.42578125" bestFit="1" customWidth="1"/>
    <col min="30" max="30" width="8.28515625" bestFit="1" customWidth="1"/>
    <col min="31" max="34" width="7.42578125" bestFit="1" customWidth="1"/>
    <col min="35" max="36" width="8.28515625" bestFit="1" customWidth="1"/>
    <col min="37" max="37" width="8.85546875" customWidth="1"/>
    <col min="38" max="44" width="10.5703125" customWidth="1"/>
  </cols>
  <sheetData>
    <row r="1" spans="1:44" s="15" customFormat="1" ht="25.5">
      <c r="A1" s="422" t="s">
        <v>132</v>
      </c>
      <c r="B1" s="407" t="s">
        <v>246</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267">
        <v>2020</v>
      </c>
      <c r="AG1" s="271">
        <v>2021</v>
      </c>
      <c r="AH1" s="271">
        <v>2022</v>
      </c>
      <c r="AI1" s="271">
        <v>2023</v>
      </c>
      <c r="AJ1" s="409">
        <v>2024</v>
      </c>
      <c r="AK1" s="892">
        <v>2025</v>
      </c>
      <c r="AL1" s="893">
        <v>46054</v>
      </c>
      <c r="AM1" s="893">
        <v>46082</v>
      </c>
      <c r="AN1" s="893">
        <v>46113</v>
      </c>
      <c r="AO1" s="893">
        <v>46143</v>
      </c>
      <c r="AP1" s="893">
        <v>46174</v>
      </c>
      <c r="AQ1" s="893">
        <v>46204</v>
      </c>
      <c r="AR1" s="893">
        <v>46235</v>
      </c>
    </row>
    <row r="2" spans="1:44" s="15" customFormat="1">
      <c r="A2" s="423" t="s">
        <v>133</v>
      </c>
      <c r="B2" s="273" t="s">
        <v>185</v>
      </c>
      <c r="C2" s="36"/>
      <c r="D2" s="36"/>
      <c r="E2" s="36"/>
      <c r="F2" s="36"/>
      <c r="G2" s="36"/>
      <c r="H2" s="36"/>
      <c r="I2" s="36"/>
      <c r="J2" s="36"/>
      <c r="K2" s="36"/>
      <c r="L2" s="36"/>
      <c r="M2" s="36"/>
      <c r="N2" s="36"/>
      <c r="O2" s="36"/>
      <c r="P2" s="36"/>
      <c r="Q2" s="36"/>
      <c r="R2" s="36"/>
      <c r="S2" s="36"/>
      <c r="T2" s="36"/>
      <c r="U2" s="36"/>
      <c r="V2" s="36"/>
      <c r="W2" s="36"/>
      <c r="X2" s="36"/>
      <c r="Y2" s="36"/>
      <c r="Z2" s="36"/>
      <c r="AA2" s="36"/>
      <c r="AB2" s="34"/>
      <c r="AC2" s="34"/>
      <c r="AD2" s="241"/>
      <c r="AE2" s="34"/>
      <c r="AF2" s="34"/>
      <c r="AG2" s="4"/>
      <c r="AH2" s="242"/>
      <c r="AI2" s="4"/>
    </row>
    <row r="3" spans="1:44" s="15" customFormat="1">
      <c r="A3" s="423" t="s">
        <v>134</v>
      </c>
      <c r="B3" s="283"/>
      <c r="C3" s="36"/>
      <c r="D3" s="36"/>
      <c r="E3" s="36"/>
      <c r="F3" s="36"/>
      <c r="G3" s="36"/>
      <c r="H3" s="36"/>
      <c r="I3" s="36"/>
      <c r="J3" s="36"/>
      <c r="K3" s="36"/>
      <c r="L3" s="36"/>
      <c r="M3" s="36"/>
      <c r="N3" s="36"/>
      <c r="O3" s="36"/>
      <c r="P3" s="36"/>
      <c r="Q3" s="36"/>
      <c r="R3" s="36"/>
      <c r="S3" s="36"/>
      <c r="T3" s="36"/>
      <c r="U3" s="36"/>
      <c r="V3" s="36"/>
      <c r="W3" s="36"/>
      <c r="X3" s="36"/>
      <c r="Y3" s="36"/>
      <c r="Z3" s="36"/>
      <c r="AA3" s="36"/>
      <c r="AB3" s="34"/>
      <c r="AC3" s="34"/>
      <c r="AD3" s="241"/>
      <c r="AE3" s="34"/>
      <c r="AF3" s="34"/>
      <c r="AG3" s="379"/>
      <c r="AH3" s="242"/>
      <c r="AI3" s="379"/>
      <c r="AJ3" s="302"/>
      <c r="AK3" s="894"/>
      <c r="AL3" s="894"/>
      <c r="AM3" s="894"/>
      <c r="AN3" s="894"/>
      <c r="AO3" s="894"/>
      <c r="AP3" s="894"/>
      <c r="AQ3" s="894"/>
      <c r="AR3" s="894"/>
    </row>
    <row r="4" spans="1:44" s="15" customFormat="1">
      <c r="A4" s="423" t="s">
        <v>108</v>
      </c>
      <c r="B4" s="283"/>
      <c r="C4" s="36" t="s">
        <v>1</v>
      </c>
      <c r="D4" s="36" t="s">
        <v>1</v>
      </c>
      <c r="E4" s="36" t="s">
        <v>1</v>
      </c>
      <c r="F4" s="36" t="s">
        <v>1</v>
      </c>
      <c r="G4" s="36" t="s">
        <v>1</v>
      </c>
      <c r="H4" s="36" t="s">
        <v>1</v>
      </c>
      <c r="I4" s="36" t="s">
        <v>1</v>
      </c>
      <c r="J4" s="36" t="s">
        <v>1</v>
      </c>
      <c r="K4" s="58">
        <v>30250</v>
      </c>
      <c r="L4" s="58">
        <v>36379</v>
      </c>
      <c r="M4" s="58">
        <v>43320</v>
      </c>
      <c r="N4" s="58">
        <v>49952</v>
      </c>
      <c r="O4" s="58">
        <v>56524</v>
      </c>
      <c r="P4" s="58">
        <v>63361</v>
      </c>
      <c r="Q4" s="58">
        <v>69225</v>
      </c>
      <c r="R4" s="58">
        <v>76007</v>
      </c>
      <c r="S4" s="58">
        <v>82268</v>
      </c>
      <c r="T4" s="58">
        <v>86773</v>
      </c>
      <c r="U4" s="58">
        <v>90889</v>
      </c>
      <c r="V4" s="58">
        <v>81269</v>
      </c>
      <c r="W4" s="58" t="s">
        <v>6</v>
      </c>
      <c r="X4" s="58">
        <v>89903</v>
      </c>
      <c r="Y4" s="58">
        <v>96293</v>
      </c>
      <c r="Z4" s="58">
        <v>104264</v>
      </c>
      <c r="AA4" s="58">
        <v>103936</v>
      </c>
      <c r="AB4" s="58">
        <v>110629</v>
      </c>
      <c r="AC4" s="66">
        <v>118446</v>
      </c>
      <c r="AD4" s="424">
        <v>123796</v>
      </c>
      <c r="AE4" s="66">
        <v>125554</v>
      </c>
      <c r="AF4" s="66">
        <v>129297</v>
      </c>
      <c r="AG4" s="7">
        <v>133552</v>
      </c>
      <c r="AH4" s="425">
        <v>140424</v>
      </c>
      <c r="AI4" s="301">
        <v>148244</v>
      </c>
      <c r="AJ4" s="302">
        <v>151787</v>
      </c>
      <c r="AK4" s="804">
        <v>158032</v>
      </c>
      <c r="AL4" s="804">
        <v>158604</v>
      </c>
      <c r="AM4" s="804">
        <v>159151</v>
      </c>
      <c r="AN4" s="804">
        <v>160026</v>
      </c>
      <c r="AO4" s="804">
        <v>161362</v>
      </c>
      <c r="AP4" s="928">
        <v>162554</v>
      </c>
      <c r="AQ4" s="928">
        <v>164377</v>
      </c>
      <c r="AR4" s="804">
        <v>166022</v>
      </c>
    </row>
    <row r="5" spans="1:44" s="15" customFormat="1">
      <c r="A5" s="426" t="s">
        <v>109</v>
      </c>
      <c r="B5" s="283"/>
      <c r="C5" s="36" t="s">
        <v>1</v>
      </c>
      <c r="D5" s="36" t="s">
        <v>1</v>
      </c>
      <c r="E5" s="36" t="s">
        <v>1</v>
      </c>
      <c r="F5" s="36" t="s">
        <v>1</v>
      </c>
      <c r="G5" s="36" t="s">
        <v>1</v>
      </c>
      <c r="H5" s="36" t="s">
        <v>1</v>
      </c>
      <c r="I5" s="36" t="s">
        <v>1</v>
      </c>
      <c r="J5" s="36" t="s">
        <v>1</v>
      </c>
      <c r="K5" s="58" t="s">
        <v>1</v>
      </c>
      <c r="L5" s="58" t="s">
        <v>1</v>
      </c>
      <c r="M5" s="58" t="s">
        <v>1</v>
      </c>
      <c r="N5" s="58" t="s">
        <v>1</v>
      </c>
      <c r="O5" s="58" t="s">
        <v>1</v>
      </c>
      <c r="P5" s="58" t="s">
        <v>1</v>
      </c>
      <c r="Q5" s="58" t="s">
        <v>1</v>
      </c>
      <c r="R5" s="58" t="s">
        <v>1</v>
      </c>
      <c r="S5" s="58" t="s">
        <v>1</v>
      </c>
      <c r="T5" s="58" t="s">
        <v>1</v>
      </c>
      <c r="U5" s="58" t="s">
        <v>1</v>
      </c>
      <c r="V5" s="58">
        <v>20942</v>
      </c>
      <c r="W5" s="58">
        <v>22212</v>
      </c>
      <c r="X5" s="58">
        <v>23470</v>
      </c>
      <c r="Y5" s="58">
        <v>25186</v>
      </c>
      <c r="Z5" s="58">
        <v>26869</v>
      </c>
      <c r="AA5" s="58">
        <v>26636</v>
      </c>
      <c r="AB5" s="58">
        <v>28194</v>
      </c>
      <c r="AC5" s="66">
        <v>29681</v>
      </c>
      <c r="AD5" s="424">
        <v>31004</v>
      </c>
      <c r="AE5" s="66">
        <v>30730</v>
      </c>
      <c r="AF5" s="66">
        <v>30979</v>
      </c>
      <c r="AG5" s="7">
        <v>31830</v>
      </c>
      <c r="AH5" s="425">
        <v>33240</v>
      </c>
      <c r="AI5" s="301">
        <v>34927</v>
      </c>
      <c r="AJ5" s="302">
        <v>35164</v>
      </c>
      <c r="AK5" s="804">
        <v>35773</v>
      </c>
      <c r="AL5" s="804">
        <v>35906</v>
      </c>
      <c r="AM5" s="804">
        <v>36071</v>
      </c>
      <c r="AN5" s="804">
        <v>36390</v>
      </c>
      <c r="AO5" s="804">
        <v>36782</v>
      </c>
      <c r="AP5" s="928">
        <v>37151</v>
      </c>
      <c r="AQ5" s="928">
        <v>37721</v>
      </c>
      <c r="AR5" s="804">
        <v>38196</v>
      </c>
    </row>
    <row r="6" spans="1:44" s="15" customFormat="1">
      <c r="A6" s="426" t="s">
        <v>135</v>
      </c>
      <c r="B6" s="283"/>
      <c r="C6" s="36" t="s">
        <v>1</v>
      </c>
      <c r="D6" s="36" t="s">
        <v>1</v>
      </c>
      <c r="E6" s="36" t="s">
        <v>1</v>
      </c>
      <c r="F6" s="36" t="s">
        <v>1</v>
      </c>
      <c r="G6" s="36" t="s">
        <v>1</v>
      </c>
      <c r="H6" s="36" t="s">
        <v>1</v>
      </c>
      <c r="I6" s="36" t="s">
        <v>1</v>
      </c>
      <c r="J6" s="36" t="s">
        <v>1</v>
      </c>
      <c r="K6" s="58" t="s">
        <v>1</v>
      </c>
      <c r="L6" s="58" t="s">
        <v>1</v>
      </c>
      <c r="M6" s="58" t="s">
        <v>1</v>
      </c>
      <c r="N6" s="58" t="s">
        <v>1</v>
      </c>
      <c r="O6" s="58" t="s">
        <v>1</v>
      </c>
      <c r="P6" s="58" t="s">
        <v>1</v>
      </c>
      <c r="Q6" s="58" t="s">
        <v>1</v>
      </c>
      <c r="R6" s="58" t="s">
        <v>1</v>
      </c>
      <c r="S6" s="58" t="s">
        <v>1</v>
      </c>
      <c r="T6" s="58" t="s">
        <v>1</v>
      </c>
      <c r="U6" s="58" t="s">
        <v>1</v>
      </c>
      <c r="V6" s="58">
        <v>938</v>
      </c>
      <c r="W6" s="58">
        <v>1194</v>
      </c>
      <c r="X6" s="58">
        <v>1464</v>
      </c>
      <c r="Y6" s="58">
        <v>1823</v>
      </c>
      <c r="Z6" s="58">
        <v>2290</v>
      </c>
      <c r="AA6" s="58">
        <v>2688</v>
      </c>
      <c r="AB6" s="58">
        <v>3196</v>
      </c>
      <c r="AC6" s="66">
        <v>3928</v>
      </c>
      <c r="AD6" s="424">
        <v>4797</v>
      </c>
      <c r="AE6" s="66">
        <v>5547</v>
      </c>
      <c r="AF6" s="66">
        <v>6205</v>
      </c>
      <c r="AG6" s="7">
        <v>6876</v>
      </c>
      <c r="AH6" s="425">
        <v>7814</v>
      </c>
      <c r="AI6" s="301">
        <v>8644</v>
      </c>
      <c r="AJ6" s="302">
        <v>9376</v>
      </c>
      <c r="AK6" s="804">
        <v>10195</v>
      </c>
      <c r="AL6" s="804">
        <v>10323</v>
      </c>
      <c r="AM6" s="804">
        <v>10379</v>
      </c>
      <c r="AN6" s="804">
        <v>10481</v>
      </c>
      <c r="AO6" s="804">
        <v>10632</v>
      </c>
      <c r="AP6" s="928">
        <v>10703</v>
      </c>
      <c r="AQ6" s="928">
        <v>10769</v>
      </c>
      <c r="AR6" s="804">
        <v>10877</v>
      </c>
    </row>
    <row r="7" spans="1:44" s="15" customFormat="1">
      <c r="A7" s="426" t="s">
        <v>110</v>
      </c>
      <c r="B7" s="283"/>
      <c r="C7" s="36" t="s">
        <v>1</v>
      </c>
      <c r="D7" s="36" t="s">
        <v>1</v>
      </c>
      <c r="E7" s="36" t="s">
        <v>1</v>
      </c>
      <c r="F7" s="36" t="s">
        <v>1</v>
      </c>
      <c r="G7" s="36" t="s">
        <v>1</v>
      </c>
      <c r="H7" s="36" t="s">
        <v>1</v>
      </c>
      <c r="I7" s="36" t="s">
        <v>1</v>
      </c>
      <c r="J7" s="36" t="s">
        <v>1</v>
      </c>
      <c r="K7" s="58" t="s">
        <v>1</v>
      </c>
      <c r="L7" s="58" t="s">
        <v>1</v>
      </c>
      <c r="M7" s="58" t="s">
        <v>1</v>
      </c>
      <c r="N7" s="58" t="s">
        <v>1</v>
      </c>
      <c r="O7" s="58" t="s">
        <v>1</v>
      </c>
      <c r="P7" s="58" t="s">
        <v>1</v>
      </c>
      <c r="Q7" s="58" t="s">
        <v>1</v>
      </c>
      <c r="R7" s="58" t="s">
        <v>1</v>
      </c>
      <c r="S7" s="58" t="s">
        <v>1</v>
      </c>
      <c r="T7" s="58" t="s">
        <v>1</v>
      </c>
      <c r="U7" s="58" t="s">
        <v>1</v>
      </c>
      <c r="V7" s="58">
        <v>11639</v>
      </c>
      <c r="W7" s="58">
        <v>12173</v>
      </c>
      <c r="X7" s="58">
        <v>12894</v>
      </c>
      <c r="Y7" s="58">
        <v>13973</v>
      </c>
      <c r="Z7" s="58">
        <v>15020</v>
      </c>
      <c r="AA7" s="58">
        <v>14341</v>
      </c>
      <c r="AB7" s="58">
        <v>15202</v>
      </c>
      <c r="AC7" s="66">
        <v>16381</v>
      </c>
      <c r="AD7" s="424">
        <v>17039</v>
      </c>
      <c r="AE7" s="66">
        <v>17088</v>
      </c>
      <c r="AF7" s="66">
        <v>17734</v>
      </c>
      <c r="AG7" s="7">
        <v>17935</v>
      </c>
      <c r="AH7" s="425">
        <v>18194</v>
      </c>
      <c r="AI7" s="301">
        <v>18992</v>
      </c>
      <c r="AJ7" s="302">
        <v>19368</v>
      </c>
      <c r="AK7" s="804">
        <v>19976</v>
      </c>
      <c r="AL7" s="804">
        <v>20049</v>
      </c>
      <c r="AM7" s="804">
        <v>20103</v>
      </c>
      <c r="AN7" s="804">
        <v>20168</v>
      </c>
      <c r="AO7" s="804">
        <v>20331</v>
      </c>
      <c r="AP7" s="928">
        <v>20426</v>
      </c>
      <c r="AQ7" s="928">
        <v>20575</v>
      </c>
      <c r="AR7" s="804">
        <v>20701</v>
      </c>
    </row>
    <row r="8" spans="1:44" s="15" customFormat="1">
      <c r="A8" s="426" t="s">
        <v>111</v>
      </c>
      <c r="B8" s="283"/>
      <c r="C8" s="36" t="s">
        <v>1</v>
      </c>
      <c r="D8" s="36" t="s">
        <v>1</v>
      </c>
      <c r="E8" s="36" t="s">
        <v>1</v>
      </c>
      <c r="F8" s="36" t="s">
        <v>1</v>
      </c>
      <c r="G8" s="36" t="s">
        <v>1</v>
      </c>
      <c r="H8" s="36" t="s">
        <v>1</v>
      </c>
      <c r="I8" s="36" t="s">
        <v>1</v>
      </c>
      <c r="J8" s="36" t="s">
        <v>1</v>
      </c>
      <c r="K8" s="58" t="s">
        <v>1</v>
      </c>
      <c r="L8" s="58" t="s">
        <v>1</v>
      </c>
      <c r="M8" s="58" t="s">
        <v>1</v>
      </c>
      <c r="N8" s="58" t="s">
        <v>1</v>
      </c>
      <c r="O8" s="58" t="s">
        <v>1</v>
      </c>
      <c r="P8" s="58" t="s">
        <v>1</v>
      </c>
      <c r="Q8" s="58" t="s">
        <v>1</v>
      </c>
      <c r="R8" s="58" t="s">
        <v>1</v>
      </c>
      <c r="S8" s="58" t="s">
        <v>1</v>
      </c>
      <c r="T8" s="58" t="s">
        <v>1</v>
      </c>
      <c r="U8" s="58" t="s">
        <v>1</v>
      </c>
      <c r="V8" s="58">
        <v>17520</v>
      </c>
      <c r="W8" s="58">
        <v>18450</v>
      </c>
      <c r="X8" s="58">
        <v>19618</v>
      </c>
      <c r="Y8" s="58">
        <v>21074</v>
      </c>
      <c r="Z8" s="58">
        <v>22816</v>
      </c>
      <c r="AA8" s="58">
        <v>23665</v>
      </c>
      <c r="AB8" s="58">
        <v>25392</v>
      </c>
      <c r="AC8" s="66">
        <v>27356</v>
      </c>
      <c r="AD8" s="424">
        <v>28479</v>
      </c>
      <c r="AE8" s="66">
        <v>29714</v>
      </c>
      <c r="AF8" s="66">
        <v>30076</v>
      </c>
      <c r="AG8" s="7">
        <v>31101</v>
      </c>
      <c r="AH8" s="425">
        <v>33169</v>
      </c>
      <c r="AI8" s="301">
        <v>34550</v>
      </c>
      <c r="AJ8" s="302">
        <v>35261</v>
      </c>
      <c r="AK8" s="804">
        <v>36272</v>
      </c>
      <c r="AL8" s="804">
        <v>36412</v>
      </c>
      <c r="AM8" s="804">
        <v>36475</v>
      </c>
      <c r="AN8" s="804">
        <v>36471</v>
      </c>
      <c r="AO8" s="804">
        <v>36569</v>
      </c>
      <c r="AP8" s="928">
        <v>36694</v>
      </c>
      <c r="AQ8" s="928">
        <v>36898</v>
      </c>
      <c r="AR8" s="804">
        <v>37164</v>
      </c>
    </row>
    <row r="9" spans="1:44" s="15" customFormat="1">
      <c r="A9" s="426" t="s">
        <v>388</v>
      </c>
      <c r="B9" s="283"/>
      <c r="C9" s="36" t="s">
        <v>1</v>
      </c>
      <c r="D9" s="36" t="s">
        <v>1</v>
      </c>
      <c r="E9" s="36" t="s">
        <v>1</v>
      </c>
      <c r="F9" s="36" t="s">
        <v>1</v>
      </c>
      <c r="G9" s="36" t="s">
        <v>1</v>
      </c>
      <c r="H9" s="36" t="s">
        <v>1</v>
      </c>
      <c r="I9" s="36" t="s">
        <v>1</v>
      </c>
      <c r="J9" s="36" t="s">
        <v>1</v>
      </c>
      <c r="K9" s="58" t="s">
        <v>1</v>
      </c>
      <c r="L9" s="58" t="s">
        <v>1</v>
      </c>
      <c r="M9" s="58" t="s">
        <v>1</v>
      </c>
      <c r="N9" s="58" t="s">
        <v>1</v>
      </c>
      <c r="O9" s="58" t="s">
        <v>1</v>
      </c>
      <c r="P9" s="58" t="s">
        <v>1</v>
      </c>
      <c r="Q9" s="58" t="s">
        <v>1</v>
      </c>
      <c r="R9" s="58" t="s">
        <v>1</v>
      </c>
      <c r="S9" s="58" t="s">
        <v>1</v>
      </c>
      <c r="T9" s="58" t="s">
        <v>1</v>
      </c>
      <c r="U9" s="58" t="s">
        <v>1</v>
      </c>
      <c r="V9" s="58">
        <v>8852</v>
      </c>
      <c r="W9" s="58">
        <v>9162</v>
      </c>
      <c r="X9" s="58">
        <v>9512</v>
      </c>
      <c r="Y9" s="58">
        <v>9935</v>
      </c>
      <c r="Z9" s="58">
        <v>10653</v>
      </c>
      <c r="AA9" s="58">
        <v>10138</v>
      </c>
      <c r="AB9" s="58">
        <v>10672</v>
      </c>
      <c r="AC9" s="66">
        <v>11137</v>
      </c>
      <c r="AD9" s="424">
        <v>11317</v>
      </c>
      <c r="AE9" s="66">
        <v>11264</v>
      </c>
      <c r="AF9" s="66">
        <v>11596</v>
      </c>
      <c r="AG9" s="7">
        <v>12017</v>
      </c>
      <c r="AH9" s="425">
        <v>12015</v>
      </c>
      <c r="AI9" s="301">
        <v>12393</v>
      </c>
      <c r="AJ9" s="302">
        <v>12539</v>
      </c>
      <c r="AK9" s="804">
        <v>13167</v>
      </c>
      <c r="AL9" s="804">
        <v>13354</v>
      </c>
      <c r="AM9" s="804">
        <v>13441</v>
      </c>
      <c r="AN9" s="804">
        <v>13704</v>
      </c>
      <c r="AO9" s="804">
        <v>13873</v>
      </c>
      <c r="AP9" s="928">
        <v>14049</v>
      </c>
      <c r="AQ9" s="928">
        <v>14415</v>
      </c>
      <c r="AR9" s="804">
        <v>14675</v>
      </c>
    </row>
    <row r="10" spans="1:44" s="15" customFormat="1">
      <c r="A10" s="426" t="s">
        <v>136</v>
      </c>
      <c r="B10" s="283"/>
      <c r="C10" s="36" t="s">
        <v>1</v>
      </c>
      <c r="D10" s="36" t="s">
        <v>1</v>
      </c>
      <c r="E10" s="36" t="s">
        <v>1</v>
      </c>
      <c r="F10" s="36" t="s">
        <v>1</v>
      </c>
      <c r="G10" s="36" t="s">
        <v>1</v>
      </c>
      <c r="H10" s="36" t="s">
        <v>1</v>
      </c>
      <c r="I10" s="36" t="s">
        <v>1</v>
      </c>
      <c r="J10" s="36" t="s">
        <v>1</v>
      </c>
      <c r="K10" s="58" t="s">
        <v>1</v>
      </c>
      <c r="L10" s="58" t="s">
        <v>1</v>
      </c>
      <c r="M10" s="58" t="s">
        <v>1</v>
      </c>
      <c r="N10" s="58" t="s">
        <v>1</v>
      </c>
      <c r="O10" s="58" t="s">
        <v>1</v>
      </c>
      <c r="P10" s="58" t="s">
        <v>1</v>
      </c>
      <c r="Q10" s="58" t="s">
        <v>1</v>
      </c>
      <c r="R10" s="58" t="s">
        <v>1</v>
      </c>
      <c r="S10" s="58" t="s">
        <v>1</v>
      </c>
      <c r="T10" s="58" t="s">
        <v>1</v>
      </c>
      <c r="U10" s="58" t="s">
        <v>1</v>
      </c>
      <c r="V10" s="58">
        <v>16171</v>
      </c>
      <c r="W10" s="58">
        <v>16749</v>
      </c>
      <c r="X10" s="58">
        <v>17339</v>
      </c>
      <c r="Y10" s="58">
        <v>18345</v>
      </c>
      <c r="Z10" s="58">
        <v>19619</v>
      </c>
      <c r="AA10" s="58">
        <v>19404</v>
      </c>
      <c r="AB10" s="58">
        <v>20194</v>
      </c>
      <c r="AC10" s="66">
        <v>21217</v>
      </c>
      <c r="AD10" s="424">
        <v>21735</v>
      </c>
      <c r="AE10" s="66">
        <v>21341</v>
      </c>
      <c r="AF10" s="66">
        <v>22062</v>
      </c>
      <c r="AG10" s="7">
        <v>22398</v>
      </c>
      <c r="AH10" s="425">
        <v>23244</v>
      </c>
      <c r="AI10" s="301">
        <v>24410</v>
      </c>
      <c r="AJ10" s="302">
        <v>24661</v>
      </c>
      <c r="AK10" s="804">
        <v>25418</v>
      </c>
      <c r="AL10" s="804">
        <v>25215</v>
      </c>
      <c r="AM10" s="804">
        <v>25208</v>
      </c>
      <c r="AN10" s="804">
        <v>25235</v>
      </c>
      <c r="AO10" s="804">
        <v>25366</v>
      </c>
      <c r="AP10" s="928">
        <v>25414</v>
      </c>
      <c r="AQ10" s="928">
        <v>25474</v>
      </c>
      <c r="AR10" s="804">
        <v>25605</v>
      </c>
    </row>
    <row r="11" spans="1:44" s="15" customFormat="1">
      <c r="A11" s="426" t="s">
        <v>112</v>
      </c>
      <c r="B11" s="283"/>
      <c r="C11" s="36" t="s">
        <v>1</v>
      </c>
      <c r="D11" s="36" t="s">
        <v>1</v>
      </c>
      <c r="E11" s="36" t="s">
        <v>1</v>
      </c>
      <c r="F11" s="36" t="s">
        <v>1</v>
      </c>
      <c r="G11" s="36" t="s">
        <v>1</v>
      </c>
      <c r="H11" s="36" t="s">
        <v>1</v>
      </c>
      <c r="I11" s="36" t="s">
        <v>1</v>
      </c>
      <c r="J11" s="36" t="s">
        <v>1</v>
      </c>
      <c r="K11" s="58" t="s">
        <v>1</v>
      </c>
      <c r="L11" s="58" t="s">
        <v>1</v>
      </c>
      <c r="M11" s="58" t="s">
        <v>1</v>
      </c>
      <c r="N11" s="58" t="s">
        <v>1</v>
      </c>
      <c r="O11" s="58" t="s">
        <v>1</v>
      </c>
      <c r="P11" s="58" t="s">
        <v>1</v>
      </c>
      <c r="Q11" s="58" t="s">
        <v>1</v>
      </c>
      <c r="R11" s="58" t="s">
        <v>1</v>
      </c>
      <c r="S11" s="58" t="s">
        <v>1</v>
      </c>
      <c r="T11" s="58" t="s">
        <v>1</v>
      </c>
      <c r="U11" s="58" t="s">
        <v>1</v>
      </c>
      <c r="V11" s="58" t="s">
        <v>1</v>
      </c>
      <c r="W11" s="58" t="s">
        <v>1</v>
      </c>
      <c r="X11" s="58" t="s">
        <v>1</v>
      </c>
      <c r="Y11" s="58" t="s">
        <v>1</v>
      </c>
      <c r="Z11" s="58">
        <v>584</v>
      </c>
      <c r="AA11" s="58">
        <v>714</v>
      </c>
      <c r="AB11" s="58">
        <v>1045</v>
      </c>
      <c r="AC11" s="66">
        <v>1481</v>
      </c>
      <c r="AD11" s="424">
        <v>1912</v>
      </c>
      <c r="AE11" s="66">
        <v>2332</v>
      </c>
      <c r="AF11" s="66">
        <v>2758</v>
      </c>
      <c r="AG11" s="7">
        <v>3303</v>
      </c>
      <c r="AH11" s="425">
        <v>4028</v>
      </c>
      <c r="AI11" s="301">
        <v>4848</v>
      </c>
      <c r="AJ11" s="302">
        <v>5548</v>
      </c>
      <c r="AK11" s="804">
        <v>6795</v>
      </c>
      <c r="AL11" s="804">
        <v>6881</v>
      </c>
      <c r="AM11" s="804">
        <v>6975</v>
      </c>
      <c r="AN11" s="804">
        <v>7106</v>
      </c>
      <c r="AO11" s="804">
        <v>7277</v>
      </c>
      <c r="AP11" s="928">
        <v>7564</v>
      </c>
      <c r="AQ11" s="928">
        <v>7936</v>
      </c>
      <c r="AR11" s="804">
        <v>8164</v>
      </c>
    </row>
    <row r="12" spans="1:44" s="15" customFormat="1">
      <c r="A12" s="426" t="s">
        <v>113</v>
      </c>
      <c r="B12" s="283"/>
      <c r="C12" s="36" t="s">
        <v>1</v>
      </c>
      <c r="D12" s="36" t="s">
        <v>1</v>
      </c>
      <c r="E12" s="36" t="s">
        <v>1</v>
      </c>
      <c r="F12" s="36" t="s">
        <v>1</v>
      </c>
      <c r="G12" s="36" t="s">
        <v>1</v>
      </c>
      <c r="H12" s="36" t="s">
        <v>1</v>
      </c>
      <c r="I12" s="36" t="s">
        <v>1</v>
      </c>
      <c r="J12" s="36" t="s">
        <v>1</v>
      </c>
      <c r="K12" s="58" t="s">
        <v>1</v>
      </c>
      <c r="L12" s="58" t="s">
        <v>1</v>
      </c>
      <c r="M12" s="58" t="s">
        <v>1</v>
      </c>
      <c r="N12" s="58" t="s">
        <v>1</v>
      </c>
      <c r="O12" s="58" t="s">
        <v>1</v>
      </c>
      <c r="P12" s="58" t="s">
        <v>1</v>
      </c>
      <c r="Q12" s="58" t="s">
        <v>1</v>
      </c>
      <c r="R12" s="58" t="s">
        <v>1</v>
      </c>
      <c r="S12" s="58" t="s">
        <v>1</v>
      </c>
      <c r="T12" s="58" t="s">
        <v>1</v>
      </c>
      <c r="U12" s="58" t="s">
        <v>1</v>
      </c>
      <c r="V12" s="58">
        <v>5207</v>
      </c>
      <c r="W12" s="58">
        <v>5381</v>
      </c>
      <c r="X12" s="58">
        <v>5606</v>
      </c>
      <c r="Y12" s="58">
        <v>5957</v>
      </c>
      <c r="Z12" s="58">
        <v>6413</v>
      </c>
      <c r="AA12" s="58">
        <v>6350</v>
      </c>
      <c r="AB12" s="58">
        <v>6764</v>
      </c>
      <c r="AC12" s="66">
        <v>7265</v>
      </c>
      <c r="AD12" s="424">
        <v>7513</v>
      </c>
      <c r="AE12" s="66">
        <v>7538</v>
      </c>
      <c r="AF12" s="66">
        <v>7887</v>
      </c>
      <c r="AG12" s="7">
        <v>8092</v>
      </c>
      <c r="AH12" s="425">
        <v>8720</v>
      </c>
      <c r="AI12" s="301">
        <v>9480</v>
      </c>
      <c r="AJ12" s="302">
        <v>9870</v>
      </c>
      <c r="AK12" s="804">
        <v>10436</v>
      </c>
      <c r="AL12" s="804">
        <v>10464</v>
      </c>
      <c r="AM12" s="804">
        <v>10499</v>
      </c>
      <c r="AN12" s="804">
        <v>10471</v>
      </c>
      <c r="AO12" s="804">
        <v>10532</v>
      </c>
      <c r="AP12" s="928">
        <v>10553</v>
      </c>
      <c r="AQ12" s="928">
        <v>10589</v>
      </c>
      <c r="AR12" s="804">
        <v>10640</v>
      </c>
    </row>
    <row r="13" spans="1:44" s="15" customFormat="1">
      <c r="A13" s="423" t="s">
        <v>137</v>
      </c>
      <c r="B13" s="273" t="s">
        <v>185</v>
      </c>
      <c r="C13" s="36"/>
      <c r="D13" s="36"/>
      <c r="E13" s="36"/>
      <c r="F13" s="36"/>
      <c r="G13" s="36"/>
      <c r="H13" s="36"/>
      <c r="I13" s="36"/>
      <c r="J13" s="36"/>
      <c r="K13" s="58"/>
      <c r="L13" s="58"/>
      <c r="M13" s="58"/>
      <c r="N13" s="58"/>
      <c r="O13" s="58"/>
      <c r="P13" s="58"/>
      <c r="Q13" s="58"/>
      <c r="R13" s="58"/>
      <c r="S13" s="58"/>
      <c r="T13" s="58"/>
      <c r="U13" s="58"/>
      <c r="V13" s="58"/>
      <c r="W13" s="58"/>
      <c r="X13" s="58"/>
      <c r="Y13" s="58"/>
      <c r="Z13" s="58"/>
      <c r="AA13" s="58"/>
      <c r="AB13" s="59"/>
      <c r="AC13" s="34"/>
      <c r="AD13" s="427"/>
      <c r="AE13" s="34"/>
      <c r="AF13" s="39"/>
      <c r="AG13" s="428"/>
      <c r="AH13" s="425"/>
      <c r="AI13" s="301"/>
      <c r="AJ13" s="302"/>
      <c r="AK13" s="804"/>
      <c r="AL13" s="804"/>
      <c r="AM13" s="804"/>
      <c r="AN13" s="804"/>
      <c r="AO13" s="804"/>
      <c r="AP13" s="928"/>
      <c r="AQ13" s="928"/>
      <c r="AR13" s="804"/>
    </row>
    <row r="14" spans="1:44" s="15" customFormat="1">
      <c r="A14" s="423" t="s">
        <v>108</v>
      </c>
      <c r="B14" s="283"/>
      <c r="C14" s="36" t="s">
        <v>1</v>
      </c>
      <c r="D14" s="36" t="s">
        <v>1</v>
      </c>
      <c r="E14" s="36" t="s">
        <v>1</v>
      </c>
      <c r="F14" s="36" t="s">
        <v>1</v>
      </c>
      <c r="G14" s="36" t="s">
        <v>1</v>
      </c>
      <c r="H14" s="36" t="s">
        <v>1</v>
      </c>
      <c r="I14" s="36" t="s">
        <v>1</v>
      </c>
      <c r="J14" s="36" t="s">
        <v>1</v>
      </c>
      <c r="K14" s="58">
        <v>23652</v>
      </c>
      <c r="L14" s="58">
        <v>25453</v>
      </c>
      <c r="M14" s="58">
        <v>29872</v>
      </c>
      <c r="N14" s="58">
        <v>33434</v>
      </c>
      <c r="O14" s="58">
        <v>35788</v>
      </c>
      <c r="P14" s="58">
        <v>40563</v>
      </c>
      <c r="Q14" s="58">
        <v>46716</v>
      </c>
      <c r="R14" s="58">
        <v>49180</v>
      </c>
      <c r="S14" s="58">
        <v>47816</v>
      </c>
      <c r="T14" s="58">
        <v>44577</v>
      </c>
      <c r="U14" s="58">
        <v>50968</v>
      </c>
      <c r="V14" s="58">
        <v>50438</v>
      </c>
      <c r="W14" s="58">
        <v>43279</v>
      </c>
      <c r="X14" s="58">
        <v>38190</v>
      </c>
      <c r="Y14" s="58">
        <v>44900</v>
      </c>
      <c r="Z14" s="58">
        <v>49197</v>
      </c>
      <c r="AA14" s="58">
        <v>60809</v>
      </c>
      <c r="AB14" s="58">
        <v>63137</v>
      </c>
      <c r="AC14" s="58">
        <v>63444</v>
      </c>
      <c r="AD14" s="424">
        <v>67763</v>
      </c>
      <c r="AE14" s="66">
        <v>75888</v>
      </c>
      <c r="AF14" s="66">
        <v>83547</v>
      </c>
      <c r="AG14" s="7">
        <v>87313</v>
      </c>
      <c r="AH14" s="425">
        <v>104948</v>
      </c>
      <c r="AI14" s="301">
        <v>115115</v>
      </c>
      <c r="AJ14" s="302">
        <v>114832</v>
      </c>
      <c r="AK14" s="804">
        <v>117211</v>
      </c>
      <c r="AL14" s="804">
        <v>117933</v>
      </c>
      <c r="AM14" s="804">
        <v>118451</v>
      </c>
      <c r="AN14" s="804">
        <v>119367</v>
      </c>
      <c r="AO14" s="804">
        <v>120153</v>
      </c>
      <c r="AP14" s="928">
        <v>119895</v>
      </c>
      <c r="AQ14" s="928">
        <v>121356</v>
      </c>
      <c r="AR14" s="804">
        <v>122717</v>
      </c>
    </row>
    <row r="15" spans="1:44" s="15" customFormat="1">
      <c r="A15" s="426" t="s">
        <v>109</v>
      </c>
      <c r="B15" s="283"/>
      <c r="C15" s="36" t="s">
        <v>1</v>
      </c>
      <c r="D15" s="36" t="s">
        <v>1</v>
      </c>
      <c r="E15" s="36" t="s">
        <v>1</v>
      </c>
      <c r="F15" s="36" t="s">
        <v>1</v>
      </c>
      <c r="G15" s="36" t="s">
        <v>1</v>
      </c>
      <c r="H15" s="36" t="s">
        <v>1</v>
      </c>
      <c r="I15" s="36" t="s">
        <v>1</v>
      </c>
      <c r="J15" s="36" t="s">
        <v>1</v>
      </c>
      <c r="K15" s="58" t="s">
        <v>1</v>
      </c>
      <c r="L15" s="58" t="s">
        <v>1</v>
      </c>
      <c r="M15" s="58" t="s">
        <v>1</v>
      </c>
      <c r="N15" s="58" t="s">
        <v>1</v>
      </c>
      <c r="O15" s="58" t="s">
        <v>1</v>
      </c>
      <c r="P15" s="58" t="s">
        <v>1</v>
      </c>
      <c r="Q15" s="58" t="s">
        <v>1</v>
      </c>
      <c r="R15" s="58" t="s">
        <v>1</v>
      </c>
      <c r="S15" s="58" t="s">
        <v>1</v>
      </c>
      <c r="T15" s="58" t="s">
        <v>1</v>
      </c>
      <c r="U15" s="58" t="s">
        <v>1</v>
      </c>
      <c r="V15" s="58">
        <v>13284</v>
      </c>
      <c r="W15" s="58">
        <v>11770</v>
      </c>
      <c r="X15" s="58">
        <v>10213</v>
      </c>
      <c r="Y15" s="58">
        <v>11967</v>
      </c>
      <c r="Z15" s="58">
        <v>12780</v>
      </c>
      <c r="AA15" s="58">
        <v>15613</v>
      </c>
      <c r="AB15" s="58">
        <v>15944</v>
      </c>
      <c r="AC15" s="58">
        <v>15445</v>
      </c>
      <c r="AD15" s="424">
        <v>16356</v>
      </c>
      <c r="AE15" s="66">
        <v>17889</v>
      </c>
      <c r="AF15" s="66">
        <v>19266</v>
      </c>
      <c r="AG15" s="7">
        <v>20097</v>
      </c>
      <c r="AH15" s="425">
        <v>24390</v>
      </c>
      <c r="AI15" s="301">
        <v>26741</v>
      </c>
      <c r="AJ15" s="302">
        <v>26075</v>
      </c>
      <c r="AK15" s="804">
        <v>25958</v>
      </c>
      <c r="AL15" s="804">
        <v>26069</v>
      </c>
      <c r="AM15" s="804">
        <v>26208</v>
      </c>
      <c r="AN15" s="804">
        <v>26551</v>
      </c>
      <c r="AO15" s="804">
        <v>26817</v>
      </c>
      <c r="AP15" s="928">
        <v>26903</v>
      </c>
      <c r="AQ15" s="928">
        <v>27317</v>
      </c>
      <c r="AR15" s="804">
        <v>27729</v>
      </c>
    </row>
    <row r="16" spans="1:44" s="15" customFormat="1">
      <c r="A16" s="426" t="s">
        <v>135</v>
      </c>
      <c r="B16" s="283"/>
      <c r="C16" s="36" t="s">
        <v>1</v>
      </c>
      <c r="D16" s="36" t="s">
        <v>1</v>
      </c>
      <c r="E16" s="36" t="s">
        <v>1</v>
      </c>
      <c r="F16" s="36" t="s">
        <v>1</v>
      </c>
      <c r="G16" s="36" t="s">
        <v>1</v>
      </c>
      <c r="H16" s="36" t="s">
        <v>1</v>
      </c>
      <c r="I16" s="36" t="s">
        <v>1</v>
      </c>
      <c r="J16" s="36" t="s">
        <v>1</v>
      </c>
      <c r="K16" s="58" t="s">
        <v>1</v>
      </c>
      <c r="L16" s="58" t="s">
        <v>1</v>
      </c>
      <c r="M16" s="58" t="s">
        <v>1</v>
      </c>
      <c r="N16" s="58" t="s">
        <v>1</v>
      </c>
      <c r="O16" s="58" t="s">
        <v>1</v>
      </c>
      <c r="P16" s="58" t="s">
        <v>1</v>
      </c>
      <c r="Q16" s="58" t="s">
        <v>1</v>
      </c>
      <c r="R16" s="58" t="s">
        <v>1</v>
      </c>
      <c r="S16" s="58" t="s">
        <v>1</v>
      </c>
      <c r="T16" s="58" t="s">
        <v>1</v>
      </c>
      <c r="U16" s="58" t="s">
        <v>1</v>
      </c>
      <c r="V16" s="58">
        <v>804</v>
      </c>
      <c r="W16" s="58">
        <v>875</v>
      </c>
      <c r="X16" s="58">
        <v>957</v>
      </c>
      <c r="Y16" s="58">
        <v>1267</v>
      </c>
      <c r="Z16" s="58">
        <v>1541</v>
      </c>
      <c r="AA16" s="58">
        <v>2054</v>
      </c>
      <c r="AB16" s="58">
        <v>2381</v>
      </c>
      <c r="AC16" s="58">
        <v>2801</v>
      </c>
      <c r="AD16" s="424">
        <v>3485</v>
      </c>
      <c r="AE16" s="66">
        <v>4149</v>
      </c>
      <c r="AF16" s="66">
        <v>4678</v>
      </c>
      <c r="AG16" s="7">
        <v>5233</v>
      </c>
      <c r="AH16" s="425">
        <v>6477</v>
      </c>
      <c r="AI16" s="301">
        <v>7333</v>
      </c>
      <c r="AJ16" s="302">
        <v>7748</v>
      </c>
      <c r="AK16" s="804">
        <v>8258</v>
      </c>
      <c r="AL16" s="804">
        <v>8356</v>
      </c>
      <c r="AM16" s="804">
        <v>8409</v>
      </c>
      <c r="AN16" s="804">
        <v>8482</v>
      </c>
      <c r="AO16" s="804">
        <v>8576</v>
      </c>
      <c r="AP16" s="928">
        <v>8498</v>
      </c>
      <c r="AQ16" s="928">
        <v>8515</v>
      </c>
      <c r="AR16" s="804">
        <v>8609</v>
      </c>
    </row>
    <row r="17" spans="1:44" s="15" customFormat="1">
      <c r="A17" s="426" t="s">
        <v>110</v>
      </c>
      <c r="B17" s="283"/>
      <c r="C17" s="36" t="s">
        <v>1</v>
      </c>
      <c r="D17" s="36" t="s">
        <v>1</v>
      </c>
      <c r="E17" s="36" t="s">
        <v>1</v>
      </c>
      <c r="F17" s="36" t="s">
        <v>1</v>
      </c>
      <c r="G17" s="36" t="s">
        <v>1</v>
      </c>
      <c r="H17" s="36" t="s">
        <v>1</v>
      </c>
      <c r="I17" s="36" t="s">
        <v>1</v>
      </c>
      <c r="J17" s="36" t="s">
        <v>1</v>
      </c>
      <c r="K17" s="58" t="s">
        <v>1</v>
      </c>
      <c r="L17" s="58" t="s">
        <v>1</v>
      </c>
      <c r="M17" s="58" t="s">
        <v>1</v>
      </c>
      <c r="N17" s="58" t="s">
        <v>1</v>
      </c>
      <c r="O17" s="58" t="s">
        <v>1</v>
      </c>
      <c r="P17" s="58" t="s">
        <v>1</v>
      </c>
      <c r="Q17" s="58" t="s">
        <v>1</v>
      </c>
      <c r="R17" s="58" t="s">
        <v>1</v>
      </c>
      <c r="S17" s="58" t="s">
        <v>1</v>
      </c>
      <c r="T17" s="58" t="s">
        <v>1</v>
      </c>
      <c r="U17" s="58" t="s">
        <v>1</v>
      </c>
      <c r="V17" s="58">
        <v>7322</v>
      </c>
      <c r="W17" s="58">
        <v>6107</v>
      </c>
      <c r="X17" s="58">
        <v>5336</v>
      </c>
      <c r="Y17" s="58">
        <v>6470</v>
      </c>
      <c r="Z17" s="58">
        <v>6946</v>
      </c>
      <c r="AA17" s="58">
        <v>8652</v>
      </c>
      <c r="AB17" s="58">
        <v>8819</v>
      </c>
      <c r="AC17" s="58">
        <v>8891</v>
      </c>
      <c r="AD17" s="424">
        <v>9412</v>
      </c>
      <c r="AE17" s="66">
        <v>10368</v>
      </c>
      <c r="AF17" s="66">
        <v>11494</v>
      </c>
      <c r="AG17" s="7">
        <v>11898</v>
      </c>
      <c r="AH17" s="425">
        <v>14095</v>
      </c>
      <c r="AI17" s="301">
        <v>15084</v>
      </c>
      <c r="AJ17" s="302">
        <v>15036</v>
      </c>
      <c r="AK17" s="804">
        <v>15116</v>
      </c>
      <c r="AL17" s="804">
        <v>15187</v>
      </c>
      <c r="AM17" s="804">
        <v>15259</v>
      </c>
      <c r="AN17" s="804">
        <v>15323</v>
      </c>
      <c r="AO17" s="804">
        <v>15429</v>
      </c>
      <c r="AP17" s="928">
        <v>15298</v>
      </c>
      <c r="AQ17" s="928">
        <v>15408</v>
      </c>
      <c r="AR17" s="804">
        <v>15454</v>
      </c>
    </row>
    <row r="18" spans="1:44" s="15" customFormat="1">
      <c r="A18" s="426" t="s">
        <v>111</v>
      </c>
      <c r="B18" s="283"/>
      <c r="C18" s="36" t="s">
        <v>1</v>
      </c>
      <c r="D18" s="36" t="s">
        <v>1</v>
      </c>
      <c r="E18" s="36" t="s">
        <v>1</v>
      </c>
      <c r="F18" s="36" t="s">
        <v>1</v>
      </c>
      <c r="G18" s="36" t="s">
        <v>1</v>
      </c>
      <c r="H18" s="36" t="s">
        <v>1</v>
      </c>
      <c r="I18" s="36" t="s">
        <v>1</v>
      </c>
      <c r="J18" s="36" t="s">
        <v>1</v>
      </c>
      <c r="K18" s="58" t="s">
        <v>1</v>
      </c>
      <c r="L18" s="58" t="s">
        <v>1</v>
      </c>
      <c r="M18" s="58" t="s">
        <v>1</v>
      </c>
      <c r="N18" s="58" t="s">
        <v>1</v>
      </c>
      <c r="O18" s="58" t="s">
        <v>1</v>
      </c>
      <c r="P18" s="58" t="s">
        <v>1</v>
      </c>
      <c r="Q18" s="58" t="s">
        <v>1</v>
      </c>
      <c r="R18" s="58" t="s">
        <v>1</v>
      </c>
      <c r="S18" s="58" t="s">
        <v>1</v>
      </c>
      <c r="T18" s="58" t="s">
        <v>1</v>
      </c>
      <c r="U18" s="58" t="s">
        <v>1</v>
      </c>
      <c r="V18" s="58">
        <v>10426</v>
      </c>
      <c r="W18" s="58">
        <v>8986</v>
      </c>
      <c r="X18" s="58">
        <v>8110</v>
      </c>
      <c r="Y18" s="58">
        <v>9679</v>
      </c>
      <c r="Z18" s="58">
        <v>10760</v>
      </c>
      <c r="AA18" s="58">
        <v>13281</v>
      </c>
      <c r="AB18" s="58">
        <v>14036</v>
      </c>
      <c r="AC18" s="342" t="s">
        <v>61</v>
      </c>
      <c r="AD18" s="424">
        <v>15288</v>
      </c>
      <c r="AE18" s="66">
        <v>17359</v>
      </c>
      <c r="AF18" s="66">
        <v>19416</v>
      </c>
      <c r="AG18" s="7">
        <v>20126</v>
      </c>
      <c r="AH18" s="425">
        <v>24226</v>
      </c>
      <c r="AI18" s="301">
        <v>26354</v>
      </c>
      <c r="AJ18" s="302">
        <v>26246</v>
      </c>
      <c r="AK18" s="804">
        <v>26472</v>
      </c>
      <c r="AL18" s="804">
        <v>26617</v>
      </c>
      <c r="AM18" s="804">
        <v>26693</v>
      </c>
      <c r="AN18" s="804">
        <v>26682</v>
      </c>
      <c r="AO18" s="804">
        <v>26627</v>
      </c>
      <c r="AP18" s="928">
        <v>26411</v>
      </c>
      <c r="AQ18" s="928">
        <v>26538</v>
      </c>
      <c r="AR18" s="804">
        <v>26767</v>
      </c>
    </row>
    <row r="19" spans="1:44" s="15" customFormat="1">
      <c r="A19" s="426" t="s">
        <v>388</v>
      </c>
      <c r="B19" s="283"/>
      <c r="C19" s="36" t="s">
        <v>1</v>
      </c>
      <c r="D19" s="36" t="s">
        <v>1</v>
      </c>
      <c r="E19" s="36" t="s">
        <v>1</v>
      </c>
      <c r="F19" s="36" t="s">
        <v>1</v>
      </c>
      <c r="G19" s="36" t="s">
        <v>1</v>
      </c>
      <c r="H19" s="36" t="s">
        <v>1</v>
      </c>
      <c r="I19" s="36" t="s">
        <v>1</v>
      </c>
      <c r="J19" s="36" t="s">
        <v>1</v>
      </c>
      <c r="K19" s="58" t="s">
        <v>1</v>
      </c>
      <c r="L19" s="58" t="s">
        <v>1</v>
      </c>
      <c r="M19" s="58" t="s">
        <v>1</v>
      </c>
      <c r="N19" s="58" t="s">
        <v>1</v>
      </c>
      <c r="O19" s="58" t="s">
        <v>1</v>
      </c>
      <c r="P19" s="58" t="s">
        <v>1</v>
      </c>
      <c r="Q19" s="58" t="s">
        <v>1</v>
      </c>
      <c r="R19" s="58" t="s">
        <v>1</v>
      </c>
      <c r="S19" s="58" t="s">
        <v>1</v>
      </c>
      <c r="T19" s="58" t="s">
        <v>1</v>
      </c>
      <c r="U19" s="58" t="s">
        <v>1</v>
      </c>
      <c r="V19" s="58">
        <v>5082</v>
      </c>
      <c r="W19" s="58">
        <v>4312</v>
      </c>
      <c r="X19" s="58">
        <v>3811</v>
      </c>
      <c r="Y19" s="58">
        <v>4245</v>
      </c>
      <c r="Z19" s="58">
        <v>4732</v>
      </c>
      <c r="AA19" s="58">
        <v>5788</v>
      </c>
      <c r="AB19" s="58">
        <v>5993</v>
      </c>
      <c r="AC19" s="58">
        <v>5866</v>
      </c>
      <c r="AD19" s="424">
        <v>6178</v>
      </c>
      <c r="AE19" s="66">
        <v>6784</v>
      </c>
      <c r="AF19" s="66">
        <v>7366</v>
      </c>
      <c r="AG19" s="7">
        <v>7711</v>
      </c>
      <c r="AH19" s="425">
        <v>8771</v>
      </c>
      <c r="AI19" s="301">
        <v>9397</v>
      </c>
      <c r="AJ19" s="302">
        <v>9178</v>
      </c>
      <c r="AK19" s="804">
        <v>9577</v>
      </c>
      <c r="AL19" s="804">
        <v>9742</v>
      </c>
      <c r="AM19" s="804">
        <v>9831</v>
      </c>
      <c r="AN19" s="804">
        <v>10162</v>
      </c>
      <c r="AO19" s="804">
        <v>10298</v>
      </c>
      <c r="AP19" s="928">
        <v>10381</v>
      </c>
      <c r="AQ19" s="928">
        <v>10723</v>
      </c>
      <c r="AR19" s="804">
        <v>10967</v>
      </c>
    </row>
    <row r="20" spans="1:44" s="15" customFormat="1">
      <c r="A20" s="426" t="s">
        <v>136</v>
      </c>
      <c r="B20" s="283"/>
      <c r="C20" s="36" t="s">
        <v>1</v>
      </c>
      <c r="D20" s="36" t="s">
        <v>1</v>
      </c>
      <c r="E20" s="36" t="s">
        <v>1</v>
      </c>
      <c r="F20" s="36" t="s">
        <v>1</v>
      </c>
      <c r="G20" s="36" t="s">
        <v>1</v>
      </c>
      <c r="H20" s="36" t="s">
        <v>1</v>
      </c>
      <c r="I20" s="36" t="s">
        <v>1</v>
      </c>
      <c r="J20" s="36" t="s">
        <v>1</v>
      </c>
      <c r="K20" s="58" t="s">
        <v>1</v>
      </c>
      <c r="L20" s="58" t="s">
        <v>1</v>
      </c>
      <c r="M20" s="58" t="s">
        <v>1</v>
      </c>
      <c r="N20" s="58" t="s">
        <v>1</v>
      </c>
      <c r="O20" s="58" t="s">
        <v>1</v>
      </c>
      <c r="P20" s="58" t="s">
        <v>1</v>
      </c>
      <c r="Q20" s="58" t="s">
        <v>1</v>
      </c>
      <c r="R20" s="58" t="s">
        <v>1</v>
      </c>
      <c r="S20" s="58" t="s">
        <v>1</v>
      </c>
      <c r="T20" s="58" t="s">
        <v>1</v>
      </c>
      <c r="U20" s="58" t="s">
        <v>1</v>
      </c>
      <c r="V20" s="58">
        <v>10082</v>
      </c>
      <c r="W20" s="58">
        <v>8329</v>
      </c>
      <c r="X20" s="58">
        <v>7270</v>
      </c>
      <c r="Y20" s="58">
        <v>8338</v>
      </c>
      <c r="Z20" s="58">
        <v>8962</v>
      </c>
      <c r="AA20" s="58">
        <v>10922</v>
      </c>
      <c r="AB20" s="58">
        <v>11064</v>
      </c>
      <c r="AC20" s="58">
        <v>10844</v>
      </c>
      <c r="AD20" s="424">
        <v>11228</v>
      </c>
      <c r="AE20" s="66">
        <v>12651</v>
      </c>
      <c r="AF20" s="66">
        <v>13863</v>
      </c>
      <c r="AG20" s="7">
        <v>14156</v>
      </c>
      <c r="AH20" s="425">
        <v>16827</v>
      </c>
      <c r="AI20" s="301">
        <v>18371</v>
      </c>
      <c r="AJ20" s="302">
        <v>18059</v>
      </c>
      <c r="AK20" s="804">
        <v>18004</v>
      </c>
      <c r="AL20" s="804">
        <v>18000</v>
      </c>
      <c r="AM20" s="804">
        <v>17988</v>
      </c>
      <c r="AN20" s="804">
        <v>18028</v>
      </c>
      <c r="AO20" s="804">
        <v>18108</v>
      </c>
      <c r="AP20" s="928">
        <v>17996</v>
      </c>
      <c r="AQ20" s="928">
        <v>18067</v>
      </c>
      <c r="AR20" s="804">
        <v>18159</v>
      </c>
    </row>
    <row r="21" spans="1:44" s="15" customFormat="1">
      <c r="A21" s="426" t="s">
        <v>112</v>
      </c>
      <c r="B21" s="283"/>
      <c r="C21" s="36" t="s">
        <v>1</v>
      </c>
      <c r="D21" s="36" t="s">
        <v>1</v>
      </c>
      <c r="E21" s="36" t="s">
        <v>1</v>
      </c>
      <c r="F21" s="36" t="s">
        <v>1</v>
      </c>
      <c r="G21" s="36" t="s">
        <v>1</v>
      </c>
      <c r="H21" s="36" t="s">
        <v>1</v>
      </c>
      <c r="I21" s="36" t="s">
        <v>1</v>
      </c>
      <c r="J21" s="36" t="s">
        <v>1</v>
      </c>
      <c r="K21" s="58" t="s">
        <v>1</v>
      </c>
      <c r="L21" s="58" t="s">
        <v>1</v>
      </c>
      <c r="M21" s="58" t="s">
        <v>1</v>
      </c>
      <c r="N21" s="58" t="s">
        <v>1</v>
      </c>
      <c r="O21" s="58" t="s">
        <v>1</v>
      </c>
      <c r="P21" s="58" t="s">
        <v>1</v>
      </c>
      <c r="Q21" s="58" t="s">
        <v>1</v>
      </c>
      <c r="R21" s="58" t="s">
        <v>1</v>
      </c>
      <c r="S21" s="58" t="s">
        <v>1</v>
      </c>
      <c r="T21" s="58" t="s">
        <v>1</v>
      </c>
      <c r="U21" s="58" t="s">
        <v>1</v>
      </c>
      <c r="V21" s="58" t="s">
        <v>1</v>
      </c>
      <c r="W21" s="58" t="s">
        <v>1</v>
      </c>
      <c r="X21" s="58" t="s">
        <v>1</v>
      </c>
      <c r="Y21" s="58" t="s">
        <v>1</v>
      </c>
      <c r="Z21" s="58">
        <v>280</v>
      </c>
      <c r="AA21" s="58">
        <v>524</v>
      </c>
      <c r="AB21" s="342">
        <v>812</v>
      </c>
      <c r="AC21" s="342" t="s">
        <v>62</v>
      </c>
      <c r="AD21" s="424">
        <v>1427</v>
      </c>
      <c r="AE21" s="66">
        <v>1823</v>
      </c>
      <c r="AF21" s="66">
        <v>2091</v>
      </c>
      <c r="AG21" s="7">
        <v>2546</v>
      </c>
      <c r="AH21" s="425">
        <v>3385</v>
      </c>
      <c r="AI21" s="301">
        <v>4243</v>
      </c>
      <c r="AJ21" s="302">
        <v>4749</v>
      </c>
      <c r="AK21" s="804">
        <v>5739</v>
      </c>
      <c r="AL21" s="804">
        <v>5848</v>
      </c>
      <c r="AM21" s="804">
        <v>5929</v>
      </c>
      <c r="AN21" s="804">
        <v>6045</v>
      </c>
      <c r="AO21" s="804">
        <v>6197</v>
      </c>
      <c r="AP21" s="928">
        <v>6392</v>
      </c>
      <c r="AQ21" s="928">
        <v>6748</v>
      </c>
      <c r="AR21" s="804">
        <v>6953</v>
      </c>
    </row>
    <row r="22" spans="1:44" s="15" customFormat="1">
      <c r="A22" s="426" t="s">
        <v>113</v>
      </c>
      <c r="B22" s="283"/>
      <c r="C22" s="36" t="s">
        <v>1</v>
      </c>
      <c r="D22" s="36" t="s">
        <v>1</v>
      </c>
      <c r="E22" s="36" t="s">
        <v>1</v>
      </c>
      <c r="F22" s="36" t="s">
        <v>1</v>
      </c>
      <c r="G22" s="36" t="s">
        <v>1</v>
      </c>
      <c r="H22" s="36" t="s">
        <v>1</v>
      </c>
      <c r="I22" s="36" t="s">
        <v>1</v>
      </c>
      <c r="J22" s="36" t="s">
        <v>1</v>
      </c>
      <c r="K22" s="58" t="s">
        <v>1</v>
      </c>
      <c r="L22" s="58" t="s">
        <v>1</v>
      </c>
      <c r="M22" s="58" t="s">
        <v>1</v>
      </c>
      <c r="N22" s="58" t="s">
        <v>1</v>
      </c>
      <c r="O22" s="58" t="s">
        <v>1</v>
      </c>
      <c r="P22" s="58" t="s">
        <v>1</v>
      </c>
      <c r="Q22" s="58" t="s">
        <v>1</v>
      </c>
      <c r="R22" s="58" t="s">
        <v>1</v>
      </c>
      <c r="S22" s="58" t="s">
        <v>1</v>
      </c>
      <c r="T22" s="58" t="s">
        <v>1</v>
      </c>
      <c r="U22" s="58" t="s">
        <v>1</v>
      </c>
      <c r="V22" s="58">
        <v>3438</v>
      </c>
      <c r="W22" s="58">
        <v>2903</v>
      </c>
      <c r="X22" s="58">
        <v>2493</v>
      </c>
      <c r="Y22" s="58">
        <v>2934</v>
      </c>
      <c r="Z22" s="58">
        <v>3196</v>
      </c>
      <c r="AA22" s="58">
        <v>3975</v>
      </c>
      <c r="AB22" s="58">
        <v>4088</v>
      </c>
      <c r="AC22" s="58">
        <v>4107</v>
      </c>
      <c r="AD22" s="424">
        <v>4389</v>
      </c>
      <c r="AE22" s="66">
        <v>4568</v>
      </c>
      <c r="AF22" s="66">
        <v>5373</v>
      </c>
      <c r="AG22" s="7">
        <v>5546</v>
      </c>
      <c r="AH22" s="425">
        <v>6777</v>
      </c>
      <c r="AI22" s="301">
        <v>7592</v>
      </c>
      <c r="AJ22" s="302">
        <v>7741</v>
      </c>
      <c r="AK22" s="804">
        <v>8087</v>
      </c>
      <c r="AL22" s="804">
        <v>8114</v>
      </c>
      <c r="AM22" s="804">
        <v>8134</v>
      </c>
      <c r="AN22" s="804">
        <v>8094</v>
      </c>
      <c r="AO22" s="804">
        <v>8101</v>
      </c>
      <c r="AP22" s="928">
        <v>8016</v>
      </c>
      <c r="AQ22" s="928">
        <v>8040</v>
      </c>
      <c r="AR22" s="804">
        <v>8079</v>
      </c>
    </row>
    <row r="23" spans="1:44" s="15" customFormat="1">
      <c r="A23" s="423" t="s">
        <v>138</v>
      </c>
      <c r="B23" s="283"/>
      <c r="C23" s="36"/>
      <c r="D23" s="36"/>
      <c r="E23" s="36"/>
      <c r="F23" s="36"/>
      <c r="G23" s="36"/>
      <c r="H23" s="36"/>
      <c r="I23" s="36"/>
      <c r="J23" s="36"/>
      <c r="K23" s="58"/>
      <c r="L23" s="58"/>
      <c r="M23" s="58"/>
      <c r="N23" s="58"/>
      <c r="O23" s="58"/>
      <c r="P23" s="58"/>
      <c r="Q23" s="58"/>
      <c r="R23" s="58"/>
      <c r="S23" s="58"/>
      <c r="T23" s="58"/>
      <c r="U23" s="58"/>
      <c r="V23" s="58"/>
      <c r="W23" s="58"/>
      <c r="X23" s="58"/>
      <c r="Y23" s="58"/>
      <c r="Z23" s="58"/>
      <c r="AA23" s="58"/>
      <c r="AB23" s="34"/>
      <c r="AC23" s="34"/>
      <c r="AD23" s="303"/>
      <c r="AE23" s="34"/>
      <c r="AF23" s="34"/>
      <c r="AG23" s="429"/>
      <c r="AH23" s="429"/>
      <c r="AI23" s="429"/>
      <c r="AJ23" s="429"/>
      <c r="AK23" s="429"/>
      <c r="AL23" s="429"/>
      <c r="AM23" s="429"/>
      <c r="AN23" s="429"/>
      <c r="AO23" s="429"/>
      <c r="AP23" s="429"/>
      <c r="AQ23" s="429"/>
      <c r="AR23" s="429"/>
    </row>
    <row r="24" spans="1:44" s="15" customFormat="1">
      <c r="A24" s="423" t="s">
        <v>134</v>
      </c>
      <c r="B24" s="283"/>
      <c r="C24" s="36"/>
      <c r="D24" s="36"/>
      <c r="E24" s="36"/>
      <c r="F24" s="36"/>
      <c r="G24" s="36"/>
      <c r="H24" s="36"/>
      <c r="I24" s="36"/>
      <c r="J24" s="36"/>
      <c r="K24" s="58"/>
      <c r="L24" s="58"/>
      <c r="M24" s="58"/>
      <c r="N24" s="58"/>
      <c r="O24" s="58"/>
      <c r="P24" s="58"/>
      <c r="Q24" s="58"/>
      <c r="R24" s="58"/>
      <c r="S24" s="58"/>
      <c r="T24" s="58"/>
      <c r="U24" s="58"/>
      <c r="V24" s="58"/>
      <c r="W24" s="58"/>
      <c r="X24" s="58"/>
      <c r="Y24" s="58">
        <v>3131</v>
      </c>
      <c r="Z24" s="58">
        <v>3325</v>
      </c>
      <c r="AA24" s="58">
        <v>2736</v>
      </c>
      <c r="AB24" s="34">
        <v>2588</v>
      </c>
      <c r="AC24" s="34">
        <v>2477</v>
      </c>
      <c r="AD24" s="424">
        <v>2427</v>
      </c>
      <c r="AE24" s="58">
        <v>2545</v>
      </c>
      <c r="AF24" s="58">
        <v>2679</v>
      </c>
      <c r="AG24" s="430">
        <v>2813</v>
      </c>
      <c r="AH24" s="7">
        <v>3593</v>
      </c>
      <c r="AI24" s="301">
        <v>4238</v>
      </c>
      <c r="AJ24" s="302">
        <v>4157</v>
      </c>
      <c r="AK24" s="888">
        <v>3312</v>
      </c>
      <c r="AL24" s="888"/>
      <c r="AM24" s="888"/>
      <c r="AN24" s="888"/>
      <c r="AO24" s="888"/>
      <c r="AP24" s="888"/>
      <c r="AQ24" s="1081">
        <v>3484</v>
      </c>
      <c r="AR24" s="888"/>
    </row>
    <row r="25" spans="1:44" s="15" customFormat="1">
      <c r="A25" s="423" t="s">
        <v>139</v>
      </c>
      <c r="B25" s="283"/>
      <c r="C25" s="36"/>
      <c r="D25" s="36"/>
      <c r="E25" s="36"/>
      <c r="F25" s="36"/>
      <c r="G25" s="36"/>
      <c r="H25" s="36"/>
      <c r="I25" s="36"/>
      <c r="J25" s="36"/>
      <c r="K25" s="58"/>
      <c r="L25" s="58"/>
      <c r="M25" s="58"/>
      <c r="N25" s="58"/>
      <c r="O25" s="58"/>
      <c r="P25" s="58"/>
      <c r="Q25" s="58"/>
      <c r="R25" s="58"/>
      <c r="S25" s="58"/>
      <c r="T25" s="58"/>
      <c r="U25" s="58"/>
      <c r="V25" s="58"/>
      <c r="W25" s="58"/>
      <c r="X25" s="58"/>
      <c r="Y25" s="58"/>
      <c r="Z25" s="58"/>
      <c r="AA25" s="58"/>
      <c r="AB25" s="34"/>
      <c r="AC25" s="34"/>
      <c r="AD25" s="424"/>
      <c r="AE25" s="58"/>
      <c r="AF25" s="58"/>
      <c r="AG25" s="7"/>
      <c r="AH25" s="7"/>
      <c r="AI25" s="301"/>
      <c r="AJ25" s="302"/>
      <c r="AK25" s="888"/>
      <c r="AL25" s="888"/>
      <c r="AM25" s="888"/>
      <c r="AN25" s="888"/>
      <c r="AO25" s="888"/>
      <c r="AP25" s="888"/>
      <c r="AQ25" s="1081"/>
      <c r="AR25" s="888"/>
    </row>
    <row r="26" spans="1:44" s="15" customFormat="1">
      <c r="A26" s="423" t="s">
        <v>108</v>
      </c>
      <c r="B26" s="283"/>
      <c r="C26" s="36" t="s">
        <v>1</v>
      </c>
      <c r="D26" s="36" t="s">
        <v>1</v>
      </c>
      <c r="E26" s="36" t="s">
        <v>1</v>
      </c>
      <c r="F26" s="36" t="s">
        <v>1</v>
      </c>
      <c r="G26" s="36" t="s">
        <v>1</v>
      </c>
      <c r="H26" s="36" t="s">
        <v>1</v>
      </c>
      <c r="I26" s="36" t="s">
        <v>1</v>
      </c>
      <c r="J26" s="36" t="s">
        <v>1</v>
      </c>
      <c r="K26" s="58" t="s">
        <v>1</v>
      </c>
      <c r="L26" s="58" t="s">
        <v>1</v>
      </c>
      <c r="M26" s="58" t="s">
        <v>1</v>
      </c>
      <c r="N26" s="58" t="s">
        <v>1</v>
      </c>
      <c r="O26" s="58" t="s">
        <v>1</v>
      </c>
      <c r="P26" s="58" t="s">
        <v>1</v>
      </c>
      <c r="Q26" s="58" t="s">
        <v>1</v>
      </c>
      <c r="R26" s="58" t="s">
        <v>1</v>
      </c>
      <c r="S26" s="58" t="s">
        <v>1</v>
      </c>
      <c r="T26" s="58" t="s">
        <v>1</v>
      </c>
      <c r="U26" s="58" t="s">
        <v>1</v>
      </c>
      <c r="V26" s="58" t="s">
        <v>1</v>
      </c>
      <c r="W26" s="58" t="s">
        <v>1</v>
      </c>
      <c r="X26" s="58" t="s">
        <v>1</v>
      </c>
      <c r="Y26" s="58">
        <v>465</v>
      </c>
      <c r="Z26" s="58">
        <v>565</v>
      </c>
      <c r="AA26" s="58">
        <v>577</v>
      </c>
      <c r="AB26" s="34">
        <v>667</v>
      </c>
      <c r="AC26" s="34">
        <v>652</v>
      </c>
      <c r="AD26" s="424">
        <v>748</v>
      </c>
      <c r="AE26" s="58">
        <v>844</v>
      </c>
      <c r="AF26" s="58">
        <v>920</v>
      </c>
      <c r="AG26" s="430">
        <v>977</v>
      </c>
      <c r="AH26" s="7">
        <v>956</v>
      </c>
      <c r="AI26" s="301">
        <v>1002</v>
      </c>
      <c r="AJ26" s="302">
        <v>999</v>
      </c>
      <c r="AK26" s="888">
        <v>1001</v>
      </c>
      <c r="AL26" s="888"/>
      <c r="AM26" s="888"/>
      <c r="AN26" s="888"/>
      <c r="AO26" s="888"/>
      <c r="AP26" s="888"/>
      <c r="AQ26" s="1081">
        <v>1043</v>
      </c>
      <c r="AR26" s="888"/>
    </row>
    <row r="27" spans="1:44" s="15" customFormat="1">
      <c r="A27" s="426" t="s">
        <v>109</v>
      </c>
      <c r="B27" s="283"/>
      <c r="C27" s="36" t="s">
        <v>1</v>
      </c>
      <c r="D27" s="36" t="s">
        <v>1</v>
      </c>
      <c r="E27" s="36" t="s">
        <v>1</v>
      </c>
      <c r="F27" s="36" t="s">
        <v>1</v>
      </c>
      <c r="G27" s="36" t="s">
        <v>1</v>
      </c>
      <c r="H27" s="36" t="s">
        <v>1</v>
      </c>
      <c r="I27" s="36" t="s">
        <v>1</v>
      </c>
      <c r="J27" s="36" t="s">
        <v>1</v>
      </c>
      <c r="K27" s="58" t="s">
        <v>1</v>
      </c>
      <c r="L27" s="58" t="s">
        <v>1</v>
      </c>
      <c r="M27" s="58" t="s">
        <v>1</v>
      </c>
      <c r="N27" s="58" t="s">
        <v>1</v>
      </c>
      <c r="O27" s="58" t="s">
        <v>1</v>
      </c>
      <c r="P27" s="58" t="s">
        <v>1</v>
      </c>
      <c r="Q27" s="58" t="s">
        <v>1</v>
      </c>
      <c r="R27" s="58" t="s">
        <v>1</v>
      </c>
      <c r="S27" s="58" t="s">
        <v>1</v>
      </c>
      <c r="T27" s="58" t="s">
        <v>1</v>
      </c>
      <c r="U27" s="58" t="s">
        <v>1</v>
      </c>
      <c r="V27" s="58" t="s">
        <v>1</v>
      </c>
      <c r="W27" s="58" t="s">
        <v>1</v>
      </c>
      <c r="X27" s="58" t="s">
        <v>1</v>
      </c>
      <c r="Y27" s="58">
        <v>94</v>
      </c>
      <c r="Z27" s="58">
        <v>113</v>
      </c>
      <c r="AA27" s="58">
        <v>123</v>
      </c>
      <c r="AB27" s="34">
        <v>140</v>
      </c>
      <c r="AC27" s="323">
        <v>120</v>
      </c>
      <c r="AD27" s="424">
        <v>143</v>
      </c>
      <c r="AE27" s="342">
        <v>169</v>
      </c>
      <c r="AF27" s="431">
        <v>177</v>
      </c>
      <c r="AG27" s="430">
        <v>195</v>
      </c>
      <c r="AH27" s="380">
        <v>191</v>
      </c>
      <c r="AI27" s="301">
        <v>201</v>
      </c>
      <c r="AJ27" s="302">
        <v>203</v>
      </c>
      <c r="AK27" s="888">
        <v>201</v>
      </c>
      <c r="AL27" s="888"/>
      <c r="AM27" s="888"/>
      <c r="AN27" s="888"/>
      <c r="AO27" s="888"/>
      <c r="AP27" s="888"/>
      <c r="AQ27" s="1081">
        <v>222</v>
      </c>
      <c r="AR27" s="888"/>
    </row>
    <row r="28" spans="1:44" s="15" customFormat="1">
      <c r="A28" s="426" t="s">
        <v>135</v>
      </c>
      <c r="B28" s="283"/>
      <c r="C28" s="36" t="s">
        <v>1</v>
      </c>
      <c r="D28" s="36" t="s">
        <v>1</v>
      </c>
      <c r="E28" s="36" t="s">
        <v>1</v>
      </c>
      <c r="F28" s="36" t="s">
        <v>1</v>
      </c>
      <c r="G28" s="36" t="s">
        <v>1</v>
      </c>
      <c r="H28" s="36" t="s">
        <v>1</v>
      </c>
      <c r="I28" s="36" t="s">
        <v>1</v>
      </c>
      <c r="J28" s="36" t="s">
        <v>1</v>
      </c>
      <c r="K28" s="58" t="s">
        <v>1</v>
      </c>
      <c r="L28" s="58" t="s">
        <v>1</v>
      </c>
      <c r="M28" s="58" t="s">
        <v>1</v>
      </c>
      <c r="N28" s="58" t="s">
        <v>1</v>
      </c>
      <c r="O28" s="58" t="s">
        <v>1</v>
      </c>
      <c r="P28" s="58" t="s">
        <v>1</v>
      </c>
      <c r="Q28" s="58" t="s">
        <v>1</v>
      </c>
      <c r="R28" s="58" t="s">
        <v>1</v>
      </c>
      <c r="S28" s="58" t="s">
        <v>1</v>
      </c>
      <c r="T28" s="58" t="s">
        <v>1</v>
      </c>
      <c r="U28" s="58" t="s">
        <v>1</v>
      </c>
      <c r="V28" s="58" t="s">
        <v>1</v>
      </c>
      <c r="W28" s="58" t="s">
        <v>1</v>
      </c>
      <c r="X28" s="58" t="s">
        <v>1</v>
      </c>
      <c r="Y28" s="58">
        <v>9</v>
      </c>
      <c r="Z28" s="58">
        <v>20</v>
      </c>
      <c r="AA28" s="58">
        <v>19</v>
      </c>
      <c r="AB28" s="34">
        <v>27</v>
      </c>
      <c r="AC28" s="323">
        <v>32</v>
      </c>
      <c r="AD28" s="424">
        <v>38</v>
      </c>
      <c r="AE28" s="342">
        <v>39</v>
      </c>
      <c r="AF28" s="431">
        <v>45</v>
      </c>
      <c r="AG28" s="430">
        <v>56</v>
      </c>
      <c r="AH28" s="380">
        <v>54</v>
      </c>
      <c r="AI28" s="301">
        <v>61</v>
      </c>
      <c r="AJ28" s="302">
        <v>65</v>
      </c>
      <c r="AK28" s="888">
        <v>69</v>
      </c>
      <c r="AL28" s="888"/>
      <c r="AM28" s="888"/>
      <c r="AN28" s="888"/>
      <c r="AO28" s="888"/>
      <c r="AP28" s="888"/>
      <c r="AQ28" s="1081">
        <v>70</v>
      </c>
      <c r="AR28" s="888"/>
    </row>
    <row r="29" spans="1:44" s="15" customFormat="1">
      <c r="A29" s="426" t="s">
        <v>110</v>
      </c>
      <c r="B29" s="283"/>
      <c r="C29" s="36" t="s">
        <v>1</v>
      </c>
      <c r="D29" s="36" t="s">
        <v>1</v>
      </c>
      <c r="E29" s="36" t="s">
        <v>1</v>
      </c>
      <c r="F29" s="36" t="s">
        <v>1</v>
      </c>
      <c r="G29" s="36" t="s">
        <v>1</v>
      </c>
      <c r="H29" s="36" t="s">
        <v>1</v>
      </c>
      <c r="I29" s="36" t="s">
        <v>1</v>
      </c>
      <c r="J29" s="36" t="s">
        <v>1</v>
      </c>
      <c r="K29" s="58" t="s">
        <v>1</v>
      </c>
      <c r="L29" s="58" t="s">
        <v>1</v>
      </c>
      <c r="M29" s="58" t="s">
        <v>1</v>
      </c>
      <c r="N29" s="58" t="s">
        <v>1</v>
      </c>
      <c r="O29" s="58" t="s">
        <v>1</v>
      </c>
      <c r="P29" s="58" t="s">
        <v>1</v>
      </c>
      <c r="Q29" s="58" t="s">
        <v>1</v>
      </c>
      <c r="R29" s="58" t="s">
        <v>1</v>
      </c>
      <c r="S29" s="58" t="s">
        <v>1</v>
      </c>
      <c r="T29" s="58" t="s">
        <v>1</v>
      </c>
      <c r="U29" s="58" t="s">
        <v>1</v>
      </c>
      <c r="V29" s="58" t="s">
        <v>1</v>
      </c>
      <c r="W29" s="58" t="s">
        <v>1</v>
      </c>
      <c r="X29" s="58" t="s">
        <v>1</v>
      </c>
      <c r="Y29" s="58">
        <v>89</v>
      </c>
      <c r="Z29" s="58">
        <v>104</v>
      </c>
      <c r="AA29" s="58">
        <v>101</v>
      </c>
      <c r="AB29" s="34">
        <v>109</v>
      </c>
      <c r="AC29" s="342">
        <v>115</v>
      </c>
      <c r="AD29" s="424">
        <v>124</v>
      </c>
      <c r="AE29" s="342">
        <v>136</v>
      </c>
      <c r="AF29" s="431">
        <v>147</v>
      </c>
      <c r="AG29" s="430">
        <v>149</v>
      </c>
      <c r="AH29" s="380">
        <v>144</v>
      </c>
      <c r="AI29" s="301">
        <v>142</v>
      </c>
      <c r="AJ29" s="302">
        <v>135</v>
      </c>
      <c r="AK29" s="888">
        <v>139</v>
      </c>
      <c r="AL29" s="888"/>
      <c r="AM29" s="888"/>
      <c r="AN29" s="888"/>
      <c r="AO29" s="888"/>
      <c r="AP29" s="888"/>
      <c r="AQ29" s="1081">
        <v>137</v>
      </c>
      <c r="AR29" s="888"/>
    </row>
    <row r="30" spans="1:44" s="15" customFormat="1">
      <c r="A30" s="426" t="s">
        <v>111</v>
      </c>
      <c r="B30" s="283"/>
      <c r="C30" s="36" t="s">
        <v>1</v>
      </c>
      <c r="D30" s="36" t="s">
        <v>1</v>
      </c>
      <c r="E30" s="36" t="s">
        <v>1</v>
      </c>
      <c r="F30" s="36" t="s">
        <v>1</v>
      </c>
      <c r="G30" s="36" t="s">
        <v>1</v>
      </c>
      <c r="H30" s="36" t="s">
        <v>1</v>
      </c>
      <c r="I30" s="36" t="s">
        <v>1</v>
      </c>
      <c r="J30" s="36" t="s">
        <v>1</v>
      </c>
      <c r="K30" s="58" t="s">
        <v>1</v>
      </c>
      <c r="L30" s="58" t="s">
        <v>1</v>
      </c>
      <c r="M30" s="58" t="s">
        <v>1</v>
      </c>
      <c r="N30" s="58" t="s">
        <v>1</v>
      </c>
      <c r="O30" s="58" t="s">
        <v>1</v>
      </c>
      <c r="P30" s="58" t="s">
        <v>1</v>
      </c>
      <c r="Q30" s="58" t="s">
        <v>1</v>
      </c>
      <c r="R30" s="58" t="s">
        <v>1</v>
      </c>
      <c r="S30" s="58" t="s">
        <v>1</v>
      </c>
      <c r="T30" s="58" t="s">
        <v>1</v>
      </c>
      <c r="U30" s="58" t="s">
        <v>1</v>
      </c>
      <c r="V30" s="58" t="s">
        <v>1</v>
      </c>
      <c r="W30" s="58" t="s">
        <v>1</v>
      </c>
      <c r="X30" s="58" t="s">
        <v>1</v>
      </c>
      <c r="Y30" s="58">
        <v>102</v>
      </c>
      <c r="Z30" s="58">
        <v>119</v>
      </c>
      <c r="AA30" s="58">
        <v>126</v>
      </c>
      <c r="AB30" s="34">
        <v>153</v>
      </c>
      <c r="AC30" s="342">
        <v>141</v>
      </c>
      <c r="AD30" s="424">
        <v>161</v>
      </c>
      <c r="AE30" s="342">
        <v>182</v>
      </c>
      <c r="AF30" s="431">
        <v>201</v>
      </c>
      <c r="AG30" s="430">
        <v>208</v>
      </c>
      <c r="AH30" s="380">
        <v>208</v>
      </c>
      <c r="AI30" s="301">
        <v>207</v>
      </c>
      <c r="AJ30" s="302">
        <v>224</v>
      </c>
      <c r="AK30" s="888">
        <v>219</v>
      </c>
      <c r="AL30" s="888"/>
      <c r="AM30" s="888"/>
      <c r="AN30" s="888"/>
      <c r="AO30" s="888"/>
      <c r="AP30" s="888"/>
      <c r="AQ30" s="1081">
        <v>226</v>
      </c>
      <c r="AR30" s="888"/>
    </row>
    <row r="31" spans="1:44" s="15" customFormat="1">
      <c r="A31" s="426" t="s">
        <v>388</v>
      </c>
      <c r="B31" s="283"/>
      <c r="C31" s="36" t="s">
        <v>1</v>
      </c>
      <c r="D31" s="36" t="s">
        <v>1</v>
      </c>
      <c r="E31" s="36" t="s">
        <v>1</v>
      </c>
      <c r="F31" s="36" t="s">
        <v>1</v>
      </c>
      <c r="G31" s="36" t="s">
        <v>1</v>
      </c>
      <c r="H31" s="36" t="s">
        <v>1</v>
      </c>
      <c r="I31" s="36" t="s">
        <v>1</v>
      </c>
      <c r="J31" s="36" t="s">
        <v>1</v>
      </c>
      <c r="K31" s="58" t="s">
        <v>1</v>
      </c>
      <c r="L31" s="58" t="s">
        <v>1</v>
      </c>
      <c r="M31" s="58" t="s">
        <v>1</v>
      </c>
      <c r="N31" s="58" t="s">
        <v>1</v>
      </c>
      <c r="O31" s="58" t="s">
        <v>1</v>
      </c>
      <c r="P31" s="58" t="s">
        <v>1</v>
      </c>
      <c r="Q31" s="58" t="s">
        <v>1</v>
      </c>
      <c r="R31" s="58" t="s">
        <v>1</v>
      </c>
      <c r="S31" s="58" t="s">
        <v>1</v>
      </c>
      <c r="T31" s="58" t="s">
        <v>1</v>
      </c>
      <c r="U31" s="58" t="s">
        <v>1</v>
      </c>
      <c r="V31" s="58" t="s">
        <v>1</v>
      </c>
      <c r="W31" s="58" t="s">
        <v>1</v>
      </c>
      <c r="X31" s="58" t="s">
        <v>1</v>
      </c>
      <c r="Y31" s="58">
        <v>45</v>
      </c>
      <c r="Z31" s="58">
        <v>44</v>
      </c>
      <c r="AA31" s="58">
        <v>45</v>
      </c>
      <c r="AB31" s="34">
        <v>47</v>
      </c>
      <c r="AC31" s="342">
        <v>49</v>
      </c>
      <c r="AD31" s="424">
        <v>57</v>
      </c>
      <c r="AE31" s="342">
        <v>60</v>
      </c>
      <c r="AF31" s="431">
        <v>65</v>
      </c>
      <c r="AG31" s="430">
        <v>65</v>
      </c>
      <c r="AH31" s="380">
        <v>59</v>
      </c>
      <c r="AI31" s="301">
        <v>62</v>
      </c>
      <c r="AJ31" s="302">
        <v>59</v>
      </c>
      <c r="AK31" s="888">
        <v>57</v>
      </c>
      <c r="AL31" s="888"/>
      <c r="AM31" s="888"/>
      <c r="AN31" s="888"/>
      <c r="AO31" s="888"/>
      <c r="AP31" s="888"/>
      <c r="AQ31" s="1081">
        <v>60</v>
      </c>
      <c r="AR31" s="888"/>
    </row>
    <row r="32" spans="1:44" s="15" customFormat="1">
      <c r="A32" s="426" t="s">
        <v>136</v>
      </c>
      <c r="B32" s="283"/>
      <c r="C32" s="36" t="s">
        <v>1</v>
      </c>
      <c r="D32" s="36" t="s">
        <v>1</v>
      </c>
      <c r="E32" s="36" t="s">
        <v>1</v>
      </c>
      <c r="F32" s="36" t="s">
        <v>1</v>
      </c>
      <c r="G32" s="36" t="s">
        <v>1</v>
      </c>
      <c r="H32" s="36" t="s">
        <v>1</v>
      </c>
      <c r="I32" s="36" t="s">
        <v>1</v>
      </c>
      <c r="J32" s="36" t="s">
        <v>1</v>
      </c>
      <c r="K32" s="58" t="s">
        <v>1</v>
      </c>
      <c r="L32" s="58" t="s">
        <v>1</v>
      </c>
      <c r="M32" s="58" t="s">
        <v>1</v>
      </c>
      <c r="N32" s="58" t="s">
        <v>1</v>
      </c>
      <c r="O32" s="58" t="s">
        <v>1</v>
      </c>
      <c r="P32" s="58" t="s">
        <v>1</v>
      </c>
      <c r="Q32" s="58" t="s">
        <v>1</v>
      </c>
      <c r="R32" s="58" t="s">
        <v>1</v>
      </c>
      <c r="S32" s="58" t="s">
        <v>1</v>
      </c>
      <c r="T32" s="58" t="s">
        <v>1</v>
      </c>
      <c r="U32" s="58" t="s">
        <v>1</v>
      </c>
      <c r="V32" s="58" t="s">
        <v>1</v>
      </c>
      <c r="W32" s="58" t="s">
        <v>1</v>
      </c>
      <c r="X32" s="58" t="s">
        <v>1</v>
      </c>
      <c r="Y32" s="58">
        <v>85</v>
      </c>
      <c r="Z32" s="58">
        <v>98</v>
      </c>
      <c r="AA32" s="58">
        <v>104</v>
      </c>
      <c r="AB32" s="34">
        <v>119</v>
      </c>
      <c r="AC32" s="342">
        <v>123</v>
      </c>
      <c r="AD32" s="424">
        <v>148</v>
      </c>
      <c r="AE32" s="342">
        <v>169</v>
      </c>
      <c r="AF32" s="431">
        <v>192</v>
      </c>
      <c r="AG32" s="430">
        <v>206</v>
      </c>
      <c r="AH32" s="380">
        <v>200</v>
      </c>
      <c r="AI32" s="301">
        <v>212</v>
      </c>
      <c r="AJ32" s="302">
        <v>198</v>
      </c>
      <c r="AK32" s="888">
        <v>198</v>
      </c>
      <c r="AL32" s="888"/>
      <c r="AM32" s="888"/>
      <c r="AN32" s="888"/>
      <c r="AO32" s="888"/>
      <c r="AP32" s="888"/>
      <c r="AQ32" s="1081">
        <v>204</v>
      </c>
      <c r="AR32" s="888"/>
    </row>
    <row r="33" spans="1:44" s="15" customFormat="1">
      <c r="A33" s="426" t="s">
        <v>112</v>
      </c>
      <c r="B33" s="283"/>
      <c r="C33" s="36" t="s">
        <v>1</v>
      </c>
      <c r="D33" s="36" t="s">
        <v>1</v>
      </c>
      <c r="E33" s="36" t="s">
        <v>1</v>
      </c>
      <c r="F33" s="36" t="s">
        <v>1</v>
      </c>
      <c r="G33" s="36" t="s">
        <v>1</v>
      </c>
      <c r="H33" s="36" t="s">
        <v>1</v>
      </c>
      <c r="I33" s="36" t="s">
        <v>1</v>
      </c>
      <c r="J33" s="36" t="s">
        <v>1</v>
      </c>
      <c r="K33" s="58" t="s">
        <v>1</v>
      </c>
      <c r="L33" s="58" t="s">
        <v>1</v>
      </c>
      <c r="M33" s="58" t="s">
        <v>1</v>
      </c>
      <c r="N33" s="58" t="s">
        <v>1</v>
      </c>
      <c r="O33" s="58" t="s">
        <v>1</v>
      </c>
      <c r="P33" s="58" t="s">
        <v>1</v>
      </c>
      <c r="Q33" s="58" t="s">
        <v>1</v>
      </c>
      <c r="R33" s="58" t="s">
        <v>1</v>
      </c>
      <c r="S33" s="58" t="s">
        <v>1</v>
      </c>
      <c r="T33" s="58" t="s">
        <v>1</v>
      </c>
      <c r="U33" s="58" t="s">
        <v>1</v>
      </c>
      <c r="V33" s="58" t="s">
        <v>1</v>
      </c>
      <c r="W33" s="58" t="s">
        <v>1</v>
      </c>
      <c r="X33" s="58" t="s">
        <v>1</v>
      </c>
      <c r="Y33" s="58" t="s">
        <v>1</v>
      </c>
      <c r="Z33" s="58">
        <v>18</v>
      </c>
      <c r="AA33" s="58">
        <v>14</v>
      </c>
      <c r="AB33" s="34">
        <v>23</v>
      </c>
      <c r="AC33" s="342">
        <v>32</v>
      </c>
      <c r="AD33" s="424">
        <v>28</v>
      </c>
      <c r="AE33" s="342">
        <v>35</v>
      </c>
      <c r="AF33" s="431">
        <v>41</v>
      </c>
      <c r="AG33" s="430">
        <v>45</v>
      </c>
      <c r="AH33" s="380">
        <v>50</v>
      </c>
      <c r="AI33" s="301">
        <v>66</v>
      </c>
      <c r="AJ33" s="302">
        <v>61</v>
      </c>
      <c r="AK33" s="888">
        <v>67</v>
      </c>
      <c r="AL33" s="888"/>
      <c r="AM33" s="888"/>
      <c r="AN33" s="888"/>
      <c r="AO33" s="888"/>
      <c r="AP33" s="888"/>
      <c r="AQ33" s="1081">
        <v>71</v>
      </c>
      <c r="AR33" s="888"/>
    </row>
    <row r="34" spans="1:44" s="15" customFormat="1">
      <c r="A34" s="426" t="s">
        <v>113</v>
      </c>
      <c r="B34" s="283"/>
      <c r="C34" s="36" t="s">
        <v>1</v>
      </c>
      <c r="D34" s="36" t="s">
        <v>1</v>
      </c>
      <c r="E34" s="36" t="s">
        <v>1</v>
      </c>
      <c r="F34" s="36" t="s">
        <v>1</v>
      </c>
      <c r="G34" s="36" t="s">
        <v>1</v>
      </c>
      <c r="H34" s="36" t="s">
        <v>1</v>
      </c>
      <c r="I34" s="36" t="s">
        <v>1</v>
      </c>
      <c r="J34" s="36" t="s">
        <v>1</v>
      </c>
      <c r="K34" s="58" t="s">
        <v>1</v>
      </c>
      <c r="L34" s="58" t="s">
        <v>1</v>
      </c>
      <c r="M34" s="58" t="s">
        <v>1</v>
      </c>
      <c r="N34" s="58" t="s">
        <v>1</v>
      </c>
      <c r="O34" s="58" t="s">
        <v>1</v>
      </c>
      <c r="P34" s="58" t="s">
        <v>1</v>
      </c>
      <c r="Q34" s="58" t="s">
        <v>1</v>
      </c>
      <c r="R34" s="58" t="s">
        <v>1</v>
      </c>
      <c r="S34" s="58" t="s">
        <v>1</v>
      </c>
      <c r="T34" s="58" t="s">
        <v>1</v>
      </c>
      <c r="U34" s="58" t="s">
        <v>1</v>
      </c>
      <c r="V34" s="58" t="s">
        <v>1</v>
      </c>
      <c r="W34" s="58" t="s">
        <v>1</v>
      </c>
      <c r="X34" s="58" t="s">
        <v>1</v>
      </c>
      <c r="Y34" s="58">
        <v>41</v>
      </c>
      <c r="Z34" s="58">
        <v>49</v>
      </c>
      <c r="AA34" s="58">
        <v>45</v>
      </c>
      <c r="AB34" s="34">
        <v>49</v>
      </c>
      <c r="AC34" s="342">
        <v>40</v>
      </c>
      <c r="AD34" s="424">
        <v>49</v>
      </c>
      <c r="AE34" s="342">
        <v>54</v>
      </c>
      <c r="AF34" s="431">
        <v>52</v>
      </c>
      <c r="AG34" s="430">
        <v>53</v>
      </c>
      <c r="AH34" s="380">
        <v>50</v>
      </c>
      <c r="AI34" s="301">
        <v>51</v>
      </c>
      <c r="AJ34" s="302">
        <v>54</v>
      </c>
      <c r="AK34" s="888">
        <v>51</v>
      </c>
      <c r="AL34" s="888"/>
      <c r="AM34" s="888"/>
      <c r="AN34" s="888"/>
      <c r="AO34" s="888"/>
      <c r="AP34" s="888"/>
      <c r="AQ34" s="1081">
        <v>53</v>
      </c>
      <c r="AR34" s="888"/>
    </row>
    <row r="35" spans="1:44" s="15" customFormat="1">
      <c r="A35" s="423" t="s">
        <v>140</v>
      </c>
      <c r="B35" s="283"/>
      <c r="C35" s="36"/>
      <c r="D35" s="36"/>
      <c r="E35" s="36"/>
      <c r="F35" s="36"/>
      <c r="G35" s="36"/>
      <c r="H35" s="36"/>
      <c r="I35" s="36"/>
      <c r="J35" s="36"/>
      <c r="K35" s="58"/>
      <c r="L35" s="58"/>
      <c r="M35" s="58"/>
      <c r="N35" s="58"/>
      <c r="O35" s="58"/>
      <c r="P35" s="58"/>
      <c r="Q35" s="58"/>
      <c r="R35" s="58"/>
      <c r="S35" s="58"/>
      <c r="T35" s="58"/>
      <c r="U35" s="58"/>
      <c r="V35" s="58"/>
      <c r="W35" s="58"/>
      <c r="X35" s="58"/>
      <c r="Y35" s="58"/>
      <c r="Z35" s="58"/>
      <c r="AA35" s="58"/>
      <c r="AB35" s="34"/>
      <c r="AC35" s="34"/>
      <c r="AD35" s="303"/>
      <c r="AE35" s="34"/>
      <c r="AF35" s="39"/>
      <c r="AG35" s="430"/>
      <c r="AH35" s="8"/>
      <c r="AI35" s="301"/>
      <c r="AJ35" s="302"/>
      <c r="AK35" s="888"/>
      <c r="AL35" s="888"/>
      <c r="AM35" s="888"/>
      <c r="AN35" s="888"/>
      <c r="AO35" s="888"/>
      <c r="AP35" s="888"/>
      <c r="AQ35" s="1081"/>
      <c r="AR35" s="888"/>
    </row>
    <row r="36" spans="1:44" s="15" customFormat="1">
      <c r="A36" s="423" t="s">
        <v>108</v>
      </c>
      <c r="B36" s="283"/>
      <c r="C36" s="36" t="s">
        <v>1</v>
      </c>
      <c r="D36" s="36" t="s">
        <v>1</v>
      </c>
      <c r="E36" s="36" t="s">
        <v>1</v>
      </c>
      <c r="F36" s="36" t="s">
        <v>1</v>
      </c>
      <c r="G36" s="36" t="s">
        <v>1</v>
      </c>
      <c r="H36" s="36" t="s">
        <v>1</v>
      </c>
      <c r="I36" s="36" t="s">
        <v>1</v>
      </c>
      <c r="J36" s="36" t="s">
        <v>1</v>
      </c>
      <c r="K36" s="58" t="s">
        <v>1</v>
      </c>
      <c r="L36" s="58" t="s">
        <v>1</v>
      </c>
      <c r="M36" s="58" t="s">
        <v>1</v>
      </c>
      <c r="N36" s="58" t="s">
        <v>1</v>
      </c>
      <c r="O36" s="58" t="s">
        <v>1</v>
      </c>
      <c r="P36" s="58" t="s">
        <v>1</v>
      </c>
      <c r="Q36" s="58" t="s">
        <v>1</v>
      </c>
      <c r="R36" s="58" t="s">
        <v>1</v>
      </c>
      <c r="S36" s="58" t="s">
        <v>1</v>
      </c>
      <c r="T36" s="58" t="s">
        <v>1</v>
      </c>
      <c r="U36" s="58" t="s">
        <v>1</v>
      </c>
      <c r="V36" s="58" t="s">
        <v>1</v>
      </c>
      <c r="W36" s="58" t="s">
        <v>1</v>
      </c>
      <c r="X36" s="58" t="s">
        <v>1</v>
      </c>
      <c r="Y36" s="58">
        <v>2654</v>
      </c>
      <c r="Z36" s="58">
        <v>2179</v>
      </c>
      <c r="AA36" s="58">
        <v>1761</v>
      </c>
      <c r="AB36" s="34">
        <v>1564</v>
      </c>
      <c r="AC36" s="34">
        <v>1263</v>
      </c>
      <c r="AD36" s="424">
        <v>1025</v>
      </c>
      <c r="AE36" s="56">
        <v>888</v>
      </c>
      <c r="AF36" s="432">
        <v>769</v>
      </c>
      <c r="AG36" s="430">
        <v>611</v>
      </c>
      <c r="AH36" s="38">
        <v>493</v>
      </c>
      <c r="AI36" s="301">
        <v>476</v>
      </c>
      <c r="AJ36" s="302">
        <v>388</v>
      </c>
      <c r="AK36" s="888">
        <v>579</v>
      </c>
      <c r="AL36" s="888"/>
      <c r="AM36" s="888"/>
      <c r="AN36" s="888"/>
      <c r="AO36" s="888"/>
      <c r="AP36" s="888"/>
      <c r="AQ36" s="1081">
        <v>792</v>
      </c>
      <c r="AR36" s="888"/>
    </row>
    <row r="37" spans="1:44" s="15" customFormat="1">
      <c r="A37" s="426" t="s">
        <v>109</v>
      </c>
      <c r="B37" s="283"/>
      <c r="C37" s="36" t="s">
        <v>1</v>
      </c>
      <c r="D37" s="36" t="s">
        <v>1</v>
      </c>
      <c r="E37" s="36" t="s">
        <v>1</v>
      </c>
      <c r="F37" s="36" t="s">
        <v>1</v>
      </c>
      <c r="G37" s="36" t="s">
        <v>1</v>
      </c>
      <c r="H37" s="36" t="s">
        <v>1</v>
      </c>
      <c r="I37" s="36" t="s">
        <v>1</v>
      </c>
      <c r="J37" s="36" t="s">
        <v>1</v>
      </c>
      <c r="K37" s="58" t="s">
        <v>1</v>
      </c>
      <c r="L37" s="58" t="s">
        <v>1</v>
      </c>
      <c r="M37" s="58" t="s">
        <v>1</v>
      </c>
      <c r="N37" s="58" t="s">
        <v>1</v>
      </c>
      <c r="O37" s="58" t="s">
        <v>1</v>
      </c>
      <c r="P37" s="58" t="s">
        <v>1</v>
      </c>
      <c r="Q37" s="58" t="s">
        <v>1</v>
      </c>
      <c r="R37" s="58" t="s">
        <v>1</v>
      </c>
      <c r="S37" s="58" t="s">
        <v>1</v>
      </c>
      <c r="T37" s="58" t="s">
        <v>1</v>
      </c>
      <c r="U37" s="58" t="s">
        <v>1</v>
      </c>
      <c r="V37" s="58" t="s">
        <v>1</v>
      </c>
      <c r="W37" s="58" t="s">
        <v>1</v>
      </c>
      <c r="X37" s="58" t="s">
        <v>1</v>
      </c>
      <c r="Y37" s="58">
        <v>411</v>
      </c>
      <c r="Z37" s="58">
        <v>274</v>
      </c>
      <c r="AA37" s="58">
        <v>224</v>
      </c>
      <c r="AB37" s="34">
        <v>188</v>
      </c>
      <c r="AC37" s="34">
        <v>144</v>
      </c>
      <c r="AD37" s="424">
        <v>116</v>
      </c>
      <c r="AE37" s="433">
        <v>105</v>
      </c>
      <c r="AF37" s="431">
        <v>81</v>
      </c>
      <c r="AG37" s="430">
        <v>62</v>
      </c>
      <c r="AH37" s="434">
        <v>51</v>
      </c>
      <c r="AI37" s="301">
        <v>51</v>
      </c>
      <c r="AJ37" s="302">
        <v>43</v>
      </c>
      <c r="AK37" s="888">
        <v>66</v>
      </c>
      <c r="AL37" s="888"/>
      <c r="AM37" s="888"/>
      <c r="AN37" s="888"/>
      <c r="AO37" s="888"/>
      <c r="AP37" s="888"/>
      <c r="AQ37" s="1081">
        <v>94</v>
      </c>
      <c r="AR37" s="888"/>
    </row>
    <row r="38" spans="1:44" s="15" customFormat="1">
      <c r="A38" s="426" t="s">
        <v>135</v>
      </c>
      <c r="B38" s="283"/>
      <c r="C38" s="36" t="s">
        <v>1</v>
      </c>
      <c r="D38" s="36" t="s">
        <v>1</v>
      </c>
      <c r="E38" s="36" t="s">
        <v>1</v>
      </c>
      <c r="F38" s="36" t="s">
        <v>1</v>
      </c>
      <c r="G38" s="36" t="s">
        <v>1</v>
      </c>
      <c r="H38" s="36" t="s">
        <v>1</v>
      </c>
      <c r="I38" s="36" t="s">
        <v>1</v>
      </c>
      <c r="J38" s="36" t="s">
        <v>1</v>
      </c>
      <c r="K38" s="58" t="s">
        <v>1</v>
      </c>
      <c r="L38" s="58" t="s">
        <v>1</v>
      </c>
      <c r="M38" s="58" t="s">
        <v>1</v>
      </c>
      <c r="N38" s="58" t="s">
        <v>1</v>
      </c>
      <c r="O38" s="58" t="s">
        <v>1</v>
      </c>
      <c r="P38" s="58" t="s">
        <v>1</v>
      </c>
      <c r="Q38" s="58" t="s">
        <v>1</v>
      </c>
      <c r="R38" s="58" t="s">
        <v>1</v>
      </c>
      <c r="S38" s="58" t="s">
        <v>1</v>
      </c>
      <c r="T38" s="58" t="s">
        <v>1</v>
      </c>
      <c r="U38" s="58" t="s">
        <v>1</v>
      </c>
      <c r="V38" s="58" t="s">
        <v>1</v>
      </c>
      <c r="W38" s="58" t="s">
        <v>1</v>
      </c>
      <c r="X38" s="58" t="s">
        <v>1</v>
      </c>
      <c r="Y38" s="58">
        <v>104</v>
      </c>
      <c r="Z38" s="58">
        <v>164</v>
      </c>
      <c r="AA38" s="58">
        <v>164</v>
      </c>
      <c r="AB38" s="34">
        <v>149</v>
      </c>
      <c r="AC38" s="34">
        <v>124</v>
      </c>
      <c r="AD38" s="424">
        <v>104</v>
      </c>
      <c r="AE38" s="433">
        <v>87</v>
      </c>
      <c r="AF38" s="431">
        <v>77</v>
      </c>
      <c r="AG38" s="430">
        <v>58</v>
      </c>
      <c r="AH38" s="434">
        <v>48</v>
      </c>
      <c r="AI38" s="301">
        <v>55</v>
      </c>
      <c r="AJ38" s="302">
        <v>47</v>
      </c>
      <c r="AK38" s="888">
        <v>87</v>
      </c>
      <c r="AL38" s="888"/>
      <c r="AM38" s="888"/>
      <c r="AN38" s="888"/>
      <c r="AO38" s="888"/>
      <c r="AP38" s="888"/>
      <c r="AQ38" s="1081">
        <v>157</v>
      </c>
      <c r="AR38" s="888"/>
    </row>
    <row r="39" spans="1:44" s="15" customFormat="1">
      <c r="A39" s="426" t="s">
        <v>110</v>
      </c>
      <c r="B39" s="283"/>
      <c r="C39" s="36" t="s">
        <v>1</v>
      </c>
      <c r="D39" s="36" t="s">
        <v>1</v>
      </c>
      <c r="E39" s="36" t="s">
        <v>1</v>
      </c>
      <c r="F39" s="36" t="s">
        <v>1</v>
      </c>
      <c r="G39" s="36" t="s">
        <v>1</v>
      </c>
      <c r="H39" s="36" t="s">
        <v>1</v>
      </c>
      <c r="I39" s="36" t="s">
        <v>1</v>
      </c>
      <c r="J39" s="36" t="s">
        <v>1</v>
      </c>
      <c r="K39" s="58" t="s">
        <v>1</v>
      </c>
      <c r="L39" s="58" t="s">
        <v>1</v>
      </c>
      <c r="M39" s="58" t="s">
        <v>1</v>
      </c>
      <c r="N39" s="58" t="s">
        <v>1</v>
      </c>
      <c r="O39" s="58" t="s">
        <v>1</v>
      </c>
      <c r="P39" s="58" t="s">
        <v>1</v>
      </c>
      <c r="Q39" s="58" t="s">
        <v>1</v>
      </c>
      <c r="R39" s="58" t="s">
        <v>1</v>
      </c>
      <c r="S39" s="58" t="s">
        <v>1</v>
      </c>
      <c r="T39" s="58" t="s">
        <v>1</v>
      </c>
      <c r="U39" s="58" t="s">
        <v>1</v>
      </c>
      <c r="V39" s="58" t="s">
        <v>1</v>
      </c>
      <c r="W39" s="58" t="s">
        <v>1</v>
      </c>
      <c r="X39" s="58" t="s">
        <v>1</v>
      </c>
      <c r="Y39" s="58">
        <v>652</v>
      </c>
      <c r="Z39" s="58">
        <v>530</v>
      </c>
      <c r="AA39" s="58">
        <v>391</v>
      </c>
      <c r="AB39" s="34">
        <v>313</v>
      </c>
      <c r="AC39" s="34">
        <v>222</v>
      </c>
      <c r="AD39" s="424">
        <v>191</v>
      </c>
      <c r="AE39" s="433">
        <v>159</v>
      </c>
      <c r="AF39" s="431">
        <v>139</v>
      </c>
      <c r="AG39" s="430">
        <v>115</v>
      </c>
      <c r="AH39" s="434">
        <v>93</v>
      </c>
      <c r="AI39" s="301">
        <v>84</v>
      </c>
      <c r="AJ39" s="302">
        <v>64</v>
      </c>
      <c r="AK39" s="888">
        <v>97</v>
      </c>
      <c r="AL39" s="888"/>
      <c r="AM39" s="888"/>
      <c r="AN39" s="888"/>
      <c r="AO39" s="888"/>
      <c r="AP39" s="888"/>
      <c r="AQ39" s="1081">
        <v>121</v>
      </c>
      <c r="AR39" s="888"/>
    </row>
    <row r="40" spans="1:44" s="15" customFormat="1">
      <c r="A40" s="426" t="s">
        <v>111</v>
      </c>
      <c r="B40" s="283"/>
      <c r="C40" s="36" t="s">
        <v>1</v>
      </c>
      <c r="D40" s="36" t="s">
        <v>1</v>
      </c>
      <c r="E40" s="36" t="s">
        <v>1</v>
      </c>
      <c r="F40" s="36" t="s">
        <v>1</v>
      </c>
      <c r="G40" s="36" t="s">
        <v>1</v>
      </c>
      <c r="H40" s="36" t="s">
        <v>1</v>
      </c>
      <c r="I40" s="36" t="s">
        <v>1</v>
      </c>
      <c r="J40" s="36" t="s">
        <v>1</v>
      </c>
      <c r="K40" s="58" t="s">
        <v>1</v>
      </c>
      <c r="L40" s="58" t="s">
        <v>1</v>
      </c>
      <c r="M40" s="58" t="s">
        <v>1</v>
      </c>
      <c r="N40" s="58" t="s">
        <v>1</v>
      </c>
      <c r="O40" s="58" t="s">
        <v>1</v>
      </c>
      <c r="P40" s="58" t="s">
        <v>1</v>
      </c>
      <c r="Q40" s="58" t="s">
        <v>1</v>
      </c>
      <c r="R40" s="58" t="s">
        <v>1</v>
      </c>
      <c r="S40" s="58" t="s">
        <v>1</v>
      </c>
      <c r="T40" s="58" t="s">
        <v>1</v>
      </c>
      <c r="U40" s="58" t="s">
        <v>1</v>
      </c>
      <c r="V40" s="58" t="s">
        <v>1</v>
      </c>
      <c r="W40" s="58" t="s">
        <v>1</v>
      </c>
      <c r="X40" s="58" t="s">
        <v>1</v>
      </c>
      <c r="Y40" s="58">
        <v>519</v>
      </c>
      <c r="Z40" s="58">
        <v>413</v>
      </c>
      <c r="AA40" s="58">
        <v>322</v>
      </c>
      <c r="AB40" s="34">
        <v>267</v>
      </c>
      <c r="AC40" s="34">
        <v>205</v>
      </c>
      <c r="AD40" s="424">
        <v>168</v>
      </c>
      <c r="AE40" s="433">
        <v>156</v>
      </c>
      <c r="AF40" s="431">
        <v>134</v>
      </c>
      <c r="AG40" s="430">
        <v>102</v>
      </c>
      <c r="AH40" s="434">
        <v>77</v>
      </c>
      <c r="AI40" s="301">
        <v>67</v>
      </c>
      <c r="AJ40" s="302">
        <v>62</v>
      </c>
      <c r="AK40" s="888">
        <v>70</v>
      </c>
      <c r="AL40" s="888"/>
      <c r="AM40" s="888"/>
      <c r="AN40" s="888"/>
      <c r="AO40" s="888"/>
      <c r="AP40" s="888"/>
      <c r="AQ40" s="1081">
        <v>101</v>
      </c>
      <c r="AR40" s="888"/>
    </row>
    <row r="41" spans="1:44" s="15" customFormat="1">
      <c r="A41" s="426" t="s">
        <v>388</v>
      </c>
      <c r="B41" s="283"/>
      <c r="C41" s="36" t="s">
        <v>1</v>
      </c>
      <c r="D41" s="36" t="s">
        <v>1</v>
      </c>
      <c r="E41" s="36" t="s">
        <v>1</v>
      </c>
      <c r="F41" s="36" t="s">
        <v>1</v>
      </c>
      <c r="G41" s="36" t="s">
        <v>1</v>
      </c>
      <c r="H41" s="36" t="s">
        <v>1</v>
      </c>
      <c r="I41" s="36" t="s">
        <v>1</v>
      </c>
      <c r="J41" s="36" t="s">
        <v>1</v>
      </c>
      <c r="K41" s="58" t="s">
        <v>1</v>
      </c>
      <c r="L41" s="58" t="s">
        <v>1</v>
      </c>
      <c r="M41" s="58" t="s">
        <v>1</v>
      </c>
      <c r="N41" s="58" t="s">
        <v>1</v>
      </c>
      <c r="O41" s="58" t="s">
        <v>1</v>
      </c>
      <c r="P41" s="58" t="s">
        <v>1</v>
      </c>
      <c r="Q41" s="58" t="s">
        <v>1</v>
      </c>
      <c r="R41" s="58" t="s">
        <v>1</v>
      </c>
      <c r="S41" s="58" t="s">
        <v>1</v>
      </c>
      <c r="T41" s="58" t="s">
        <v>1</v>
      </c>
      <c r="U41" s="58" t="s">
        <v>1</v>
      </c>
      <c r="V41" s="58" t="s">
        <v>1</v>
      </c>
      <c r="W41" s="58" t="s">
        <v>1</v>
      </c>
      <c r="X41" s="58" t="s">
        <v>1</v>
      </c>
      <c r="Y41" s="58">
        <v>203</v>
      </c>
      <c r="Z41" s="58">
        <v>159</v>
      </c>
      <c r="AA41" s="58">
        <v>127</v>
      </c>
      <c r="AB41" s="34">
        <v>112</v>
      </c>
      <c r="AC41" s="34">
        <v>94</v>
      </c>
      <c r="AD41" s="424">
        <v>72</v>
      </c>
      <c r="AE41" s="433">
        <v>64</v>
      </c>
      <c r="AF41" s="431">
        <v>56</v>
      </c>
      <c r="AG41" s="430">
        <v>40</v>
      </c>
      <c r="AH41" s="434">
        <v>32</v>
      </c>
      <c r="AI41" s="301">
        <v>25</v>
      </c>
      <c r="AJ41" s="302">
        <v>19</v>
      </c>
      <c r="AK41" s="888">
        <v>50</v>
      </c>
      <c r="AL41" s="888"/>
      <c r="AM41" s="888"/>
      <c r="AN41" s="888"/>
      <c r="AO41" s="888"/>
      <c r="AP41" s="888"/>
      <c r="AQ41" s="1081">
        <v>65</v>
      </c>
      <c r="AR41" s="888"/>
    </row>
    <row r="42" spans="1:44" s="15" customFormat="1">
      <c r="A42" s="426" t="s">
        <v>136</v>
      </c>
      <c r="B42" s="283"/>
      <c r="C42" s="36" t="s">
        <v>1</v>
      </c>
      <c r="D42" s="36" t="s">
        <v>1</v>
      </c>
      <c r="E42" s="36" t="s">
        <v>1</v>
      </c>
      <c r="F42" s="36" t="s">
        <v>1</v>
      </c>
      <c r="G42" s="36" t="s">
        <v>1</v>
      </c>
      <c r="H42" s="36" t="s">
        <v>1</v>
      </c>
      <c r="I42" s="36" t="s">
        <v>1</v>
      </c>
      <c r="J42" s="36" t="s">
        <v>1</v>
      </c>
      <c r="K42" s="58" t="s">
        <v>1</v>
      </c>
      <c r="L42" s="58" t="s">
        <v>1</v>
      </c>
      <c r="M42" s="58" t="s">
        <v>1</v>
      </c>
      <c r="N42" s="58" t="s">
        <v>1</v>
      </c>
      <c r="O42" s="58" t="s">
        <v>1</v>
      </c>
      <c r="P42" s="58" t="s">
        <v>1</v>
      </c>
      <c r="Q42" s="58" t="s">
        <v>1</v>
      </c>
      <c r="R42" s="58" t="s">
        <v>1</v>
      </c>
      <c r="S42" s="58" t="s">
        <v>1</v>
      </c>
      <c r="T42" s="58" t="s">
        <v>1</v>
      </c>
      <c r="U42" s="58" t="s">
        <v>1</v>
      </c>
      <c r="V42" s="58" t="s">
        <v>1</v>
      </c>
      <c r="W42" s="58" t="s">
        <v>1</v>
      </c>
      <c r="X42" s="58" t="s">
        <v>1</v>
      </c>
      <c r="Y42" s="58">
        <v>574</v>
      </c>
      <c r="Z42" s="58">
        <v>484</v>
      </c>
      <c r="AA42" s="58">
        <v>408</v>
      </c>
      <c r="AB42" s="34">
        <v>367</v>
      </c>
      <c r="AC42" s="34">
        <v>339</v>
      </c>
      <c r="AD42" s="424">
        <v>266</v>
      </c>
      <c r="AE42" s="433">
        <v>224</v>
      </c>
      <c r="AF42" s="431">
        <v>204</v>
      </c>
      <c r="AG42" s="430">
        <v>167</v>
      </c>
      <c r="AH42" s="434">
        <v>133</v>
      </c>
      <c r="AI42" s="301">
        <v>128</v>
      </c>
      <c r="AJ42" s="302">
        <v>100</v>
      </c>
      <c r="AK42" s="888">
        <v>117</v>
      </c>
      <c r="AL42" s="888"/>
      <c r="AM42" s="888"/>
      <c r="AN42" s="888"/>
      <c r="AO42" s="888"/>
      <c r="AP42" s="888"/>
      <c r="AQ42" s="1081">
        <v>127</v>
      </c>
      <c r="AR42" s="888"/>
    </row>
    <row r="43" spans="1:44" s="15" customFormat="1">
      <c r="A43" s="426" t="s">
        <v>112</v>
      </c>
      <c r="B43" s="283"/>
      <c r="C43" s="36" t="s">
        <v>1</v>
      </c>
      <c r="D43" s="36" t="s">
        <v>1</v>
      </c>
      <c r="E43" s="36" t="s">
        <v>1</v>
      </c>
      <c r="F43" s="36" t="s">
        <v>1</v>
      </c>
      <c r="G43" s="36" t="s">
        <v>1</v>
      </c>
      <c r="H43" s="36" t="s">
        <v>1</v>
      </c>
      <c r="I43" s="36" t="s">
        <v>1</v>
      </c>
      <c r="J43" s="36" t="s">
        <v>1</v>
      </c>
      <c r="K43" s="58" t="s">
        <v>1</v>
      </c>
      <c r="L43" s="58" t="s">
        <v>1</v>
      </c>
      <c r="M43" s="58" t="s">
        <v>1</v>
      </c>
      <c r="N43" s="58" t="s">
        <v>1</v>
      </c>
      <c r="O43" s="58" t="s">
        <v>1</v>
      </c>
      <c r="P43" s="58" t="s">
        <v>1</v>
      </c>
      <c r="Q43" s="58" t="s">
        <v>1</v>
      </c>
      <c r="R43" s="58" t="s">
        <v>1</v>
      </c>
      <c r="S43" s="58" t="s">
        <v>1</v>
      </c>
      <c r="T43" s="58" t="s">
        <v>1</v>
      </c>
      <c r="U43" s="58" t="s">
        <v>1</v>
      </c>
      <c r="V43" s="58" t="s">
        <v>1</v>
      </c>
      <c r="W43" s="58" t="s">
        <v>1</v>
      </c>
      <c r="X43" s="58" t="s">
        <v>1</v>
      </c>
      <c r="Y43" s="58" t="s">
        <v>1</v>
      </c>
      <c r="Z43" s="58">
        <v>3</v>
      </c>
      <c r="AA43" s="58">
        <v>23</v>
      </c>
      <c r="AB43" s="34">
        <v>72</v>
      </c>
      <c r="AC43" s="34">
        <v>60</v>
      </c>
      <c r="AD43" s="424">
        <v>50</v>
      </c>
      <c r="AE43" s="433">
        <v>44</v>
      </c>
      <c r="AF43" s="431">
        <v>34</v>
      </c>
      <c r="AG43" s="430">
        <v>30</v>
      </c>
      <c r="AH43" s="434">
        <v>28</v>
      </c>
      <c r="AI43" s="301">
        <v>32</v>
      </c>
      <c r="AJ43" s="302">
        <v>28</v>
      </c>
      <c r="AK43" s="888">
        <v>48</v>
      </c>
      <c r="AL43" s="888"/>
      <c r="AM43" s="888"/>
      <c r="AN43" s="888"/>
      <c r="AO43" s="888"/>
      <c r="AP43" s="888"/>
      <c r="AQ43" s="1081">
        <v>71</v>
      </c>
      <c r="AR43" s="888"/>
    </row>
    <row r="44" spans="1:44" s="15" customFormat="1">
      <c r="A44" s="426" t="s">
        <v>113</v>
      </c>
      <c r="B44" s="283"/>
      <c r="C44" s="36" t="s">
        <v>1</v>
      </c>
      <c r="D44" s="36" t="s">
        <v>1</v>
      </c>
      <c r="E44" s="36" t="s">
        <v>1</v>
      </c>
      <c r="F44" s="36" t="s">
        <v>1</v>
      </c>
      <c r="G44" s="36" t="s">
        <v>1</v>
      </c>
      <c r="H44" s="36" t="s">
        <v>1</v>
      </c>
      <c r="I44" s="36" t="s">
        <v>1</v>
      </c>
      <c r="J44" s="36" t="s">
        <v>1</v>
      </c>
      <c r="K44" s="58" t="s">
        <v>1</v>
      </c>
      <c r="L44" s="58" t="s">
        <v>1</v>
      </c>
      <c r="M44" s="58" t="s">
        <v>1</v>
      </c>
      <c r="N44" s="58" t="s">
        <v>1</v>
      </c>
      <c r="O44" s="58" t="s">
        <v>1</v>
      </c>
      <c r="P44" s="58" t="s">
        <v>1</v>
      </c>
      <c r="Q44" s="58" t="s">
        <v>1</v>
      </c>
      <c r="R44" s="58" t="s">
        <v>1</v>
      </c>
      <c r="S44" s="58" t="s">
        <v>1</v>
      </c>
      <c r="T44" s="58" t="s">
        <v>1</v>
      </c>
      <c r="U44" s="58" t="s">
        <v>1</v>
      </c>
      <c r="V44" s="58" t="s">
        <v>1</v>
      </c>
      <c r="W44" s="58" t="s">
        <v>1</v>
      </c>
      <c r="X44" s="58" t="s">
        <v>1</v>
      </c>
      <c r="Y44" s="58">
        <v>191</v>
      </c>
      <c r="Z44" s="58">
        <v>152</v>
      </c>
      <c r="AA44" s="58">
        <v>102</v>
      </c>
      <c r="AB44" s="34">
        <v>96</v>
      </c>
      <c r="AC44" s="34">
        <v>75</v>
      </c>
      <c r="AD44" s="424">
        <v>58</v>
      </c>
      <c r="AE44" s="433">
        <v>49</v>
      </c>
      <c r="AF44" s="431">
        <v>44</v>
      </c>
      <c r="AG44" s="430">
        <v>37</v>
      </c>
      <c r="AH44" s="434">
        <v>31</v>
      </c>
      <c r="AI44" s="301">
        <v>34</v>
      </c>
      <c r="AJ44" s="302">
        <v>25</v>
      </c>
      <c r="AK44" s="888">
        <v>44</v>
      </c>
      <c r="AL44" s="888"/>
      <c r="AM44" s="888"/>
      <c r="AN44" s="888"/>
      <c r="AO44" s="888"/>
      <c r="AP44" s="888"/>
      <c r="AQ44" s="1081">
        <v>56</v>
      </c>
      <c r="AR44" s="888"/>
    </row>
    <row r="45" spans="1:44" s="15" customFormat="1">
      <c r="A45" s="423" t="s">
        <v>141</v>
      </c>
      <c r="B45" s="283"/>
      <c r="C45" s="36"/>
      <c r="D45" s="36"/>
      <c r="E45" s="36"/>
      <c r="F45" s="36"/>
      <c r="G45" s="36"/>
      <c r="H45" s="36"/>
      <c r="I45" s="36"/>
      <c r="J45" s="36"/>
      <c r="K45" s="58"/>
      <c r="L45" s="58"/>
      <c r="M45" s="58"/>
      <c r="N45" s="58"/>
      <c r="O45" s="58"/>
      <c r="P45" s="58"/>
      <c r="Q45" s="58"/>
      <c r="R45" s="58"/>
      <c r="S45" s="58"/>
      <c r="T45" s="58"/>
      <c r="U45" s="58"/>
      <c r="V45" s="58"/>
      <c r="W45" s="58"/>
      <c r="X45" s="58"/>
      <c r="Y45" s="58"/>
      <c r="Z45" s="58"/>
      <c r="AA45" s="58"/>
      <c r="AB45" s="34"/>
      <c r="AC45" s="34"/>
      <c r="AD45" s="427"/>
      <c r="AE45" s="34"/>
      <c r="AF45" s="39"/>
      <c r="AG45" s="430"/>
      <c r="AH45" s="8"/>
      <c r="AI45" s="301"/>
      <c r="AJ45" s="302"/>
      <c r="AK45" s="888"/>
      <c r="AL45" s="888"/>
      <c r="AM45" s="888"/>
      <c r="AN45" s="888"/>
      <c r="AO45" s="888"/>
      <c r="AP45" s="888"/>
      <c r="AQ45" s="1081"/>
      <c r="AR45" s="888"/>
    </row>
    <row r="46" spans="1:44" s="15" customFormat="1">
      <c r="A46" s="423" t="s">
        <v>108</v>
      </c>
      <c r="B46" s="283"/>
      <c r="C46" s="36" t="s">
        <v>1</v>
      </c>
      <c r="D46" s="36" t="s">
        <v>1</v>
      </c>
      <c r="E46" s="36" t="s">
        <v>1</v>
      </c>
      <c r="F46" s="36" t="s">
        <v>1</v>
      </c>
      <c r="G46" s="36" t="s">
        <v>1</v>
      </c>
      <c r="H46" s="36" t="s">
        <v>1</v>
      </c>
      <c r="I46" s="36" t="s">
        <v>1</v>
      </c>
      <c r="J46" s="36" t="s">
        <v>1</v>
      </c>
      <c r="K46" s="58" t="s">
        <v>1</v>
      </c>
      <c r="L46" s="58" t="s">
        <v>1</v>
      </c>
      <c r="M46" s="58" t="s">
        <v>1</v>
      </c>
      <c r="N46" s="58" t="s">
        <v>1</v>
      </c>
      <c r="O46" s="58" t="s">
        <v>1</v>
      </c>
      <c r="P46" s="58" t="s">
        <v>1</v>
      </c>
      <c r="Q46" s="58" t="s">
        <v>1</v>
      </c>
      <c r="R46" s="58" t="s">
        <v>1</v>
      </c>
      <c r="S46" s="58" t="s">
        <v>1</v>
      </c>
      <c r="T46" s="58" t="s">
        <v>1</v>
      </c>
      <c r="U46" s="58" t="s">
        <v>1</v>
      </c>
      <c r="V46" s="58" t="s">
        <v>1</v>
      </c>
      <c r="W46" s="58" t="s">
        <v>1</v>
      </c>
      <c r="X46" s="58" t="s">
        <v>1</v>
      </c>
      <c r="Y46" s="58">
        <v>12</v>
      </c>
      <c r="Z46" s="58">
        <v>581</v>
      </c>
      <c r="AA46" s="58">
        <v>398</v>
      </c>
      <c r="AB46" s="34">
        <v>357</v>
      </c>
      <c r="AC46" s="34">
        <v>562</v>
      </c>
      <c r="AD46" s="424">
        <v>654</v>
      </c>
      <c r="AE46" s="56">
        <v>813</v>
      </c>
      <c r="AF46" s="432">
        <v>990</v>
      </c>
      <c r="AG46" s="430">
        <v>1225</v>
      </c>
      <c r="AH46" s="63">
        <v>2144</v>
      </c>
      <c r="AI46" s="301">
        <v>2760</v>
      </c>
      <c r="AJ46" s="302">
        <v>2770</v>
      </c>
      <c r="AK46" s="888">
        <v>1732</v>
      </c>
      <c r="AL46" s="888"/>
      <c r="AM46" s="888"/>
      <c r="AN46" s="888"/>
      <c r="AO46" s="888"/>
      <c r="AP46" s="888"/>
      <c r="AQ46" s="1081">
        <v>1649</v>
      </c>
      <c r="AR46" s="888"/>
    </row>
    <row r="47" spans="1:44" s="15" customFormat="1">
      <c r="A47" s="426" t="s">
        <v>109</v>
      </c>
      <c r="B47" s="283"/>
      <c r="C47" s="36" t="s">
        <v>1</v>
      </c>
      <c r="D47" s="36" t="s">
        <v>1</v>
      </c>
      <c r="E47" s="36" t="s">
        <v>1</v>
      </c>
      <c r="F47" s="36" t="s">
        <v>1</v>
      </c>
      <c r="G47" s="36" t="s">
        <v>1</v>
      </c>
      <c r="H47" s="36" t="s">
        <v>1</v>
      </c>
      <c r="I47" s="36" t="s">
        <v>1</v>
      </c>
      <c r="J47" s="36" t="s">
        <v>1</v>
      </c>
      <c r="K47" s="58" t="s">
        <v>1</v>
      </c>
      <c r="L47" s="58" t="s">
        <v>1</v>
      </c>
      <c r="M47" s="58" t="s">
        <v>1</v>
      </c>
      <c r="N47" s="58" t="s">
        <v>1</v>
      </c>
      <c r="O47" s="58" t="s">
        <v>1</v>
      </c>
      <c r="P47" s="58" t="s">
        <v>1</v>
      </c>
      <c r="Q47" s="58" t="s">
        <v>1</v>
      </c>
      <c r="R47" s="58" t="s">
        <v>1</v>
      </c>
      <c r="S47" s="58" t="s">
        <v>1</v>
      </c>
      <c r="T47" s="58" t="s">
        <v>1</v>
      </c>
      <c r="U47" s="58" t="s">
        <v>1</v>
      </c>
      <c r="V47" s="58" t="s">
        <v>1</v>
      </c>
      <c r="W47" s="58" t="s">
        <v>1</v>
      </c>
      <c r="X47" s="58" t="s">
        <v>1</v>
      </c>
      <c r="Y47" s="58" t="s">
        <v>1</v>
      </c>
      <c r="Z47" s="58" t="s">
        <v>1</v>
      </c>
      <c r="AA47" s="58">
        <v>1</v>
      </c>
      <c r="AB47" s="34">
        <v>7</v>
      </c>
      <c r="AC47" s="34">
        <v>13</v>
      </c>
      <c r="AD47" s="424">
        <v>25</v>
      </c>
      <c r="AE47" s="433">
        <v>33</v>
      </c>
      <c r="AF47" s="431">
        <v>59</v>
      </c>
      <c r="AG47" s="430">
        <v>91</v>
      </c>
      <c r="AH47" s="434">
        <v>191</v>
      </c>
      <c r="AI47" s="301">
        <v>278</v>
      </c>
      <c r="AJ47" s="302">
        <v>278</v>
      </c>
      <c r="AK47" s="888">
        <v>139</v>
      </c>
      <c r="AL47" s="888"/>
      <c r="AM47" s="888"/>
      <c r="AN47" s="888"/>
      <c r="AO47" s="888"/>
      <c r="AP47" s="888"/>
      <c r="AQ47" s="1081">
        <v>140</v>
      </c>
      <c r="AR47" s="888"/>
    </row>
    <row r="48" spans="1:44" s="15" customFormat="1">
      <c r="A48" s="426" t="s">
        <v>135</v>
      </c>
      <c r="B48" s="283"/>
      <c r="C48" s="36" t="s">
        <v>1</v>
      </c>
      <c r="D48" s="36" t="s">
        <v>1</v>
      </c>
      <c r="E48" s="36" t="s">
        <v>1</v>
      </c>
      <c r="F48" s="36" t="s">
        <v>1</v>
      </c>
      <c r="G48" s="36" t="s">
        <v>1</v>
      </c>
      <c r="H48" s="36" t="s">
        <v>1</v>
      </c>
      <c r="I48" s="36" t="s">
        <v>1</v>
      </c>
      <c r="J48" s="36" t="s">
        <v>1</v>
      </c>
      <c r="K48" s="58" t="s">
        <v>1</v>
      </c>
      <c r="L48" s="58" t="s">
        <v>1</v>
      </c>
      <c r="M48" s="58" t="s">
        <v>1</v>
      </c>
      <c r="N48" s="58" t="s">
        <v>1</v>
      </c>
      <c r="O48" s="58" t="s">
        <v>1</v>
      </c>
      <c r="P48" s="58" t="s">
        <v>1</v>
      </c>
      <c r="Q48" s="58" t="s">
        <v>1</v>
      </c>
      <c r="R48" s="58" t="s">
        <v>1</v>
      </c>
      <c r="S48" s="58" t="s">
        <v>1</v>
      </c>
      <c r="T48" s="58" t="s">
        <v>1</v>
      </c>
      <c r="U48" s="58" t="s">
        <v>1</v>
      </c>
      <c r="V48" s="58" t="s">
        <v>1</v>
      </c>
      <c r="W48" s="58" t="s">
        <v>1</v>
      </c>
      <c r="X48" s="58" t="s">
        <v>1</v>
      </c>
      <c r="Y48" s="58">
        <v>2</v>
      </c>
      <c r="Z48" s="58">
        <v>33</v>
      </c>
      <c r="AA48" s="58">
        <v>27</v>
      </c>
      <c r="AB48" s="34">
        <v>27</v>
      </c>
      <c r="AC48" s="34">
        <v>41</v>
      </c>
      <c r="AD48" s="424">
        <v>66</v>
      </c>
      <c r="AE48" s="433">
        <v>108</v>
      </c>
      <c r="AF48" s="431">
        <v>149</v>
      </c>
      <c r="AG48" s="430">
        <v>192</v>
      </c>
      <c r="AH48" s="434">
        <v>350</v>
      </c>
      <c r="AI48" s="301">
        <v>468</v>
      </c>
      <c r="AJ48" s="302">
        <v>480</v>
      </c>
      <c r="AK48" s="888">
        <v>284</v>
      </c>
      <c r="AL48" s="888"/>
      <c r="AM48" s="888"/>
      <c r="AN48" s="888"/>
      <c r="AO48" s="888"/>
      <c r="AP48" s="888"/>
      <c r="AQ48" s="1081">
        <v>263</v>
      </c>
      <c r="AR48" s="888"/>
    </row>
    <row r="49" spans="1:44" s="15" customFormat="1">
      <c r="A49" s="426" t="s">
        <v>110</v>
      </c>
      <c r="B49" s="283"/>
      <c r="C49" s="36" t="s">
        <v>1</v>
      </c>
      <c r="D49" s="36" t="s">
        <v>1</v>
      </c>
      <c r="E49" s="36" t="s">
        <v>1</v>
      </c>
      <c r="F49" s="36" t="s">
        <v>1</v>
      </c>
      <c r="G49" s="36" t="s">
        <v>1</v>
      </c>
      <c r="H49" s="36" t="s">
        <v>1</v>
      </c>
      <c r="I49" s="36" t="s">
        <v>1</v>
      </c>
      <c r="J49" s="36" t="s">
        <v>1</v>
      </c>
      <c r="K49" s="58" t="s">
        <v>1</v>
      </c>
      <c r="L49" s="58" t="s">
        <v>1</v>
      </c>
      <c r="M49" s="58" t="s">
        <v>1</v>
      </c>
      <c r="N49" s="58" t="s">
        <v>1</v>
      </c>
      <c r="O49" s="58" t="s">
        <v>1</v>
      </c>
      <c r="P49" s="58" t="s">
        <v>1</v>
      </c>
      <c r="Q49" s="58" t="s">
        <v>1</v>
      </c>
      <c r="R49" s="58" t="s">
        <v>1</v>
      </c>
      <c r="S49" s="58" t="s">
        <v>1</v>
      </c>
      <c r="T49" s="58" t="s">
        <v>1</v>
      </c>
      <c r="U49" s="58" t="s">
        <v>1</v>
      </c>
      <c r="V49" s="58" t="s">
        <v>1</v>
      </c>
      <c r="W49" s="58" t="s">
        <v>1</v>
      </c>
      <c r="X49" s="58" t="s">
        <v>1</v>
      </c>
      <c r="Y49" s="58">
        <v>1</v>
      </c>
      <c r="Z49" s="58">
        <v>7</v>
      </c>
      <c r="AA49" s="58">
        <v>5</v>
      </c>
      <c r="AB49" s="34">
        <v>11</v>
      </c>
      <c r="AC49" s="56">
        <v>37</v>
      </c>
      <c r="AD49" s="424">
        <v>54</v>
      </c>
      <c r="AE49" s="433">
        <v>71</v>
      </c>
      <c r="AF49" s="431">
        <v>97</v>
      </c>
      <c r="AG49" s="430">
        <v>138</v>
      </c>
      <c r="AH49" s="434">
        <v>295</v>
      </c>
      <c r="AI49" s="301">
        <v>396</v>
      </c>
      <c r="AJ49" s="302">
        <v>392</v>
      </c>
      <c r="AK49" s="888">
        <v>209</v>
      </c>
      <c r="AL49" s="888"/>
      <c r="AM49" s="888"/>
      <c r="AN49" s="888"/>
      <c r="AO49" s="888"/>
      <c r="AP49" s="888"/>
      <c r="AQ49" s="1081">
        <v>187</v>
      </c>
      <c r="AR49" s="888"/>
    </row>
    <row r="50" spans="1:44" s="15" customFormat="1">
      <c r="A50" s="426" t="s">
        <v>111</v>
      </c>
      <c r="B50" s="283"/>
      <c r="C50" s="36" t="s">
        <v>1</v>
      </c>
      <c r="D50" s="36" t="s">
        <v>1</v>
      </c>
      <c r="E50" s="36" t="s">
        <v>1</v>
      </c>
      <c r="F50" s="36" t="s">
        <v>1</v>
      </c>
      <c r="G50" s="36" t="s">
        <v>1</v>
      </c>
      <c r="H50" s="36" t="s">
        <v>1</v>
      </c>
      <c r="I50" s="36" t="s">
        <v>1</v>
      </c>
      <c r="J50" s="36" t="s">
        <v>1</v>
      </c>
      <c r="K50" s="58" t="s">
        <v>1</v>
      </c>
      <c r="L50" s="58" t="s">
        <v>1</v>
      </c>
      <c r="M50" s="58" t="s">
        <v>1</v>
      </c>
      <c r="N50" s="58" t="s">
        <v>1</v>
      </c>
      <c r="O50" s="58" t="s">
        <v>1</v>
      </c>
      <c r="P50" s="58" t="s">
        <v>1</v>
      </c>
      <c r="Q50" s="58" t="s">
        <v>1</v>
      </c>
      <c r="R50" s="58" t="s">
        <v>1</v>
      </c>
      <c r="S50" s="58" t="s">
        <v>1</v>
      </c>
      <c r="T50" s="58" t="s">
        <v>1</v>
      </c>
      <c r="U50" s="58" t="s">
        <v>1</v>
      </c>
      <c r="V50" s="58" t="s">
        <v>1</v>
      </c>
      <c r="W50" s="58" t="s">
        <v>1</v>
      </c>
      <c r="X50" s="58" t="s">
        <v>1</v>
      </c>
      <c r="Y50" s="58">
        <v>1</v>
      </c>
      <c r="Z50" s="58">
        <v>62</v>
      </c>
      <c r="AA50" s="58">
        <v>54</v>
      </c>
      <c r="AB50" s="34">
        <v>43</v>
      </c>
      <c r="AC50" s="56">
        <v>61</v>
      </c>
      <c r="AD50" s="424">
        <v>80</v>
      </c>
      <c r="AE50" s="433">
        <v>108</v>
      </c>
      <c r="AF50" s="431">
        <v>130</v>
      </c>
      <c r="AG50" s="430">
        <v>143</v>
      </c>
      <c r="AH50" s="434">
        <v>233</v>
      </c>
      <c r="AI50" s="301">
        <v>283</v>
      </c>
      <c r="AJ50" s="302">
        <v>295</v>
      </c>
      <c r="AK50" s="888">
        <v>201</v>
      </c>
      <c r="AL50" s="888"/>
      <c r="AM50" s="888"/>
      <c r="AN50" s="888"/>
      <c r="AO50" s="888"/>
      <c r="AP50" s="888"/>
      <c r="AQ50" s="1081">
        <v>185</v>
      </c>
      <c r="AR50" s="888"/>
    </row>
    <row r="51" spans="1:44" s="15" customFormat="1">
      <c r="A51" s="426" t="s">
        <v>388</v>
      </c>
      <c r="B51" s="283"/>
      <c r="C51" s="36" t="s">
        <v>1</v>
      </c>
      <c r="D51" s="36" t="s">
        <v>1</v>
      </c>
      <c r="E51" s="36" t="s">
        <v>1</v>
      </c>
      <c r="F51" s="36" t="s">
        <v>1</v>
      </c>
      <c r="G51" s="36" t="s">
        <v>1</v>
      </c>
      <c r="H51" s="36" t="s">
        <v>1</v>
      </c>
      <c r="I51" s="36" t="s">
        <v>1</v>
      </c>
      <c r="J51" s="36" t="s">
        <v>1</v>
      </c>
      <c r="K51" s="58" t="s">
        <v>1</v>
      </c>
      <c r="L51" s="58" t="s">
        <v>1</v>
      </c>
      <c r="M51" s="58" t="s">
        <v>1</v>
      </c>
      <c r="N51" s="58" t="s">
        <v>1</v>
      </c>
      <c r="O51" s="58" t="s">
        <v>1</v>
      </c>
      <c r="P51" s="58" t="s">
        <v>1</v>
      </c>
      <c r="Q51" s="58" t="s">
        <v>1</v>
      </c>
      <c r="R51" s="58" t="s">
        <v>1</v>
      </c>
      <c r="S51" s="58" t="s">
        <v>1</v>
      </c>
      <c r="T51" s="58" t="s">
        <v>1</v>
      </c>
      <c r="U51" s="58" t="s">
        <v>1</v>
      </c>
      <c r="V51" s="58" t="s">
        <v>1</v>
      </c>
      <c r="W51" s="58" t="s">
        <v>1</v>
      </c>
      <c r="X51" s="58" t="s">
        <v>1</v>
      </c>
      <c r="Y51" s="58">
        <v>2</v>
      </c>
      <c r="Z51" s="58">
        <v>7</v>
      </c>
      <c r="AA51" s="58">
        <v>7</v>
      </c>
      <c r="AB51" s="34">
        <v>8</v>
      </c>
      <c r="AC51" s="56">
        <v>13</v>
      </c>
      <c r="AD51" s="424">
        <v>14</v>
      </c>
      <c r="AE51" s="433">
        <v>24</v>
      </c>
      <c r="AF51" s="431">
        <v>36</v>
      </c>
      <c r="AG51" s="430">
        <v>60</v>
      </c>
      <c r="AH51" s="434">
        <v>235</v>
      </c>
      <c r="AI51" s="301">
        <v>311</v>
      </c>
      <c r="AJ51" s="302">
        <v>308</v>
      </c>
      <c r="AK51" s="888">
        <v>177</v>
      </c>
      <c r="AL51" s="888"/>
      <c r="AM51" s="888"/>
      <c r="AN51" s="888"/>
      <c r="AO51" s="888"/>
      <c r="AP51" s="888"/>
      <c r="AQ51" s="1081">
        <v>153</v>
      </c>
      <c r="AR51" s="888"/>
    </row>
    <row r="52" spans="1:44" s="15" customFormat="1">
      <c r="A52" s="426" t="s">
        <v>136</v>
      </c>
      <c r="B52" s="283"/>
      <c r="C52" s="36" t="s">
        <v>1</v>
      </c>
      <c r="D52" s="36" t="s">
        <v>1</v>
      </c>
      <c r="E52" s="36" t="s">
        <v>1</v>
      </c>
      <c r="F52" s="36" t="s">
        <v>1</v>
      </c>
      <c r="G52" s="36" t="s">
        <v>1</v>
      </c>
      <c r="H52" s="36" t="s">
        <v>1</v>
      </c>
      <c r="I52" s="36" t="s">
        <v>1</v>
      </c>
      <c r="J52" s="36" t="s">
        <v>1</v>
      </c>
      <c r="K52" s="58" t="s">
        <v>1</v>
      </c>
      <c r="L52" s="58" t="s">
        <v>1</v>
      </c>
      <c r="M52" s="58" t="s">
        <v>1</v>
      </c>
      <c r="N52" s="58" t="s">
        <v>1</v>
      </c>
      <c r="O52" s="58" t="s">
        <v>1</v>
      </c>
      <c r="P52" s="58" t="s">
        <v>1</v>
      </c>
      <c r="Q52" s="58" t="s">
        <v>1</v>
      </c>
      <c r="R52" s="58" t="s">
        <v>1</v>
      </c>
      <c r="S52" s="58" t="s">
        <v>1</v>
      </c>
      <c r="T52" s="58" t="s">
        <v>1</v>
      </c>
      <c r="U52" s="58" t="s">
        <v>1</v>
      </c>
      <c r="V52" s="58" t="s">
        <v>1</v>
      </c>
      <c r="W52" s="58" t="s">
        <v>1</v>
      </c>
      <c r="X52" s="58" t="s">
        <v>1</v>
      </c>
      <c r="Y52" s="58">
        <v>4</v>
      </c>
      <c r="Z52" s="58">
        <v>137</v>
      </c>
      <c r="AA52" s="58">
        <v>124</v>
      </c>
      <c r="AB52" s="34">
        <v>100</v>
      </c>
      <c r="AC52" s="56">
        <v>136</v>
      </c>
      <c r="AD52" s="424">
        <v>143</v>
      </c>
      <c r="AE52" s="433">
        <v>172</v>
      </c>
      <c r="AF52" s="431">
        <v>207</v>
      </c>
      <c r="AG52" s="430">
        <v>234</v>
      </c>
      <c r="AH52" s="434">
        <v>314</v>
      </c>
      <c r="AI52" s="301">
        <v>369</v>
      </c>
      <c r="AJ52" s="302">
        <v>369</v>
      </c>
      <c r="AK52" s="888">
        <v>274</v>
      </c>
      <c r="AL52" s="888"/>
      <c r="AM52" s="888"/>
      <c r="AN52" s="888"/>
      <c r="AO52" s="888"/>
      <c r="AP52" s="888"/>
      <c r="AQ52" s="1081">
        <v>275</v>
      </c>
      <c r="AR52" s="888"/>
    </row>
    <row r="53" spans="1:44" s="15" customFormat="1">
      <c r="A53" s="426" t="s">
        <v>112</v>
      </c>
      <c r="B53" s="283"/>
      <c r="C53" s="36" t="s">
        <v>1</v>
      </c>
      <c r="D53" s="36" t="s">
        <v>1</v>
      </c>
      <c r="E53" s="36" t="s">
        <v>1</v>
      </c>
      <c r="F53" s="36" t="s">
        <v>1</v>
      </c>
      <c r="G53" s="36" t="s">
        <v>1</v>
      </c>
      <c r="H53" s="36" t="s">
        <v>1</v>
      </c>
      <c r="I53" s="36" t="s">
        <v>1</v>
      </c>
      <c r="J53" s="36" t="s">
        <v>1</v>
      </c>
      <c r="K53" s="58" t="s">
        <v>1</v>
      </c>
      <c r="L53" s="58" t="s">
        <v>1</v>
      </c>
      <c r="M53" s="58" t="s">
        <v>1</v>
      </c>
      <c r="N53" s="58" t="s">
        <v>1</v>
      </c>
      <c r="O53" s="58" t="s">
        <v>1</v>
      </c>
      <c r="P53" s="58" t="s">
        <v>1</v>
      </c>
      <c r="Q53" s="58" t="s">
        <v>1</v>
      </c>
      <c r="R53" s="58" t="s">
        <v>1</v>
      </c>
      <c r="S53" s="58" t="s">
        <v>1</v>
      </c>
      <c r="T53" s="58" t="s">
        <v>1</v>
      </c>
      <c r="U53" s="58" t="s">
        <v>1</v>
      </c>
      <c r="V53" s="58" t="s">
        <v>1</v>
      </c>
      <c r="W53" s="58" t="s">
        <v>1</v>
      </c>
      <c r="X53" s="58" t="s">
        <v>1</v>
      </c>
      <c r="Y53" s="58" t="s">
        <v>1</v>
      </c>
      <c r="Z53" s="58">
        <v>298</v>
      </c>
      <c r="AA53" s="58">
        <v>156</v>
      </c>
      <c r="AB53" s="34">
        <v>152</v>
      </c>
      <c r="AC53" s="56">
        <v>241</v>
      </c>
      <c r="AD53" s="424">
        <v>247</v>
      </c>
      <c r="AE53" s="433">
        <v>253</v>
      </c>
      <c r="AF53" s="431">
        <v>255</v>
      </c>
      <c r="AG53" s="430">
        <v>281</v>
      </c>
      <c r="AH53" s="434">
        <v>377</v>
      </c>
      <c r="AI53" s="301">
        <v>443</v>
      </c>
      <c r="AJ53" s="302">
        <v>421</v>
      </c>
      <c r="AK53" s="888">
        <v>317</v>
      </c>
      <c r="AL53" s="888"/>
      <c r="AM53" s="888"/>
      <c r="AN53" s="888"/>
      <c r="AO53" s="888"/>
      <c r="AP53" s="888"/>
      <c r="AQ53" s="1081">
        <v>315</v>
      </c>
      <c r="AR53" s="888"/>
    </row>
    <row r="54" spans="1:44" s="15" customFormat="1">
      <c r="A54" s="426" t="s">
        <v>113</v>
      </c>
      <c r="B54" s="283"/>
      <c r="C54" s="36" t="s">
        <v>1</v>
      </c>
      <c r="D54" s="36" t="s">
        <v>1</v>
      </c>
      <c r="E54" s="36" t="s">
        <v>1</v>
      </c>
      <c r="F54" s="36" t="s">
        <v>1</v>
      </c>
      <c r="G54" s="36" t="s">
        <v>1</v>
      </c>
      <c r="H54" s="36" t="s">
        <v>1</v>
      </c>
      <c r="I54" s="36" t="s">
        <v>1</v>
      </c>
      <c r="J54" s="36" t="s">
        <v>1</v>
      </c>
      <c r="K54" s="58" t="s">
        <v>1</v>
      </c>
      <c r="L54" s="58" t="s">
        <v>1</v>
      </c>
      <c r="M54" s="58" t="s">
        <v>1</v>
      </c>
      <c r="N54" s="58" t="s">
        <v>1</v>
      </c>
      <c r="O54" s="58" t="s">
        <v>1</v>
      </c>
      <c r="P54" s="58" t="s">
        <v>1</v>
      </c>
      <c r="Q54" s="58" t="s">
        <v>1</v>
      </c>
      <c r="R54" s="58" t="s">
        <v>1</v>
      </c>
      <c r="S54" s="58" t="s">
        <v>1</v>
      </c>
      <c r="T54" s="58" t="s">
        <v>1</v>
      </c>
      <c r="U54" s="58" t="s">
        <v>1</v>
      </c>
      <c r="V54" s="58" t="s">
        <v>1</v>
      </c>
      <c r="W54" s="58" t="s">
        <v>1</v>
      </c>
      <c r="X54" s="58" t="s">
        <v>1</v>
      </c>
      <c r="Y54" s="58">
        <v>2</v>
      </c>
      <c r="Z54" s="58">
        <v>37</v>
      </c>
      <c r="AA54" s="58">
        <v>24</v>
      </c>
      <c r="AB54" s="34">
        <v>9</v>
      </c>
      <c r="AC54" s="56">
        <v>20</v>
      </c>
      <c r="AD54" s="424">
        <v>25</v>
      </c>
      <c r="AE54" s="433">
        <v>44</v>
      </c>
      <c r="AF54" s="431">
        <v>57</v>
      </c>
      <c r="AG54" s="430">
        <v>86</v>
      </c>
      <c r="AH54" s="434">
        <v>149</v>
      </c>
      <c r="AI54" s="301">
        <v>212</v>
      </c>
      <c r="AJ54" s="302">
        <v>227</v>
      </c>
      <c r="AK54" s="888">
        <v>131</v>
      </c>
      <c r="AL54" s="888"/>
      <c r="AM54" s="888"/>
      <c r="AN54" s="888"/>
      <c r="AO54" s="888"/>
      <c r="AP54" s="888"/>
      <c r="AQ54" s="1081">
        <v>131</v>
      </c>
      <c r="AR54" s="888"/>
    </row>
    <row r="55" spans="1:44" s="15" customFormat="1">
      <c r="A55" s="423" t="s">
        <v>137</v>
      </c>
      <c r="B55" s="283"/>
      <c r="C55" s="36"/>
      <c r="D55" s="36"/>
      <c r="E55" s="36"/>
      <c r="F55" s="36"/>
      <c r="G55" s="36"/>
      <c r="H55" s="36"/>
      <c r="I55" s="36"/>
      <c r="J55" s="36"/>
      <c r="K55" s="58"/>
      <c r="L55" s="58"/>
      <c r="M55" s="58"/>
      <c r="N55" s="58"/>
      <c r="O55" s="58"/>
      <c r="P55" s="58"/>
      <c r="Q55" s="58"/>
      <c r="R55" s="58"/>
      <c r="S55" s="58"/>
      <c r="T55" s="58"/>
      <c r="U55" s="58"/>
      <c r="V55" s="58"/>
      <c r="W55" s="58"/>
      <c r="X55" s="58"/>
      <c r="Y55" s="58">
        <v>1990</v>
      </c>
      <c r="Z55" s="58">
        <v>2398</v>
      </c>
      <c r="AA55" s="58">
        <v>2073</v>
      </c>
      <c r="AB55" s="34">
        <v>1439</v>
      </c>
      <c r="AC55" s="34">
        <v>1650</v>
      </c>
      <c r="AD55" s="424">
        <v>1393</v>
      </c>
      <c r="AE55" s="34"/>
      <c r="AF55" s="435">
        <v>1713</v>
      </c>
      <c r="AG55" s="430">
        <v>1806</v>
      </c>
      <c r="AH55" s="72">
        <v>2969</v>
      </c>
      <c r="AI55" s="301">
        <v>3977</v>
      </c>
      <c r="AJ55" s="302">
        <v>3668</v>
      </c>
      <c r="AK55" s="888">
        <v>2922</v>
      </c>
      <c r="AL55" s="888"/>
      <c r="AM55" s="888"/>
      <c r="AN55" s="888"/>
      <c r="AO55" s="888"/>
      <c r="AP55" s="888"/>
      <c r="AQ55" s="1081">
        <v>3101</v>
      </c>
      <c r="AR55" s="888"/>
    </row>
    <row r="56" spans="1:44" s="15" customFormat="1">
      <c r="A56" s="423" t="s">
        <v>139</v>
      </c>
      <c r="B56" s="283"/>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6"/>
      <c r="AF56" s="436"/>
      <c r="AG56" s="430"/>
      <c r="AH56" s="317"/>
      <c r="AI56" s="301"/>
      <c r="AJ56" s="302"/>
      <c r="AK56" s="888"/>
      <c r="AL56" s="888"/>
      <c r="AM56" s="888"/>
      <c r="AN56" s="888"/>
      <c r="AO56" s="888"/>
      <c r="AP56" s="888"/>
      <c r="AQ56" s="1081"/>
      <c r="AR56" s="888"/>
    </row>
    <row r="57" spans="1:44" s="15" customFormat="1">
      <c r="A57" s="423" t="s">
        <v>108</v>
      </c>
      <c r="B57" s="283"/>
      <c r="C57" s="36" t="s">
        <v>1</v>
      </c>
      <c r="D57" s="36" t="s">
        <v>1</v>
      </c>
      <c r="E57" s="36" t="s">
        <v>1</v>
      </c>
      <c r="F57" s="36" t="s">
        <v>1</v>
      </c>
      <c r="G57" s="36" t="s">
        <v>1</v>
      </c>
      <c r="H57" s="36" t="s">
        <v>1</v>
      </c>
      <c r="I57" s="36" t="s">
        <v>1</v>
      </c>
      <c r="J57" s="36" t="s">
        <v>1</v>
      </c>
      <c r="K57" s="58" t="s">
        <v>1</v>
      </c>
      <c r="L57" s="58" t="s">
        <v>1</v>
      </c>
      <c r="M57" s="58" t="s">
        <v>1</v>
      </c>
      <c r="N57" s="58" t="s">
        <v>1</v>
      </c>
      <c r="O57" s="58" t="s">
        <v>1</v>
      </c>
      <c r="P57" s="58" t="s">
        <v>1</v>
      </c>
      <c r="Q57" s="58" t="s">
        <v>1</v>
      </c>
      <c r="R57" s="58" t="s">
        <v>1</v>
      </c>
      <c r="S57" s="58" t="s">
        <v>1</v>
      </c>
      <c r="T57" s="58" t="s">
        <v>1</v>
      </c>
      <c r="U57" s="58" t="s">
        <v>1</v>
      </c>
      <c r="V57" s="58" t="s">
        <v>1</v>
      </c>
      <c r="W57" s="58" t="s">
        <v>1</v>
      </c>
      <c r="X57" s="58" t="s">
        <v>1</v>
      </c>
      <c r="Y57" s="58">
        <v>177</v>
      </c>
      <c r="Z57" s="58">
        <v>238</v>
      </c>
      <c r="AA57" s="58">
        <v>292</v>
      </c>
      <c r="AB57" s="34">
        <v>373</v>
      </c>
      <c r="AC57" s="34">
        <v>427</v>
      </c>
      <c r="AD57" s="424">
        <v>514</v>
      </c>
      <c r="AE57" s="433">
        <v>568</v>
      </c>
      <c r="AF57" s="432">
        <v>576</v>
      </c>
      <c r="AG57" s="430">
        <v>670</v>
      </c>
      <c r="AH57" s="434">
        <v>769</v>
      </c>
      <c r="AI57" s="301">
        <v>848</v>
      </c>
      <c r="AJ57" s="302">
        <v>823</v>
      </c>
      <c r="AK57" s="888">
        <v>835</v>
      </c>
      <c r="AL57" s="888"/>
      <c r="AM57" s="888"/>
      <c r="AN57" s="888"/>
      <c r="AO57" s="888"/>
      <c r="AP57" s="888"/>
      <c r="AQ57" s="1081">
        <v>846</v>
      </c>
      <c r="AR57" s="888"/>
    </row>
    <row r="58" spans="1:44" s="15" customFormat="1">
      <c r="A58" s="426" t="s">
        <v>109</v>
      </c>
      <c r="B58" s="283"/>
      <c r="C58" s="36" t="s">
        <v>1</v>
      </c>
      <c r="D58" s="36" t="s">
        <v>1</v>
      </c>
      <c r="E58" s="36" t="s">
        <v>1</v>
      </c>
      <c r="F58" s="36" t="s">
        <v>1</v>
      </c>
      <c r="G58" s="36" t="s">
        <v>1</v>
      </c>
      <c r="H58" s="36" t="s">
        <v>1</v>
      </c>
      <c r="I58" s="36" t="s">
        <v>1</v>
      </c>
      <c r="J58" s="36" t="s">
        <v>1</v>
      </c>
      <c r="K58" s="58" t="s">
        <v>1</v>
      </c>
      <c r="L58" s="58" t="s">
        <v>1</v>
      </c>
      <c r="M58" s="58" t="s">
        <v>1</v>
      </c>
      <c r="N58" s="58" t="s">
        <v>1</v>
      </c>
      <c r="O58" s="58" t="s">
        <v>1</v>
      </c>
      <c r="P58" s="58" t="s">
        <v>1</v>
      </c>
      <c r="Q58" s="58" t="s">
        <v>1</v>
      </c>
      <c r="R58" s="58" t="s">
        <v>1</v>
      </c>
      <c r="S58" s="58" t="s">
        <v>1</v>
      </c>
      <c r="T58" s="58" t="s">
        <v>1</v>
      </c>
      <c r="U58" s="58" t="s">
        <v>1</v>
      </c>
      <c r="V58" s="58" t="s">
        <v>1</v>
      </c>
      <c r="W58" s="58" t="s">
        <v>1</v>
      </c>
      <c r="X58" s="58" t="s">
        <v>1</v>
      </c>
      <c r="Y58" s="58">
        <v>35</v>
      </c>
      <c r="Z58" s="58">
        <v>51</v>
      </c>
      <c r="AA58" s="58">
        <v>65</v>
      </c>
      <c r="AB58" s="34">
        <v>72</v>
      </c>
      <c r="AC58" s="34">
        <v>67</v>
      </c>
      <c r="AD58" s="424">
        <v>86</v>
      </c>
      <c r="AE58" s="433">
        <v>102</v>
      </c>
      <c r="AF58" s="431">
        <v>102</v>
      </c>
      <c r="AG58" s="430">
        <v>127</v>
      </c>
      <c r="AH58" s="434">
        <v>147</v>
      </c>
      <c r="AI58" s="301">
        <v>164</v>
      </c>
      <c r="AJ58" s="302">
        <v>160</v>
      </c>
      <c r="AK58" s="888">
        <v>167</v>
      </c>
      <c r="AL58" s="888"/>
      <c r="AM58" s="888"/>
      <c r="AN58" s="888"/>
      <c r="AO58" s="888"/>
      <c r="AP58" s="888"/>
      <c r="AQ58" s="1081">
        <v>177</v>
      </c>
      <c r="AR58" s="888"/>
    </row>
    <row r="59" spans="1:44" s="15" customFormat="1">
      <c r="A59" s="426" t="s">
        <v>135</v>
      </c>
      <c r="B59" s="283"/>
      <c r="C59" s="36" t="s">
        <v>1</v>
      </c>
      <c r="D59" s="36" t="s">
        <v>1</v>
      </c>
      <c r="E59" s="36" t="s">
        <v>1</v>
      </c>
      <c r="F59" s="36" t="s">
        <v>1</v>
      </c>
      <c r="G59" s="36" t="s">
        <v>1</v>
      </c>
      <c r="H59" s="36" t="s">
        <v>1</v>
      </c>
      <c r="I59" s="36" t="s">
        <v>1</v>
      </c>
      <c r="J59" s="36" t="s">
        <v>1</v>
      </c>
      <c r="K59" s="58" t="s">
        <v>1</v>
      </c>
      <c r="L59" s="58" t="s">
        <v>1</v>
      </c>
      <c r="M59" s="58" t="s">
        <v>1</v>
      </c>
      <c r="N59" s="58" t="s">
        <v>1</v>
      </c>
      <c r="O59" s="58" t="s">
        <v>1</v>
      </c>
      <c r="P59" s="58" t="s">
        <v>1</v>
      </c>
      <c r="Q59" s="58" t="s">
        <v>1</v>
      </c>
      <c r="R59" s="58" t="s">
        <v>1</v>
      </c>
      <c r="S59" s="58" t="s">
        <v>1</v>
      </c>
      <c r="T59" s="58" t="s">
        <v>1</v>
      </c>
      <c r="U59" s="58" t="s">
        <v>1</v>
      </c>
      <c r="V59" s="58" t="s">
        <v>1</v>
      </c>
      <c r="W59" s="58" t="s">
        <v>1</v>
      </c>
      <c r="X59" s="58" t="s">
        <v>1</v>
      </c>
      <c r="Y59" s="58">
        <v>5</v>
      </c>
      <c r="Z59" s="58">
        <v>9</v>
      </c>
      <c r="AA59" s="58">
        <v>6</v>
      </c>
      <c r="AB59" s="34">
        <v>13</v>
      </c>
      <c r="AC59" s="34">
        <v>22</v>
      </c>
      <c r="AD59" s="424">
        <v>26</v>
      </c>
      <c r="AE59" s="433">
        <v>26</v>
      </c>
      <c r="AF59" s="431">
        <v>23</v>
      </c>
      <c r="AG59" s="430">
        <v>39</v>
      </c>
      <c r="AH59" s="434">
        <v>47</v>
      </c>
      <c r="AI59" s="301">
        <v>53</v>
      </c>
      <c r="AJ59" s="302">
        <v>55</v>
      </c>
      <c r="AK59" s="888">
        <v>61</v>
      </c>
      <c r="AL59" s="888"/>
      <c r="AM59" s="888"/>
      <c r="AN59" s="888"/>
      <c r="AO59" s="888"/>
      <c r="AP59" s="888"/>
      <c r="AQ59" s="1081">
        <v>61</v>
      </c>
      <c r="AR59" s="888"/>
    </row>
    <row r="60" spans="1:44" s="15" customFormat="1">
      <c r="A60" s="426" t="s">
        <v>110</v>
      </c>
      <c r="B60" s="283"/>
      <c r="C60" s="36" t="s">
        <v>1</v>
      </c>
      <c r="D60" s="36" t="s">
        <v>1</v>
      </c>
      <c r="E60" s="36" t="s">
        <v>1</v>
      </c>
      <c r="F60" s="36" t="s">
        <v>1</v>
      </c>
      <c r="G60" s="36" t="s">
        <v>1</v>
      </c>
      <c r="H60" s="36" t="s">
        <v>1</v>
      </c>
      <c r="I60" s="36" t="s">
        <v>1</v>
      </c>
      <c r="J60" s="36" t="s">
        <v>1</v>
      </c>
      <c r="K60" s="58" t="s">
        <v>1</v>
      </c>
      <c r="L60" s="58" t="s">
        <v>1</v>
      </c>
      <c r="M60" s="58" t="s">
        <v>1</v>
      </c>
      <c r="N60" s="58" t="s">
        <v>1</v>
      </c>
      <c r="O60" s="58" t="s">
        <v>1</v>
      </c>
      <c r="P60" s="58" t="s">
        <v>1</v>
      </c>
      <c r="Q60" s="58" t="s">
        <v>1</v>
      </c>
      <c r="R60" s="58" t="s">
        <v>1</v>
      </c>
      <c r="S60" s="58" t="s">
        <v>1</v>
      </c>
      <c r="T60" s="58" t="s">
        <v>1</v>
      </c>
      <c r="U60" s="58" t="s">
        <v>1</v>
      </c>
      <c r="V60" s="58" t="s">
        <v>1</v>
      </c>
      <c r="W60" s="58" t="s">
        <v>1</v>
      </c>
      <c r="X60" s="58" t="s">
        <v>1</v>
      </c>
      <c r="Y60" s="58">
        <v>39</v>
      </c>
      <c r="Z60" s="58">
        <v>50</v>
      </c>
      <c r="AA60" s="58">
        <v>59</v>
      </c>
      <c r="AB60" s="34">
        <v>66</v>
      </c>
      <c r="AC60" s="56">
        <v>73</v>
      </c>
      <c r="AD60" s="424">
        <v>83</v>
      </c>
      <c r="AE60" s="433">
        <v>87</v>
      </c>
      <c r="AF60" s="431">
        <v>89</v>
      </c>
      <c r="AG60" s="430">
        <v>96</v>
      </c>
      <c r="AH60" s="434">
        <v>111</v>
      </c>
      <c r="AI60" s="301">
        <v>121</v>
      </c>
      <c r="AJ60" s="302">
        <v>106</v>
      </c>
      <c r="AK60" s="888">
        <v>117</v>
      </c>
      <c r="AL60" s="888"/>
      <c r="AM60" s="888"/>
      <c r="AN60" s="888"/>
      <c r="AO60" s="888"/>
      <c r="AP60" s="888"/>
      <c r="AQ60" s="1081">
        <v>113</v>
      </c>
      <c r="AR60" s="888"/>
    </row>
    <row r="61" spans="1:44" s="15" customFormat="1">
      <c r="A61" s="426" t="s">
        <v>111</v>
      </c>
      <c r="B61" s="283"/>
      <c r="C61" s="36" t="s">
        <v>1</v>
      </c>
      <c r="D61" s="36" t="s">
        <v>1</v>
      </c>
      <c r="E61" s="36" t="s">
        <v>1</v>
      </c>
      <c r="F61" s="36" t="s">
        <v>1</v>
      </c>
      <c r="G61" s="36" t="s">
        <v>1</v>
      </c>
      <c r="H61" s="36" t="s">
        <v>1</v>
      </c>
      <c r="I61" s="36" t="s">
        <v>1</v>
      </c>
      <c r="J61" s="36" t="s">
        <v>1</v>
      </c>
      <c r="K61" s="58" t="s">
        <v>1</v>
      </c>
      <c r="L61" s="58" t="s">
        <v>1</v>
      </c>
      <c r="M61" s="58" t="s">
        <v>1</v>
      </c>
      <c r="N61" s="58" t="s">
        <v>1</v>
      </c>
      <c r="O61" s="58" t="s">
        <v>1</v>
      </c>
      <c r="P61" s="58" t="s">
        <v>1</v>
      </c>
      <c r="Q61" s="58" t="s">
        <v>1</v>
      </c>
      <c r="R61" s="58" t="s">
        <v>1</v>
      </c>
      <c r="S61" s="58" t="s">
        <v>1</v>
      </c>
      <c r="T61" s="58" t="s">
        <v>1</v>
      </c>
      <c r="U61" s="58" t="s">
        <v>1</v>
      </c>
      <c r="V61" s="58" t="s">
        <v>1</v>
      </c>
      <c r="W61" s="58" t="s">
        <v>1</v>
      </c>
      <c r="X61" s="58" t="s">
        <v>1</v>
      </c>
      <c r="Y61" s="58">
        <v>39</v>
      </c>
      <c r="Z61" s="58">
        <v>54</v>
      </c>
      <c r="AA61" s="58">
        <v>65</v>
      </c>
      <c r="AB61" s="34">
        <v>93</v>
      </c>
      <c r="AC61" s="56">
        <v>100</v>
      </c>
      <c r="AD61" s="424">
        <v>119</v>
      </c>
      <c r="AE61" s="433">
        <v>134</v>
      </c>
      <c r="AF61" s="431">
        <v>143</v>
      </c>
      <c r="AG61" s="430">
        <v>161</v>
      </c>
      <c r="AH61" s="434">
        <v>182</v>
      </c>
      <c r="AI61" s="301">
        <v>174</v>
      </c>
      <c r="AJ61" s="302">
        <v>188</v>
      </c>
      <c r="AK61" s="888">
        <v>187</v>
      </c>
      <c r="AL61" s="888"/>
      <c r="AM61" s="888"/>
      <c r="AN61" s="888"/>
      <c r="AO61" s="888"/>
      <c r="AP61" s="888"/>
      <c r="AQ61" s="1081">
        <v>186</v>
      </c>
      <c r="AR61" s="888"/>
    </row>
    <row r="62" spans="1:44" s="15" customFormat="1">
      <c r="A62" s="426" t="s">
        <v>388</v>
      </c>
      <c r="B62" s="283"/>
      <c r="C62" s="36" t="s">
        <v>1</v>
      </c>
      <c r="D62" s="36" t="s">
        <v>1</v>
      </c>
      <c r="E62" s="36" t="s">
        <v>1</v>
      </c>
      <c r="F62" s="36" t="s">
        <v>1</v>
      </c>
      <c r="G62" s="36" t="s">
        <v>1</v>
      </c>
      <c r="H62" s="36" t="s">
        <v>1</v>
      </c>
      <c r="I62" s="36" t="s">
        <v>1</v>
      </c>
      <c r="J62" s="36" t="s">
        <v>1</v>
      </c>
      <c r="K62" s="58" t="s">
        <v>1</v>
      </c>
      <c r="L62" s="58" t="s">
        <v>1</v>
      </c>
      <c r="M62" s="58" t="s">
        <v>1</v>
      </c>
      <c r="N62" s="58" t="s">
        <v>1</v>
      </c>
      <c r="O62" s="58" t="s">
        <v>1</v>
      </c>
      <c r="P62" s="58" t="s">
        <v>1</v>
      </c>
      <c r="Q62" s="58" t="s">
        <v>1</v>
      </c>
      <c r="R62" s="58" t="s">
        <v>1</v>
      </c>
      <c r="S62" s="58" t="s">
        <v>1</v>
      </c>
      <c r="T62" s="58" t="s">
        <v>1</v>
      </c>
      <c r="U62" s="58" t="s">
        <v>1</v>
      </c>
      <c r="V62" s="58" t="s">
        <v>1</v>
      </c>
      <c r="W62" s="58" t="s">
        <v>1</v>
      </c>
      <c r="X62" s="58" t="s">
        <v>1</v>
      </c>
      <c r="Y62" s="58">
        <v>16</v>
      </c>
      <c r="Z62" s="58">
        <v>15</v>
      </c>
      <c r="AA62" s="58">
        <v>23</v>
      </c>
      <c r="AB62" s="34">
        <v>26</v>
      </c>
      <c r="AC62" s="56">
        <v>31</v>
      </c>
      <c r="AD62" s="424">
        <v>43</v>
      </c>
      <c r="AE62" s="433">
        <v>42</v>
      </c>
      <c r="AF62" s="431">
        <v>43</v>
      </c>
      <c r="AG62" s="430">
        <v>48</v>
      </c>
      <c r="AH62" s="434">
        <v>52</v>
      </c>
      <c r="AI62" s="301">
        <v>57</v>
      </c>
      <c r="AJ62" s="302">
        <v>51</v>
      </c>
      <c r="AK62" s="888">
        <v>51</v>
      </c>
      <c r="AL62" s="888"/>
      <c r="AM62" s="888"/>
      <c r="AN62" s="888"/>
      <c r="AO62" s="888"/>
      <c r="AP62" s="888"/>
      <c r="AQ62" s="1081">
        <v>51</v>
      </c>
      <c r="AR62" s="888"/>
    </row>
    <row r="63" spans="1:44" s="15" customFormat="1">
      <c r="A63" s="426" t="s">
        <v>136</v>
      </c>
      <c r="B63" s="283"/>
      <c r="C63" s="36" t="s">
        <v>1</v>
      </c>
      <c r="D63" s="36" t="s">
        <v>1</v>
      </c>
      <c r="E63" s="36" t="s">
        <v>1</v>
      </c>
      <c r="F63" s="36" t="s">
        <v>1</v>
      </c>
      <c r="G63" s="36" t="s">
        <v>1</v>
      </c>
      <c r="H63" s="36" t="s">
        <v>1</v>
      </c>
      <c r="I63" s="36" t="s">
        <v>1</v>
      </c>
      <c r="J63" s="36" t="s">
        <v>1</v>
      </c>
      <c r="K63" s="58" t="s">
        <v>1</v>
      </c>
      <c r="L63" s="58" t="s">
        <v>1</v>
      </c>
      <c r="M63" s="58" t="s">
        <v>1</v>
      </c>
      <c r="N63" s="58" t="s">
        <v>1</v>
      </c>
      <c r="O63" s="58" t="s">
        <v>1</v>
      </c>
      <c r="P63" s="58" t="s">
        <v>1</v>
      </c>
      <c r="Q63" s="58" t="s">
        <v>1</v>
      </c>
      <c r="R63" s="58" t="s">
        <v>1</v>
      </c>
      <c r="S63" s="58" t="s">
        <v>1</v>
      </c>
      <c r="T63" s="58" t="s">
        <v>1</v>
      </c>
      <c r="U63" s="58" t="s">
        <v>1</v>
      </c>
      <c r="V63" s="58" t="s">
        <v>1</v>
      </c>
      <c r="W63" s="58" t="s">
        <v>1</v>
      </c>
      <c r="X63" s="58" t="s">
        <v>1</v>
      </c>
      <c r="Y63" s="58">
        <v>31</v>
      </c>
      <c r="Z63" s="58">
        <v>37</v>
      </c>
      <c r="AA63" s="58">
        <v>49</v>
      </c>
      <c r="AB63" s="34">
        <v>57</v>
      </c>
      <c r="AC63" s="56">
        <v>87</v>
      </c>
      <c r="AD63" s="424">
        <v>107</v>
      </c>
      <c r="AE63" s="433">
        <v>121</v>
      </c>
      <c r="AF63" s="431">
        <v>122</v>
      </c>
      <c r="AG63" s="430">
        <v>136</v>
      </c>
      <c r="AH63" s="434">
        <v>152</v>
      </c>
      <c r="AI63" s="301">
        <v>181</v>
      </c>
      <c r="AJ63" s="302">
        <v>165</v>
      </c>
      <c r="AK63" s="888">
        <v>160</v>
      </c>
      <c r="AL63" s="888"/>
      <c r="AM63" s="888"/>
      <c r="AN63" s="888"/>
      <c r="AO63" s="888"/>
      <c r="AP63" s="888"/>
      <c r="AQ63" s="1081">
        <v>161</v>
      </c>
      <c r="AR63" s="888"/>
    </row>
    <row r="64" spans="1:44" s="15" customFormat="1">
      <c r="A64" s="426" t="s">
        <v>112</v>
      </c>
      <c r="B64" s="283"/>
      <c r="C64" s="36" t="s">
        <v>1</v>
      </c>
      <c r="D64" s="36" t="s">
        <v>1</v>
      </c>
      <c r="E64" s="36" t="s">
        <v>1</v>
      </c>
      <c r="F64" s="36" t="s">
        <v>1</v>
      </c>
      <c r="G64" s="36" t="s">
        <v>1</v>
      </c>
      <c r="H64" s="36" t="s">
        <v>1</v>
      </c>
      <c r="I64" s="36" t="s">
        <v>1</v>
      </c>
      <c r="J64" s="36" t="s">
        <v>1</v>
      </c>
      <c r="K64" s="58" t="s">
        <v>1</v>
      </c>
      <c r="L64" s="58" t="s">
        <v>1</v>
      </c>
      <c r="M64" s="58" t="s">
        <v>1</v>
      </c>
      <c r="N64" s="58" t="s">
        <v>1</v>
      </c>
      <c r="O64" s="58" t="s">
        <v>1</v>
      </c>
      <c r="P64" s="58" t="s">
        <v>1</v>
      </c>
      <c r="Q64" s="58" t="s">
        <v>1</v>
      </c>
      <c r="R64" s="58" t="s">
        <v>1</v>
      </c>
      <c r="S64" s="58" t="s">
        <v>1</v>
      </c>
      <c r="T64" s="58" t="s">
        <v>1</v>
      </c>
      <c r="U64" s="58" t="s">
        <v>1</v>
      </c>
      <c r="V64" s="58" t="s">
        <v>1</v>
      </c>
      <c r="W64" s="58" t="s">
        <v>1</v>
      </c>
      <c r="X64" s="58" t="s">
        <v>1</v>
      </c>
      <c r="Y64" s="58" t="s">
        <v>1</v>
      </c>
      <c r="Z64" s="58">
        <v>4</v>
      </c>
      <c r="AA64" s="58">
        <v>8</v>
      </c>
      <c r="AB64" s="34">
        <v>17</v>
      </c>
      <c r="AC64" s="56">
        <v>20</v>
      </c>
      <c r="AD64" s="424">
        <v>14</v>
      </c>
      <c r="AE64" s="433">
        <v>18</v>
      </c>
      <c r="AF64" s="431">
        <v>22</v>
      </c>
      <c r="AG64" s="430">
        <v>25</v>
      </c>
      <c r="AH64" s="434">
        <v>38</v>
      </c>
      <c r="AI64" s="301">
        <v>53</v>
      </c>
      <c r="AJ64" s="302">
        <v>51</v>
      </c>
      <c r="AK64" s="888">
        <v>54</v>
      </c>
      <c r="AL64" s="888"/>
      <c r="AM64" s="888"/>
      <c r="AN64" s="888"/>
      <c r="AO64" s="888"/>
      <c r="AP64" s="888"/>
      <c r="AQ64" s="1081">
        <v>57</v>
      </c>
      <c r="AR64" s="888"/>
    </row>
    <row r="65" spans="1:44" s="15" customFormat="1">
      <c r="A65" s="426" t="s">
        <v>113</v>
      </c>
      <c r="B65" s="283"/>
      <c r="C65" s="36" t="s">
        <v>1</v>
      </c>
      <c r="D65" s="36" t="s">
        <v>1</v>
      </c>
      <c r="E65" s="36" t="s">
        <v>1</v>
      </c>
      <c r="F65" s="36" t="s">
        <v>1</v>
      </c>
      <c r="G65" s="36" t="s">
        <v>1</v>
      </c>
      <c r="H65" s="36" t="s">
        <v>1</v>
      </c>
      <c r="I65" s="36" t="s">
        <v>1</v>
      </c>
      <c r="J65" s="36" t="s">
        <v>1</v>
      </c>
      <c r="K65" s="58" t="s">
        <v>1</v>
      </c>
      <c r="L65" s="58" t="s">
        <v>1</v>
      </c>
      <c r="M65" s="58" t="s">
        <v>1</v>
      </c>
      <c r="N65" s="58" t="s">
        <v>1</v>
      </c>
      <c r="O65" s="58" t="s">
        <v>1</v>
      </c>
      <c r="P65" s="58" t="s">
        <v>1</v>
      </c>
      <c r="Q65" s="58" t="s">
        <v>1</v>
      </c>
      <c r="R65" s="58" t="s">
        <v>1</v>
      </c>
      <c r="S65" s="58" t="s">
        <v>1</v>
      </c>
      <c r="T65" s="58" t="s">
        <v>1</v>
      </c>
      <c r="U65" s="58" t="s">
        <v>1</v>
      </c>
      <c r="V65" s="58" t="s">
        <v>1</v>
      </c>
      <c r="W65" s="58" t="s">
        <v>1</v>
      </c>
      <c r="X65" s="58" t="s">
        <v>1</v>
      </c>
      <c r="Y65" s="58">
        <v>12</v>
      </c>
      <c r="Z65" s="58">
        <v>18</v>
      </c>
      <c r="AA65" s="58">
        <v>17</v>
      </c>
      <c r="AB65" s="34">
        <v>29</v>
      </c>
      <c r="AC65" s="56">
        <v>27</v>
      </c>
      <c r="AD65" s="424">
        <v>36</v>
      </c>
      <c r="AE65" s="433">
        <v>38</v>
      </c>
      <c r="AF65" s="431">
        <v>32</v>
      </c>
      <c r="AG65" s="430">
        <v>38</v>
      </c>
      <c r="AH65" s="434">
        <v>40</v>
      </c>
      <c r="AI65" s="301">
        <v>45</v>
      </c>
      <c r="AJ65" s="302">
        <v>47</v>
      </c>
      <c r="AK65" s="888">
        <v>38</v>
      </c>
      <c r="AL65" s="888"/>
      <c r="AM65" s="888"/>
      <c r="AN65" s="888"/>
      <c r="AO65" s="888"/>
      <c r="AP65" s="888"/>
      <c r="AQ65" s="1081">
        <v>40</v>
      </c>
      <c r="AR65" s="888"/>
    </row>
    <row r="66" spans="1:44" s="15" customFormat="1">
      <c r="A66" s="423" t="s">
        <v>140</v>
      </c>
      <c r="B66" s="283"/>
      <c r="C66" s="36"/>
      <c r="D66" s="36"/>
      <c r="E66" s="36"/>
      <c r="F66" s="36"/>
      <c r="G66" s="36"/>
      <c r="H66" s="36"/>
      <c r="I66" s="36"/>
      <c r="J66" s="36"/>
      <c r="K66" s="58"/>
      <c r="L66" s="58"/>
      <c r="M66" s="58"/>
      <c r="N66" s="58"/>
      <c r="O66" s="58"/>
      <c r="P66" s="58"/>
      <c r="Q66" s="58"/>
      <c r="R66" s="58"/>
      <c r="S66" s="58"/>
      <c r="T66" s="58"/>
      <c r="U66" s="58"/>
      <c r="V66" s="58"/>
      <c r="W66" s="58"/>
      <c r="X66" s="58"/>
      <c r="Y66" s="58"/>
      <c r="Z66" s="58"/>
      <c r="AA66" s="58"/>
      <c r="AB66" s="34"/>
      <c r="AC66" s="34"/>
      <c r="AD66" s="427"/>
      <c r="AE66" s="32"/>
      <c r="AF66" s="437"/>
      <c r="AG66" s="430"/>
      <c r="AH66" s="172"/>
      <c r="AI66" s="301"/>
      <c r="AJ66" s="302"/>
      <c r="AK66" s="888"/>
      <c r="AL66" s="888"/>
      <c r="AM66" s="888"/>
      <c r="AN66" s="888"/>
      <c r="AO66" s="888"/>
      <c r="AP66" s="888"/>
      <c r="AQ66" s="1081"/>
      <c r="AR66" s="888"/>
    </row>
    <row r="67" spans="1:44" s="15" customFormat="1">
      <c r="A67" s="423" t="s">
        <v>108</v>
      </c>
      <c r="B67" s="283"/>
      <c r="C67" s="36" t="s">
        <v>1</v>
      </c>
      <c r="D67" s="36" t="s">
        <v>1</v>
      </c>
      <c r="E67" s="36" t="s">
        <v>1</v>
      </c>
      <c r="F67" s="36" t="s">
        <v>1</v>
      </c>
      <c r="G67" s="36" t="s">
        <v>1</v>
      </c>
      <c r="H67" s="36" t="s">
        <v>1</v>
      </c>
      <c r="I67" s="36" t="s">
        <v>1</v>
      </c>
      <c r="J67" s="36" t="s">
        <v>1</v>
      </c>
      <c r="K67" s="58" t="s">
        <v>1</v>
      </c>
      <c r="L67" s="58" t="s">
        <v>1</v>
      </c>
      <c r="M67" s="58" t="s">
        <v>1</v>
      </c>
      <c r="N67" s="58" t="s">
        <v>1</v>
      </c>
      <c r="O67" s="58" t="s">
        <v>1</v>
      </c>
      <c r="P67" s="58" t="s">
        <v>1</v>
      </c>
      <c r="Q67" s="58" t="s">
        <v>1</v>
      </c>
      <c r="R67" s="58" t="s">
        <v>1</v>
      </c>
      <c r="S67" s="58" t="s">
        <v>1</v>
      </c>
      <c r="T67" s="58" t="s">
        <v>1</v>
      </c>
      <c r="U67" s="58" t="s">
        <v>1</v>
      </c>
      <c r="V67" s="58" t="s">
        <v>1</v>
      </c>
      <c r="W67" s="58" t="s">
        <v>1</v>
      </c>
      <c r="X67" s="58" t="s">
        <v>1</v>
      </c>
      <c r="Y67" s="58">
        <v>1801</v>
      </c>
      <c r="Z67" s="58">
        <v>1632</v>
      </c>
      <c r="AA67" s="58">
        <v>1410</v>
      </c>
      <c r="AB67" s="34">
        <v>887</v>
      </c>
      <c r="AC67" s="34">
        <v>760</v>
      </c>
      <c r="AD67" s="424">
        <v>427</v>
      </c>
      <c r="AE67" s="58">
        <v>397</v>
      </c>
      <c r="AF67" s="432">
        <v>354</v>
      </c>
      <c r="AG67" s="430">
        <v>208</v>
      </c>
      <c r="AH67" s="7">
        <v>259</v>
      </c>
      <c r="AI67" s="301">
        <v>442</v>
      </c>
      <c r="AJ67" s="302">
        <v>358</v>
      </c>
      <c r="AK67" s="888">
        <v>474</v>
      </c>
      <c r="AL67" s="888"/>
      <c r="AM67" s="888"/>
      <c r="AN67" s="888"/>
      <c r="AO67" s="888"/>
      <c r="AP67" s="888"/>
      <c r="AQ67" s="1081">
        <v>717</v>
      </c>
      <c r="AR67" s="888"/>
    </row>
    <row r="68" spans="1:44" s="15" customFormat="1">
      <c r="A68" s="426" t="s">
        <v>109</v>
      </c>
      <c r="B68" s="283"/>
      <c r="C68" s="36" t="s">
        <v>1</v>
      </c>
      <c r="D68" s="36" t="s">
        <v>1</v>
      </c>
      <c r="E68" s="36" t="s">
        <v>1</v>
      </c>
      <c r="F68" s="36" t="s">
        <v>1</v>
      </c>
      <c r="G68" s="36" t="s">
        <v>1</v>
      </c>
      <c r="H68" s="36" t="s">
        <v>1</v>
      </c>
      <c r="I68" s="36" t="s">
        <v>1</v>
      </c>
      <c r="J68" s="36" t="s">
        <v>1</v>
      </c>
      <c r="K68" s="58" t="s">
        <v>1</v>
      </c>
      <c r="L68" s="58" t="s">
        <v>1</v>
      </c>
      <c r="M68" s="58" t="s">
        <v>1</v>
      </c>
      <c r="N68" s="58" t="s">
        <v>1</v>
      </c>
      <c r="O68" s="58" t="s">
        <v>1</v>
      </c>
      <c r="P68" s="58" t="s">
        <v>1</v>
      </c>
      <c r="Q68" s="58" t="s">
        <v>1</v>
      </c>
      <c r="R68" s="58" t="s">
        <v>1</v>
      </c>
      <c r="S68" s="58" t="s">
        <v>1</v>
      </c>
      <c r="T68" s="58" t="s">
        <v>1</v>
      </c>
      <c r="U68" s="58" t="s">
        <v>1</v>
      </c>
      <c r="V68" s="58" t="s">
        <v>1</v>
      </c>
      <c r="W68" s="58" t="s">
        <v>1</v>
      </c>
      <c r="X68" s="58" t="s">
        <v>1</v>
      </c>
      <c r="Y68" s="58">
        <v>307</v>
      </c>
      <c r="Z68" s="58">
        <v>221</v>
      </c>
      <c r="AA68" s="58">
        <v>190</v>
      </c>
      <c r="AB68" s="34">
        <v>102</v>
      </c>
      <c r="AC68" s="34">
        <v>77</v>
      </c>
      <c r="AD68" s="424">
        <v>37</v>
      </c>
      <c r="AE68" s="433">
        <v>35</v>
      </c>
      <c r="AF68" s="431">
        <v>28</v>
      </c>
      <c r="AG68" s="430">
        <v>18</v>
      </c>
      <c r="AH68" s="434">
        <v>23</v>
      </c>
      <c r="AI68" s="301">
        <v>43</v>
      </c>
      <c r="AJ68" s="302">
        <v>37</v>
      </c>
      <c r="AK68" s="888">
        <v>49</v>
      </c>
      <c r="AL68" s="888"/>
      <c r="AM68" s="888"/>
      <c r="AN68" s="888"/>
      <c r="AO68" s="888"/>
      <c r="AP68" s="888"/>
      <c r="AQ68" s="1081">
        <v>82</v>
      </c>
      <c r="AR68" s="888"/>
    </row>
    <row r="69" spans="1:44" s="15" customFormat="1">
      <c r="A69" s="426" t="s">
        <v>135</v>
      </c>
      <c r="B69" s="283"/>
      <c r="C69" s="36" t="s">
        <v>1</v>
      </c>
      <c r="D69" s="36" t="s">
        <v>1</v>
      </c>
      <c r="E69" s="36" t="s">
        <v>1</v>
      </c>
      <c r="F69" s="36" t="s">
        <v>1</v>
      </c>
      <c r="G69" s="36" t="s">
        <v>1</v>
      </c>
      <c r="H69" s="36" t="s">
        <v>1</v>
      </c>
      <c r="I69" s="36" t="s">
        <v>1</v>
      </c>
      <c r="J69" s="36" t="s">
        <v>1</v>
      </c>
      <c r="K69" s="58" t="s">
        <v>1</v>
      </c>
      <c r="L69" s="58" t="s">
        <v>1</v>
      </c>
      <c r="M69" s="58" t="s">
        <v>1</v>
      </c>
      <c r="N69" s="58" t="s">
        <v>1</v>
      </c>
      <c r="O69" s="58" t="s">
        <v>1</v>
      </c>
      <c r="P69" s="58" t="s">
        <v>1</v>
      </c>
      <c r="Q69" s="58" t="s">
        <v>1</v>
      </c>
      <c r="R69" s="58" t="s">
        <v>1</v>
      </c>
      <c r="S69" s="58" t="s">
        <v>1</v>
      </c>
      <c r="T69" s="58" t="s">
        <v>1</v>
      </c>
      <c r="U69" s="58" t="s">
        <v>1</v>
      </c>
      <c r="V69" s="58" t="s">
        <v>1</v>
      </c>
      <c r="W69" s="58" t="s">
        <v>1</v>
      </c>
      <c r="X69" s="58" t="s">
        <v>1</v>
      </c>
      <c r="Y69" s="58">
        <v>92</v>
      </c>
      <c r="Z69" s="58">
        <v>144</v>
      </c>
      <c r="AA69" s="58">
        <v>148</v>
      </c>
      <c r="AB69" s="34">
        <v>90</v>
      </c>
      <c r="AC69" s="34">
        <v>76</v>
      </c>
      <c r="AD69" s="424">
        <v>45</v>
      </c>
      <c r="AE69" s="433">
        <v>37</v>
      </c>
      <c r="AF69" s="431">
        <v>34</v>
      </c>
      <c r="AG69" s="430">
        <v>23</v>
      </c>
      <c r="AH69" s="434">
        <v>27</v>
      </c>
      <c r="AI69" s="301">
        <v>55</v>
      </c>
      <c r="AJ69" s="302">
        <v>46</v>
      </c>
      <c r="AK69" s="888">
        <v>76</v>
      </c>
      <c r="AL69" s="888"/>
      <c r="AM69" s="888"/>
      <c r="AN69" s="888"/>
      <c r="AO69" s="888"/>
      <c r="AP69" s="888"/>
      <c r="AQ69" s="1081">
        <v>147</v>
      </c>
      <c r="AR69" s="888"/>
    </row>
    <row r="70" spans="1:44" s="15" customFormat="1">
      <c r="A70" s="426" t="s">
        <v>110</v>
      </c>
      <c r="B70" s="283"/>
      <c r="C70" s="36" t="s">
        <v>1</v>
      </c>
      <c r="D70" s="36" t="s">
        <v>1</v>
      </c>
      <c r="E70" s="36" t="s">
        <v>1</v>
      </c>
      <c r="F70" s="36" t="s">
        <v>1</v>
      </c>
      <c r="G70" s="36" t="s">
        <v>1</v>
      </c>
      <c r="H70" s="36" t="s">
        <v>1</v>
      </c>
      <c r="I70" s="36" t="s">
        <v>1</v>
      </c>
      <c r="J70" s="36" t="s">
        <v>1</v>
      </c>
      <c r="K70" s="58" t="s">
        <v>1</v>
      </c>
      <c r="L70" s="58" t="s">
        <v>1</v>
      </c>
      <c r="M70" s="58" t="s">
        <v>1</v>
      </c>
      <c r="N70" s="58" t="s">
        <v>1</v>
      </c>
      <c r="O70" s="58" t="s">
        <v>1</v>
      </c>
      <c r="P70" s="58" t="s">
        <v>1</v>
      </c>
      <c r="Q70" s="58" t="s">
        <v>1</v>
      </c>
      <c r="R70" s="58" t="s">
        <v>1</v>
      </c>
      <c r="S70" s="58" t="s">
        <v>1</v>
      </c>
      <c r="T70" s="58" t="s">
        <v>1</v>
      </c>
      <c r="U70" s="58" t="s">
        <v>1</v>
      </c>
      <c r="V70" s="58" t="s">
        <v>1</v>
      </c>
      <c r="W70" s="58" t="s">
        <v>1</v>
      </c>
      <c r="X70" s="58" t="s">
        <v>1</v>
      </c>
      <c r="Y70" s="58">
        <v>453</v>
      </c>
      <c r="Z70" s="58">
        <v>398</v>
      </c>
      <c r="AA70" s="58">
        <v>307</v>
      </c>
      <c r="AB70" s="34">
        <v>165</v>
      </c>
      <c r="AC70" s="34">
        <v>123</v>
      </c>
      <c r="AD70" s="424">
        <v>69</v>
      </c>
      <c r="AE70" s="433">
        <v>61</v>
      </c>
      <c r="AF70" s="431">
        <v>52</v>
      </c>
      <c r="AG70" s="430">
        <v>30</v>
      </c>
      <c r="AH70" s="434">
        <v>47</v>
      </c>
      <c r="AI70" s="301">
        <v>77</v>
      </c>
      <c r="AJ70" s="302">
        <v>59</v>
      </c>
      <c r="AK70" s="888">
        <v>76</v>
      </c>
      <c r="AL70" s="888"/>
      <c r="AM70" s="888"/>
      <c r="AN70" s="888"/>
      <c r="AO70" s="888"/>
      <c r="AP70" s="888"/>
      <c r="AQ70" s="1081">
        <v>107</v>
      </c>
      <c r="AR70" s="888"/>
    </row>
    <row r="71" spans="1:44" s="15" customFormat="1">
      <c r="A71" s="426" t="s">
        <v>111</v>
      </c>
      <c r="B71" s="283"/>
      <c r="C71" s="36" t="s">
        <v>1</v>
      </c>
      <c r="D71" s="36" t="s">
        <v>1</v>
      </c>
      <c r="E71" s="36" t="s">
        <v>1</v>
      </c>
      <c r="F71" s="36" t="s">
        <v>1</v>
      </c>
      <c r="G71" s="36" t="s">
        <v>1</v>
      </c>
      <c r="H71" s="36" t="s">
        <v>1</v>
      </c>
      <c r="I71" s="36" t="s">
        <v>1</v>
      </c>
      <c r="J71" s="36" t="s">
        <v>1</v>
      </c>
      <c r="K71" s="58" t="s">
        <v>1</v>
      </c>
      <c r="L71" s="58" t="s">
        <v>1</v>
      </c>
      <c r="M71" s="58" t="s">
        <v>1</v>
      </c>
      <c r="N71" s="58" t="s">
        <v>1</v>
      </c>
      <c r="O71" s="58" t="s">
        <v>1</v>
      </c>
      <c r="P71" s="58" t="s">
        <v>1</v>
      </c>
      <c r="Q71" s="58" t="s">
        <v>1</v>
      </c>
      <c r="R71" s="58" t="s">
        <v>1</v>
      </c>
      <c r="S71" s="58" t="s">
        <v>1</v>
      </c>
      <c r="T71" s="58" t="s">
        <v>1</v>
      </c>
      <c r="U71" s="58" t="s">
        <v>1</v>
      </c>
      <c r="V71" s="58" t="s">
        <v>1</v>
      </c>
      <c r="W71" s="58" t="s">
        <v>1</v>
      </c>
      <c r="X71" s="58" t="s">
        <v>1</v>
      </c>
      <c r="Y71" s="58">
        <v>361</v>
      </c>
      <c r="Z71" s="58">
        <v>329</v>
      </c>
      <c r="AA71" s="58">
        <v>269</v>
      </c>
      <c r="AB71" s="34">
        <v>136</v>
      </c>
      <c r="AC71" s="34">
        <v>108</v>
      </c>
      <c r="AD71" s="424">
        <v>55</v>
      </c>
      <c r="AE71" s="433">
        <v>53</v>
      </c>
      <c r="AF71" s="431">
        <v>55</v>
      </c>
      <c r="AG71" s="430">
        <v>38</v>
      </c>
      <c r="AH71" s="434">
        <v>39</v>
      </c>
      <c r="AI71" s="301">
        <v>63</v>
      </c>
      <c r="AJ71" s="302">
        <v>59</v>
      </c>
      <c r="AK71" s="888">
        <v>60</v>
      </c>
      <c r="AL71" s="888"/>
      <c r="AM71" s="888"/>
      <c r="AN71" s="888"/>
      <c r="AO71" s="888"/>
      <c r="AP71" s="888"/>
      <c r="AQ71" s="1081">
        <v>95</v>
      </c>
      <c r="AR71" s="888"/>
    </row>
    <row r="72" spans="1:44" s="15" customFormat="1">
      <c r="A72" s="426" t="s">
        <v>388</v>
      </c>
      <c r="B72" s="283"/>
      <c r="C72" s="36" t="s">
        <v>1</v>
      </c>
      <c r="D72" s="36" t="s">
        <v>1</v>
      </c>
      <c r="E72" s="36" t="s">
        <v>1</v>
      </c>
      <c r="F72" s="36" t="s">
        <v>1</v>
      </c>
      <c r="G72" s="36" t="s">
        <v>1</v>
      </c>
      <c r="H72" s="36" t="s">
        <v>1</v>
      </c>
      <c r="I72" s="36" t="s">
        <v>1</v>
      </c>
      <c r="J72" s="36" t="s">
        <v>1</v>
      </c>
      <c r="K72" s="58" t="s">
        <v>1</v>
      </c>
      <c r="L72" s="58" t="s">
        <v>1</v>
      </c>
      <c r="M72" s="58" t="s">
        <v>1</v>
      </c>
      <c r="N72" s="58" t="s">
        <v>1</v>
      </c>
      <c r="O72" s="58" t="s">
        <v>1</v>
      </c>
      <c r="P72" s="58" t="s">
        <v>1</v>
      </c>
      <c r="Q72" s="58" t="s">
        <v>1</v>
      </c>
      <c r="R72" s="58" t="s">
        <v>1</v>
      </c>
      <c r="S72" s="58" t="s">
        <v>1</v>
      </c>
      <c r="T72" s="58" t="s">
        <v>1</v>
      </c>
      <c r="U72" s="58" t="s">
        <v>1</v>
      </c>
      <c r="V72" s="58" t="s">
        <v>1</v>
      </c>
      <c r="W72" s="58" t="s">
        <v>1</v>
      </c>
      <c r="X72" s="58" t="s">
        <v>1</v>
      </c>
      <c r="Y72" s="58">
        <v>143</v>
      </c>
      <c r="Z72" s="58">
        <v>124</v>
      </c>
      <c r="AA72" s="58">
        <v>107</v>
      </c>
      <c r="AB72" s="34">
        <v>59</v>
      </c>
      <c r="AC72" s="34">
        <v>49</v>
      </c>
      <c r="AD72" s="424">
        <v>29</v>
      </c>
      <c r="AE72" s="433">
        <v>30</v>
      </c>
      <c r="AF72" s="431">
        <v>31</v>
      </c>
      <c r="AG72" s="430">
        <v>16</v>
      </c>
      <c r="AH72" s="434">
        <v>21</v>
      </c>
      <c r="AI72" s="301">
        <v>24</v>
      </c>
      <c r="AJ72" s="302">
        <v>18</v>
      </c>
      <c r="AK72" s="888">
        <v>39</v>
      </c>
      <c r="AL72" s="888"/>
      <c r="AM72" s="888"/>
      <c r="AN72" s="888"/>
      <c r="AO72" s="888"/>
      <c r="AP72" s="888"/>
      <c r="AQ72" s="1081">
        <v>57</v>
      </c>
      <c r="AR72" s="888"/>
    </row>
    <row r="73" spans="1:44" s="15" customFormat="1">
      <c r="A73" s="426" t="s">
        <v>136</v>
      </c>
      <c r="B73" s="283"/>
      <c r="C73" s="36" t="s">
        <v>1</v>
      </c>
      <c r="D73" s="36" t="s">
        <v>1</v>
      </c>
      <c r="E73" s="36" t="s">
        <v>1</v>
      </c>
      <c r="F73" s="36" t="s">
        <v>1</v>
      </c>
      <c r="G73" s="36" t="s">
        <v>1</v>
      </c>
      <c r="H73" s="36" t="s">
        <v>1</v>
      </c>
      <c r="I73" s="36" t="s">
        <v>1</v>
      </c>
      <c r="J73" s="36" t="s">
        <v>1</v>
      </c>
      <c r="K73" s="58" t="s">
        <v>1</v>
      </c>
      <c r="L73" s="58" t="s">
        <v>1</v>
      </c>
      <c r="M73" s="58" t="s">
        <v>1</v>
      </c>
      <c r="N73" s="58" t="s">
        <v>1</v>
      </c>
      <c r="O73" s="58" t="s">
        <v>1</v>
      </c>
      <c r="P73" s="58" t="s">
        <v>1</v>
      </c>
      <c r="Q73" s="58" t="s">
        <v>1</v>
      </c>
      <c r="R73" s="58" t="s">
        <v>1</v>
      </c>
      <c r="S73" s="58" t="s">
        <v>1</v>
      </c>
      <c r="T73" s="58" t="s">
        <v>1</v>
      </c>
      <c r="U73" s="58" t="s">
        <v>1</v>
      </c>
      <c r="V73" s="58" t="s">
        <v>1</v>
      </c>
      <c r="W73" s="58" t="s">
        <v>1</v>
      </c>
      <c r="X73" s="58" t="s">
        <v>1</v>
      </c>
      <c r="Y73" s="58">
        <v>402</v>
      </c>
      <c r="Z73" s="58">
        <v>332</v>
      </c>
      <c r="AA73" s="58">
        <v>306</v>
      </c>
      <c r="AB73" s="34">
        <v>230</v>
      </c>
      <c r="AC73" s="34">
        <v>233</v>
      </c>
      <c r="AD73" s="424">
        <v>133</v>
      </c>
      <c r="AE73" s="433">
        <v>126</v>
      </c>
      <c r="AF73" s="431">
        <v>108</v>
      </c>
      <c r="AG73" s="430">
        <v>50</v>
      </c>
      <c r="AH73" s="434">
        <v>66</v>
      </c>
      <c r="AI73" s="301">
        <v>122</v>
      </c>
      <c r="AJ73" s="302">
        <v>92</v>
      </c>
      <c r="AK73" s="888">
        <v>100</v>
      </c>
      <c r="AL73" s="888"/>
      <c r="AM73" s="888"/>
      <c r="AN73" s="888"/>
      <c r="AO73" s="888"/>
      <c r="AP73" s="888"/>
      <c r="AQ73" s="1081">
        <v>112</v>
      </c>
      <c r="AR73" s="888"/>
    </row>
    <row r="74" spans="1:44" s="15" customFormat="1">
      <c r="A74" s="426" t="s">
        <v>112</v>
      </c>
      <c r="B74" s="283"/>
      <c r="C74" s="36" t="s">
        <v>1</v>
      </c>
      <c r="D74" s="36" t="s">
        <v>1</v>
      </c>
      <c r="E74" s="36" t="s">
        <v>1</v>
      </c>
      <c r="F74" s="36" t="s">
        <v>1</v>
      </c>
      <c r="G74" s="36" t="s">
        <v>1</v>
      </c>
      <c r="H74" s="36" t="s">
        <v>1</v>
      </c>
      <c r="I74" s="36" t="s">
        <v>1</v>
      </c>
      <c r="J74" s="36" t="s">
        <v>1</v>
      </c>
      <c r="K74" s="58" t="s">
        <v>1</v>
      </c>
      <c r="L74" s="58" t="s">
        <v>1</v>
      </c>
      <c r="M74" s="58" t="s">
        <v>1</v>
      </c>
      <c r="N74" s="58" t="s">
        <v>1</v>
      </c>
      <c r="O74" s="58" t="s">
        <v>1</v>
      </c>
      <c r="P74" s="58" t="s">
        <v>1</v>
      </c>
      <c r="Q74" s="58" t="s">
        <v>1</v>
      </c>
      <c r="R74" s="58" t="s">
        <v>1</v>
      </c>
      <c r="S74" s="58" t="s">
        <v>1</v>
      </c>
      <c r="T74" s="58" t="s">
        <v>1</v>
      </c>
      <c r="U74" s="58" t="s">
        <v>1</v>
      </c>
      <c r="V74" s="58" t="s">
        <v>1</v>
      </c>
      <c r="W74" s="58" t="s">
        <v>1</v>
      </c>
      <c r="X74" s="58" t="s">
        <v>1</v>
      </c>
      <c r="Y74" s="58" t="s">
        <v>1</v>
      </c>
      <c r="Z74" s="58">
        <v>3</v>
      </c>
      <c r="AA74" s="58">
        <v>23</v>
      </c>
      <c r="AB74" s="34">
        <v>64</v>
      </c>
      <c r="AC74" s="34">
        <v>54</v>
      </c>
      <c r="AD74" s="424">
        <v>40</v>
      </c>
      <c r="AE74" s="433">
        <v>36</v>
      </c>
      <c r="AF74" s="431">
        <v>27</v>
      </c>
      <c r="AG74" s="430">
        <v>18</v>
      </c>
      <c r="AH74" s="434">
        <v>23</v>
      </c>
      <c r="AI74" s="301">
        <v>31</v>
      </c>
      <c r="AJ74" s="302">
        <v>28</v>
      </c>
      <c r="AK74" s="888">
        <v>43</v>
      </c>
      <c r="AL74" s="888"/>
      <c r="AM74" s="888"/>
      <c r="AN74" s="888"/>
      <c r="AO74" s="888"/>
      <c r="AP74" s="888"/>
      <c r="AQ74" s="1081">
        <v>68</v>
      </c>
      <c r="AR74" s="888"/>
    </row>
    <row r="75" spans="1:44" s="15" customFormat="1">
      <c r="A75" s="426" t="s">
        <v>113</v>
      </c>
      <c r="B75" s="283"/>
      <c r="C75" s="36" t="s">
        <v>1</v>
      </c>
      <c r="D75" s="36" t="s">
        <v>1</v>
      </c>
      <c r="E75" s="36" t="s">
        <v>1</v>
      </c>
      <c r="F75" s="36" t="s">
        <v>1</v>
      </c>
      <c r="G75" s="36" t="s">
        <v>1</v>
      </c>
      <c r="H75" s="36" t="s">
        <v>1</v>
      </c>
      <c r="I75" s="36" t="s">
        <v>1</v>
      </c>
      <c r="J75" s="36" t="s">
        <v>1</v>
      </c>
      <c r="K75" s="58" t="s">
        <v>1</v>
      </c>
      <c r="L75" s="58" t="s">
        <v>1</v>
      </c>
      <c r="M75" s="58" t="s">
        <v>1</v>
      </c>
      <c r="N75" s="58" t="s">
        <v>1</v>
      </c>
      <c r="O75" s="58" t="s">
        <v>1</v>
      </c>
      <c r="P75" s="58" t="s">
        <v>1</v>
      </c>
      <c r="Q75" s="58" t="s">
        <v>1</v>
      </c>
      <c r="R75" s="58" t="s">
        <v>1</v>
      </c>
      <c r="S75" s="58" t="s">
        <v>1</v>
      </c>
      <c r="T75" s="58" t="s">
        <v>1</v>
      </c>
      <c r="U75" s="58" t="s">
        <v>1</v>
      </c>
      <c r="V75" s="58" t="s">
        <v>1</v>
      </c>
      <c r="W75" s="58" t="s">
        <v>1</v>
      </c>
      <c r="X75" s="58" t="s">
        <v>1</v>
      </c>
      <c r="Y75" s="58">
        <v>43</v>
      </c>
      <c r="Z75" s="58">
        <v>81</v>
      </c>
      <c r="AA75" s="58">
        <v>60</v>
      </c>
      <c r="AB75" s="34">
        <v>41</v>
      </c>
      <c r="AC75" s="34">
        <v>40</v>
      </c>
      <c r="AD75" s="424">
        <v>19</v>
      </c>
      <c r="AE75" s="433">
        <v>19</v>
      </c>
      <c r="AF75" s="431">
        <v>19</v>
      </c>
      <c r="AG75" s="430">
        <v>15</v>
      </c>
      <c r="AH75" s="434">
        <v>13</v>
      </c>
      <c r="AI75" s="301">
        <v>27</v>
      </c>
      <c r="AJ75" s="302">
        <v>19</v>
      </c>
      <c r="AK75" s="888">
        <v>31</v>
      </c>
      <c r="AL75" s="888"/>
      <c r="AM75" s="888"/>
      <c r="AN75" s="888"/>
      <c r="AO75" s="888"/>
      <c r="AP75" s="888"/>
      <c r="AQ75" s="1081">
        <v>49</v>
      </c>
      <c r="AR75" s="888"/>
    </row>
    <row r="76" spans="1:44" s="15" customFormat="1">
      <c r="A76" s="423" t="s">
        <v>141</v>
      </c>
      <c r="B76" s="283"/>
      <c r="C76" s="36"/>
      <c r="D76" s="36"/>
      <c r="E76" s="36"/>
      <c r="F76" s="36"/>
      <c r="G76" s="36"/>
      <c r="H76" s="36"/>
      <c r="I76" s="36"/>
      <c r="J76" s="36"/>
      <c r="K76" s="58"/>
      <c r="L76" s="58"/>
      <c r="M76" s="58"/>
      <c r="N76" s="58"/>
      <c r="O76" s="58"/>
      <c r="P76" s="58"/>
      <c r="Q76" s="58"/>
      <c r="R76" s="58"/>
      <c r="S76" s="58"/>
      <c r="T76" s="58"/>
      <c r="U76" s="58"/>
      <c r="V76" s="58"/>
      <c r="W76" s="58"/>
      <c r="X76" s="58"/>
      <c r="Y76" s="58"/>
      <c r="Z76" s="58"/>
      <c r="AA76" s="58"/>
      <c r="AB76" s="34"/>
      <c r="AC76" s="34"/>
      <c r="AD76" s="303"/>
      <c r="AE76" s="34"/>
      <c r="AF76" s="39"/>
      <c r="AG76" s="430"/>
      <c r="AH76" s="8"/>
      <c r="AI76" s="301"/>
      <c r="AJ76" s="302"/>
      <c r="AK76" s="888"/>
      <c r="AL76" s="888"/>
      <c r="AM76" s="888"/>
      <c r="AN76" s="888"/>
      <c r="AO76" s="888"/>
      <c r="AP76" s="888"/>
      <c r="AQ76" s="1081"/>
      <c r="AR76" s="888"/>
    </row>
    <row r="77" spans="1:44" s="15" customFormat="1">
      <c r="A77" s="423" t="s">
        <v>108</v>
      </c>
      <c r="B77" s="283"/>
      <c r="C77" s="36" t="s">
        <v>1</v>
      </c>
      <c r="D77" s="36" t="s">
        <v>1</v>
      </c>
      <c r="E77" s="36" t="s">
        <v>1</v>
      </c>
      <c r="F77" s="36" t="s">
        <v>1</v>
      </c>
      <c r="G77" s="36" t="s">
        <v>1</v>
      </c>
      <c r="H77" s="36" t="s">
        <v>1</v>
      </c>
      <c r="I77" s="36" t="s">
        <v>1</v>
      </c>
      <c r="J77" s="36" t="s">
        <v>1</v>
      </c>
      <c r="K77" s="58" t="s">
        <v>1</v>
      </c>
      <c r="L77" s="58" t="s">
        <v>1</v>
      </c>
      <c r="M77" s="58" t="s">
        <v>1</v>
      </c>
      <c r="N77" s="58" t="s">
        <v>1</v>
      </c>
      <c r="O77" s="58" t="s">
        <v>1</v>
      </c>
      <c r="P77" s="58" t="s">
        <v>1</v>
      </c>
      <c r="Q77" s="58" t="s">
        <v>1</v>
      </c>
      <c r="R77" s="58" t="s">
        <v>1</v>
      </c>
      <c r="S77" s="58" t="s">
        <v>1</v>
      </c>
      <c r="T77" s="58" t="s">
        <v>1</v>
      </c>
      <c r="U77" s="58" t="s">
        <v>1</v>
      </c>
      <c r="V77" s="58" t="s">
        <v>1</v>
      </c>
      <c r="W77" s="58" t="s">
        <v>1</v>
      </c>
      <c r="X77" s="58" t="s">
        <v>1</v>
      </c>
      <c r="Y77" s="58">
        <v>12</v>
      </c>
      <c r="Z77" s="58">
        <v>528</v>
      </c>
      <c r="AA77" s="58">
        <v>371</v>
      </c>
      <c r="AB77" s="66">
        <v>179</v>
      </c>
      <c r="AC77" s="34">
        <v>463</v>
      </c>
      <c r="AD77" s="424">
        <v>452</v>
      </c>
      <c r="AE77" s="58">
        <v>624</v>
      </c>
      <c r="AF77" s="432">
        <v>783</v>
      </c>
      <c r="AG77" s="430">
        <v>928</v>
      </c>
      <c r="AH77" s="7">
        <v>1941</v>
      </c>
      <c r="AI77" s="301">
        <v>2687</v>
      </c>
      <c r="AJ77" s="302">
        <v>2487</v>
      </c>
      <c r="AK77" s="888">
        <v>1613</v>
      </c>
      <c r="AL77" s="888"/>
      <c r="AM77" s="888"/>
      <c r="AN77" s="888"/>
      <c r="AO77" s="888"/>
      <c r="AP77" s="888"/>
      <c r="AQ77" s="1081">
        <v>1538</v>
      </c>
      <c r="AR77" s="888"/>
    </row>
    <row r="78" spans="1:44" s="15" customFormat="1">
      <c r="A78" s="426" t="s">
        <v>109</v>
      </c>
      <c r="B78" s="283"/>
      <c r="C78" s="36" t="s">
        <v>1</v>
      </c>
      <c r="D78" s="36" t="s">
        <v>1</v>
      </c>
      <c r="E78" s="36" t="s">
        <v>1</v>
      </c>
      <c r="F78" s="36" t="s">
        <v>1</v>
      </c>
      <c r="G78" s="36" t="s">
        <v>1</v>
      </c>
      <c r="H78" s="36" t="s">
        <v>1</v>
      </c>
      <c r="I78" s="36" t="s">
        <v>1</v>
      </c>
      <c r="J78" s="36" t="s">
        <v>1</v>
      </c>
      <c r="K78" s="58" t="s">
        <v>1</v>
      </c>
      <c r="L78" s="58" t="s">
        <v>1</v>
      </c>
      <c r="M78" s="58" t="s">
        <v>1</v>
      </c>
      <c r="N78" s="58" t="s">
        <v>1</v>
      </c>
      <c r="O78" s="58" t="s">
        <v>1</v>
      </c>
      <c r="P78" s="58" t="s">
        <v>1</v>
      </c>
      <c r="Q78" s="58" t="s">
        <v>1</v>
      </c>
      <c r="R78" s="58" t="s">
        <v>1</v>
      </c>
      <c r="S78" s="58" t="s">
        <v>1</v>
      </c>
      <c r="T78" s="58" t="s">
        <v>1</v>
      </c>
      <c r="U78" s="58" t="s">
        <v>1</v>
      </c>
      <c r="V78" s="58" t="s">
        <v>1</v>
      </c>
      <c r="W78" s="58" t="s">
        <v>1</v>
      </c>
      <c r="X78" s="58" t="s">
        <v>1</v>
      </c>
      <c r="Y78" s="58" t="s">
        <v>1</v>
      </c>
      <c r="Z78" s="58" t="s">
        <v>1</v>
      </c>
      <c r="AA78" s="58">
        <v>1</v>
      </c>
      <c r="AB78" s="34">
        <v>6</v>
      </c>
      <c r="AC78" s="34">
        <v>11</v>
      </c>
      <c r="AD78" s="424">
        <v>20</v>
      </c>
      <c r="AE78" s="433">
        <v>27</v>
      </c>
      <c r="AF78" s="431">
        <v>51</v>
      </c>
      <c r="AG78" s="430">
        <v>77</v>
      </c>
      <c r="AH78" s="434">
        <v>183</v>
      </c>
      <c r="AI78" s="301">
        <v>270</v>
      </c>
      <c r="AJ78" s="302">
        <v>243</v>
      </c>
      <c r="AK78" s="888">
        <v>123</v>
      </c>
      <c r="AL78" s="888"/>
      <c r="AM78" s="888"/>
      <c r="AN78" s="888"/>
      <c r="AO78" s="888"/>
      <c r="AP78" s="888"/>
      <c r="AQ78" s="1081">
        <v>121</v>
      </c>
      <c r="AR78" s="888"/>
    </row>
    <row r="79" spans="1:44" s="15" customFormat="1">
      <c r="A79" s="426" t="s">
        <v>135</v>
      </c>
      <c r="B79" s="283"/>
      <c r="C79" s="36" t="s">
        <v>1</v>
      </c>
      <c r="D79" s="36" t="s">
        <v>1</v>
      </c>
      <c r="E79" s="36" t="s">
        <v>1</v>
      </c>
      <c r="F79" s="36" t="s">
        <v>1</v>
      </c>
      <c r="G79" s="36" t="s">
        <v>1</v>
      </c>
      <c r="H79" s="36" t="s">
        <v>1</v>
      </c>
      <c r="I79" s="36" t="s">
        <v>1</v>
      </c>
      <c r="J79" s="36" t="s">
        <v>1</v>
      </c>
      <c r="K79" s="58" t="s">
        <v>1</v>
      </c>
      <c r="L79" s="58" t="s">
        <v>1</v>
      </c>
      <c r="M79" s="58" t="s">
        <v>1</v>
      </c>
      <c r="N79" s="58" t="s">
        <v>1</v>
      </c>
      <c r="O79" s="58" t="s">
        <v>1</v>
      </c>
      <c r="P79" s="58" t="s">
        <v>1</v>
      </c>
      <c r="Q79" s="58" t="s">
        <v>1</v>
      </c>
      <c r="R79" s="58" t="s">
        <v>1</v>
      </c>
      <c r="S79" s="58" t="s">
        <v>1</v>
      </c>
      <c r="T79" s="58" t="s">
        <v>1</v>
      </c>
      <c r="U79" s="58" t="s">
        <v>1</v>
      </c>
      <c r="V79" s="58" t="s">
        <v>1</v>
      </c>
      <c r="W79" s="58" t="s">
        <v>1</v>
      </c>
      <c r="X79" s="58" t="s">
        <v>1</v>
      </c>
      <c r="Y79" s="58">
        <v>2</v>
      </c>
      <c r="Z79" s="58">
        <v>33</v>
      </c>
      <c r="AA79" s="58">
        <v>27</v>
      </c>
      <c r="AB79" s="34">
        <v>10</v>
      </c>
      <c r="AC79" s="34">
        <v>34</v>
      </c>
      <c r="AD79" s="424">
        <v>53</v>
      </c>
      <c r="AE79" s="433">
        <v>92</v>
      </c>
      <c r="AF79" s="431">
        <v>126</v>
      </c>
      <c r="AG79" s="430">
        <v>153</v>
      </c>
      <c r="AH79" s="434">
        <v>324</v>
      </c>
      <c r="AI79" s="301">
        <v>453</v>
      </c>
      <c r="AJ79" s="302">
        <v>428</v>
      </c>
      <c r="AK79" s="888">
        <v>260</v>
      </c>
      <c r="AL79" s="888"/>
      <c r="AM79" s="888"/>
      <c r="AN79" s="888"/>
      <c r="AO79" s="888"/>
      <c r="AP79" s="888"/>
      <c r="AQ79" s="1081">
        <v>244</v>
      </c>
      <c r="AR79" s="888"/>
    </row>
    <row r="80" spans="1:44" s="15" customFormat="1">
      <c r="A80" s="426" t="s">
        <v>110</v>
      </c>
      <c r="B80" s="283"/>
      <c r="C80" s="36" t="s">
        <v>1</v>
      </c>
      <c r="D80" s="36" t="s">
        <v>1</v>
      </c>
      <c r="E80" s="36" t="s">
        <v>1</v>
      </c>
      <c r="F80" s="36" t="s">
        <v>1</v>
      </c>
      <c r="G80" s="36" t="s">
        <v>1</v>
      </c>
      <c r="H80" s="36" t="s">
        <v>1</v>
      </c>
      <c r="I80" s="36" t="s">
        <v>1</v>
      </c>
      <c r="J80" s="36" t="s">
        <v>1</v>
      </c>
      <c r="K80" s="58" t="s">
        <v>1</v>
      </c>
      <c r="L80" s="58" t="s">
        <v>1</v>
      </c>
      <c r="M80" s="58" t="s">
        <v>1</v>
      </c>
      <c r="N80" s="58" t="s">
        <v>1</v>
      </c>
      <c r="O80" s="58" t="s">
        <v>1</v>
      </c>
      <c r="P80" s="58" t="s">
        <v>1</v>
      </c>
      <c r="Q80" s="58" t="s">
        <v>1</v>
      </c>
      <c r="R80" s="58" t="s">
        <v>1</v>
      </c>
      <c r="S80" s="58" t="s">
        <v>1</v>
      </c>
      <c r="T80" s="58" t="s">
        <v>1</v>
      </c>
      <c r="U80" s="58" t="s">
        <v>1</v>
      </c>
      <c r="V80" s="58" t="s">
        <v>1</v>
      </c>
      <c r="W80" s="58" t="s">
        <v>1</v>
      </c>
      <c r="X80" s="58" t="s">
        <v>1</v>
      </c>
      <c r="Y80" s="58">
        <v>1</v>
      </c>
      <c r="Z80" s="58">
        <v>7</v>
      </c>
      <c r="AA80" s="58">
        <v>5</v>
      </c>
      <c r="AB80" s="34">
        <v>8</v>
      </c>
      <c r="AC80" s="342">
        <v>30</v>
      </c>
      <c r="AD80" s="424">
        <v>44</v>
      </c>
      <c r="AE80" s="433">
        <v>57</v>
      </c>
      <c r="AF80" s="431">
        <v>83</v>
      </c>
      <c r="AG80" s="430">
        <v>117</v>
      </c>
      <c r="AH80" s="434">
        <v>281</v>
      </c>
      <c r="AI80" s="301">
        <v>384</v>
      </c>
      <c r="AJ80" s="302">
        <v>337</v>
      </c>
      <c r="AK80" s="888">
        <v>193</v>
      </c>
      <c r="AL80" s="888"/>
      <c r="AM80" s="888"/>
      <c r="AN80" s="888"/>
      <c r="AO80" s="888"/>
      <c r="AP80" s="888"/>
      <c r="AQ80" s="1081">
        <v>172</v>
      </c>
      <c r="AR80" s="888"/>
    </row>
    <row r="81" spans="1:44" s="15" customFormat="1">
      <c r="A81" s="426" t="s">
        <v>111</v>
      </c>
      <c r="B81" s="283"/>
      <c r="C81" s="36" t="s">
        <v>1</v>
      </c>
      <c r="D81" s="36" t="s">
        <v>1</v>
      </c>
      <c r="E81" s="36" t="s">
        <v>1</v>
      </c>
      <c r="F81" s="36" t="s">
        <v>1</v>
      </c>
      <c r="G81" s="36" t="s">
        <v>1</v>
      </c>
      <c r="H81" s="36" t="s">
        <v>1</v>
      </c>
      <c r="I81" s="36" t="s">
        <v>1</v>
      </c>
      <c r="J81" s="36" t="s">
        <v>1</v>
      </c>
      <c r="K81" s="58" t="s">
        <v>1</v>
      </c>
      <c r="L81" s="58" t="s">
        <v>1</v>
      </c>
      <c r="M81" s="58" t="s">
        <v>1</v>
      </c>
      <c r="N81" s="58" t="s">
        <v>1</v>
      </c>
      <c r="O81" s="58" t="s">
        <v>1</v>
      </c>
      <c r="P81" s="58" t="s">
        <v>1</v>
      </c>
      <c r="Q81" s="58" t="s">
        <v>1</v>
      </c>
      <c r="R81" s="58" t="s">
        <v>1</v>
      </c>
      <c r="S81" s="58" t="s">
        <v>1</v>
      </c>
      <c r="T81" s="58" t="s">
        <v>1</v>
      </c>
      <c r="U81" s="58" t="s">
        <v>1</v>
      </c>
      <c r="V81" s="58" t="s">
        <v>1</v>
      </c>
      <c r="W81" s="58" t="s">
        <v>1</v>
      </c>
      <c r="X81" s="58" t="s">
        <v>1</v>
      </c>
      <c r="Y81" s="58">
        <v>1</v>
      </c>
      <c r="Z81" s="58">
        <v>58</v>
      </c>
      <c r="AA81" s="58">
        <v>50</v>
      </c>
      <c r="AB81" s="34">
        <v>17</v>
      </c>
      <c r="AC81" s="342">
        <v>47</v>
      </c>
      <c r="AD81" s="424">
        <v>57</v>
      </c>
      <c r="AE81" s="433">
        <v>83</v>
      </c>
      <c r="AF81" s="431">
        <v>104</v>
      </c>
      <c r="AG81" s="430">
        <v>108</v>
      </c>
      <c r="AH81" s="434">
        <v>210</v>
      </c>
      <c r="AI81" s="301">
        <v>278</v>
      </c>
      <c r="AJ81" s="302">
        <v>271</v>
      </c>
      <c r="AK81" s="888">
        <v>196</v>
      </c>
      <c r="AL81" s="888"/>
      <c r="AM81" s="888"/>
      <c r="AN81" s="888"/>
      <c r="AO81" s="888"/>
      <c r="AP81" s="888"/>
      <c r="AQ81" s="1081">
        <v>177</v>
      </c>
      <c r="AR81" s="888"/>
    </row>
    <row r="82" spans="1:44" s="15" customFormat="1">
      <c r="A82" s="426" t="s">
        <v>388</v>
      </c>
      <c r="B82" s="283"/>
      <c r="C82" s="36" t="s">
        <v>1</v>
      </c>
      <c r="D82" s="36" t="s">
        <v>1</v>
      </c>
      <c r="E82" s="36" t="s">
        <v>1</v>
      </c>
      <c r="F82" s="36" t="s">
        <v>1</v>
      </c>
      <c r="G82" s="36" t="s">
        <v>1</v>
      </c>
      <c r="H82" s="36" t="s">
        <v>1</v>
      </c>
      <c r="I82" s="36" t="s">
        <v>1</v>
      </c>
      <c r="J82" s="36" t="s">
        <v>1</v>
      </c>
      <c r="K82" s="58" t="s">
        <v>1</v>
      </c>
      <c r="L82" s="58" t="s">
        <v>1</v>
      </c>
      <c r="M82" s="58" t="s">
        <v>1</v>
      </c>
      <c r="N82" s="58" t="s">
        <v>1</v>
      </c>
      <c r="O82" s="58" t="s">
        <v>1</v>
      </c>
      <c r="P82" s="58" t="s">
        <v>1</v>
      </c>
      <c r="Q82" s="58" t="s">
        <v>1</v>
      </c>
      <c r="R82" s="58" t="s">
        <v>1</v>
      </c>
      <c r="S82" s="58" t="s">
        <v>1</v>
      </c>
      <c r="T82" s="58" t="s">
        <v>1</v>
      </c>
      <c r="U82" s="58" t="s">
        <v>1</v>
      </c>
      <c r="V82" s="58" t="s">
        <v>1</v>
      </c>
      <c r="W82" s="58" t="s">
        <v>1</v>
      </c>
      <c r="X82" s="58" t="s">
        <v>1</v>
      </c>
      <c r="Y82" s="58">
        <v>2</v>
      </c>
      <c r="Z82" s="58">
        <v>7</v>
      </c>
      <c r="AA82" s="58">
        <v>6</v>
      </c>
      <c r="AB82" s="34">
        <v>7</v>
      </c>
      <c r="AC82" s="342">
        <v>11</v>
      </c>
      <c r="AD82" s="424">
        <v>13</v>
      </c>
      <c r="AE82" s="433">
        <v>24</v>
      </c>
      <c r="AF82" s="431">
        <v>34</v>
      </c>
      <c r="AG82" s="430">
        <v>54</v>
      </c>
      <c r="AH82" s="434">
        <v>229</v>
      </c>
      <c r="AI82" s="301">
        <v>306</v>
      </c>
      <c r="AJ82" s="302">
        <v>273</v>
      </c>
      <c r="AK82" s="888">
        <v>162</v>
      </c>
      <c r="AL82" s="888"/>
      <c r="AM82" s="888"/>
      <c r="AN82" s="888"/>
      <c r="AO82" s="888"/>
      <c r="AP82" s="888"/>
      <c r="AQ82" s="1081">
        <v>141</v>
      </c>
      <c r="AR82" s="888"/>
    </row>
    <row r="83" spans="1:44" s="15" customFormat="1">
      <c r="A83" s="426" t="s">
        <v>136</v>
      </c>
      <c r="B83" s="283"/>
      <c r="C83" s="36" t="s">
        <v>1</v>
      </c>
      <c r="D83" s="36" t="s">
        <v>1</v>
      </c>
      <c r="E83" s="36" t="s">
        <v>1</v>
      </c>
      <c r="F83" s="36" t="s">
        <v>1</v>
      </c>
      <c r="G83" s="36" t="s">
        <v>1</v>
      </c>
      <c r="H83" s="36" t="s">
        <v>1</v>
      </c>
      <c r="I83" s="36" t="s">
        <v>1</v>
      </c>
      <c r="J83" s="36" t="s">
        <v>1</v>
      </c>
      <c r="K83" s="58" t="s">
        <v>1</v>
      </c>
      <c r="L83" s="58" t="s">
        <v>1</v>
      </c>
      <c r="M83" s="58" t="s">
        <v>1</v>
      </c>
      <c r="N83" s="58" t="s">
        <v>1</v>
      </c>
      <c r="O83" s="58" t="s">
        <v>1</v>
      </c>
      <c r="P83" s="58" t="s">
        <v>1</v>
      </c>
      <c r="Q83" s="58" t="s">
        <v>1</v>
      </c>
      <c r="R83" s="58" t="s">
        <v>1</v>
      </c>
      <c r="S83" s="58" t="s">
        <v>1</v>
      </c>
      <c r="T83" s="58" t="s">
        <v>1</v>
      </c>
      <c r="U83" s="58" t="s">
        <v>1</v>
      </c>
      <c r="V83" s="58" t="s">
        <v>1</v>
      </c>
      <c r="W83" s="58" t="s">
        <v>1</v>
      </c>
      <c r="X83" s="58" t="s">
        <v>1</v>
      </c>
      <c r="Y83" s="58">
        <v>4</v>
      </c>
      <c r="Z83" s="58">
        <v>124</v>
      </c>
      <c r="AA83" s="58">
        <v>112</v>
      </c>
      <c r="AB83" s="34">
        <v>49</v>
      </c>
      <c r="AC83" s="342">
        <v>109</v>
      </c>
      <c r="AD83" s="424">
        <v>107</v>
      </c>
      <c r="AE83" s="433">
        <v>134</v>
      </c>
      <c r="AF83" s="431">
        <v>160</v>
      </c>
      <c r="AG83" s="430">
        <v>169</v>
      </c>
      <c r="AH83" s="434">
        <v>272</v>
      </c>
      <c r="AI83" s="301">
        <v>356</v>
      </c>
      <c r="AJ83" s="302">
        <v>335</v>
      </c>
      <c r="AK83" s="888">
        <v>262</v>
      </c>
      <c r="AL83" s="888"/>
      <c r="AM83" s="888"/>
      <c r="AN83" s="888"/>
      <c r="AO83" s="888"/>
      <c r="AP83" s="888"/>
      <c r="AQ83" s="1081">
        <v>263</v>
      </c>
      <c r="AR83" s="888"/>
    </row>
    <row r="84" spans="1:44" s="15" customFormat="1">
      <c r="A84" s="426" t="s">
        <v>112</v>
      </c>
      <c r="B84" s="283"/>
      <c r="C84" s="36" t="s">
        <v>1</v>
      </c>
      <c r="D84" s="36" t="s">
        <v>1</v>
      </c>
      <c r="E84" s="36" t="s">
        <v>1</v>
      </c>
      <c r="F84" s="36" t="s">
        <v>1</v>
      </c>
      <c r="G84" s="36" t="s">
        <v>1</v>
      </c>
      <c r="H84" s="36" t="s">
        <v>1</v>
      </c>
      <c r="I84" s="36" t="s">
        <v>1</v>
      </c>
      <c r="J84" s="36" t="s">
        <v>1</v>
      </c>
      <c r="K84" s="58" t="s">
        <v>1</v>
      </c>
      <c r="L84" s="58" t="s">
        <v>1</v>
      </c>
      <c r="M84" s="58" t="s">
        <v>1</v>
      </c>
      <c r="N84" s="58" t="s">
        <v>1</v>
      </c>
      <c r="O84" s="58" t="s">
        <v>1</v>
      </c>
      <c r="P84" s="58" t="s">
        <v>1</v>
      </c>
      <c r="Q84" s="58" t="s">
        <v>1</v>
      </c>
      <c r="R84" s="58" t="s">
        <v>1</v>
      </c>
      <c r="S84" s="58" t="s">
        <v>1</v>
      </c>
      <c r="T84" s="58" t="s">
        <v>1</v>
      </c>
      <c r="U84" s="58" t="s">
        <v>1</v>
      </c>
      <c r="V84" s="58" t="s">
        <v>1</v>
      </c>
      <c r="W84" s="58" t="s">
        <v>1</v>
      </c>
      <c r="X84" s="58" t="s">
        <v>1</v>
      </c>
      <c r="Y84" s="58" t="s">
        <v>1</v>
      </c>
      <c r="Z84" s="58">
        <v>265</v>
      </c>
      <c r="AA84" s="58">
        <v>148</v>
      </c>
      <c r="AB84" s="34">
        <v>80</v>
      </c>
      <c r="AC84" s="342">
        <v>205</v>
      </c>
      <c r="AD84" s="424">
        <v>141</v>
      </c>
      <c r="AE84" s="433">
        <v>173</v>
      </c>
      <c r="AF84" s="431">
        <v>177</v>
      </c>
      <c r="AG84" s="430">
        <v>174</v>
      </c>
      <c r="AH84" s="434">
        <v>301</v>
      </c>
      <c r="AI84" s="301">
        <v>435</v>
      </c>
      <c r="AJ84" s="302">
        <v>396</v>
      </c>
      <c r="AK84" s="888">
        <v>298</v>
      </c>
      <c r="AL84" s="888"/>
      <c r="AM84" s="888"/>
      <c r="AN84" s="888"/>
      <c r="AO84" s="888"/>
      <c r="AP84" s="888"/>
      <c r="AQ84" s="1081">
        <v>300</v>
      </c>
      <c r="AR84" s="888"/>
    </row>
    <row r="85" spans="1:44" s="15" customFormat="1">
      <c r="A85" s="426" t="s">
        <v>113</v>
      </c>
      <c r="B85" s="283"/>
      <c r="C85" s="36" t="s">
        <v>1</v>
      </c>
      <c r="D85" s="36" t="s">
        <v>1</v>
      </c>
      <c r="E85" s="36" t="s">
        <v>1</v>
      </c>
      <c r="F85" s="36" t="s">
        <v>1</v>
      </c>
      <c r="G85" s="36" t="s">
        <v>1</v>
      </c>
      <c r="H85" s="36" t="s">
        <v>1</v>
      </c>
      <c r="I85" s="36" t="s">
        <v>1</v>
      </c>
      <c r="J85" s="36" t="s">
        <v>1</v>
      </c>
      <c r="K85" s="58" t="s">
        <v>1</v>
      </c>
      <c r="L85" s="58" t="s">
        <v>1</v>
      </c>
      <c r="M85" s="58" t="s">
        <v>1</v>
      </c>
      <c r="N85" s="58" t="s">
        <v>1</v>
      </c>
      <c r="O85" s="58" t="s">
        <v>1</v>
      </c>
      <c r="P85" s="58" t="s">
        <v>1</v>
      </c>
      <c r="Q85" s="58" t="s">
        <v>1</v>
      </c>
      <c r="R85" s="58" t="s">
        <v>1</v>
      </c>
      <c r="S85" s="58" t="s">
        <v>1</v>
      </c>
      <c r="T85" s="58" t="s">
        <v>1</v>
      </c>
      <c r="U85" s="58" t="s">
        <v>1</v>
      </c>
      <c r="V85" s="58" t="s">
        <v>1</v>
      </c>
      <c r="W85" s="58" t="s">
        <v>1</v>
      </c>
      <c r="X85" s="58" t="s">
        <v>1</v>
      </c>
      <c r="Y85" s="58">
        <v>2</v>
      </c>
      <c r="Z85" s="58">
        <v>34</v>
      </c>
      <c r="AA85" s="58">
        <v>22</v>
      </c>
      <c r="AB85" s="34">
        <v>2</v>
      </c>
      <c r="AC85" s="342">
        <v>16</v>
      </c>
      <c r="AD85" s="424">
        <v>17</v>
      </c>
      <c r="AE85" s="433"/>
      <c r="AF85" s="431">
        <v>48</v>
      </c>
      <c r="AG85" s="430">
        <v>76</v>
      </c>
      <c r="AH85" s="7">
        <v>141</v>
      </c>
      <c r="AI85" s="301">
        <v>205</v>
      </c>
      <c r="AJ85" s="302">
        <v>204</v>
      </c>
      <c r="AK85" s="888">
        <v>119</v>
      </c>
      <c r="AL85" s="888"/>
      <c r="AM85" s="888"/>
      <c r="AN85" s="888"/>
      <c r="AO85" s="888"/>
      <c r="AP85" s="888"/>
      <c r="AQ85" s="1081">
        <v>120</v>
      </c>
      <c r="AR85" s="888"/>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R11"/>
  <sheetViews>
    <sheetView workbookViewId="0">
      <pane xSplit="1" topLeftCell="AG1" activePane="topRight" state="frozen"/>
      <selection pane="topRight" activeCell="AR1" sqref="AR1:AR11"/>
    </sheetView>
  </sheetViews>
  <sheetFormatPr defaultRowHeight="12.75"/>
  <cols>
    <col min="1" max="1" width="56.7109375" bestFit="1" customWidth="1"/>
    <col min="2" max="2" width="12.42578125" bestFit="1" customWidth="1"/>
    <col min="3" max="3" width="5" bestFit="1" customWidth="1"/>
    <col min="4" max="6" width="6.85546875" bestFit="1" customWidth="1"/>
    <col min="7" max="27" width="5.42578125" bestFit="1" customWidth="1"/>
    <col min="28" max="29" width="6" bestFit="1" customWidth="1"/>
    <col min="30" max="30" width="5.42578125" bestFit="1" customWidth="1"/>
    <col min="31" max="36" width="12.5703125" customWidth="1"/>
    <col min="37" max="37" width="11.85546875" customWidth="1"/>
    <col min="38" max="38" width="11.140625" customWidth="1"/>
    <col min="39" max="39" width="10.42578125" customWidth="1"/>
    <col min="40" max="40" width="10.140625" customWidth="1"/>
  </cols>
  <sheetData>
    <row r="1" spans="1:44" s="15" customFormat="1" ht="25.5">
      <c r="A1" s="438" t="s">
        <v>115</v>
      </c>
      <c r="B1" s="439" t="s">
        <v>232</v>
      </c>
      <c r="C1" s="439">
        <v>1991</v>
      </c>
      <c r="D1" s="439">
        <v>1992</v>
      </c>
      <c r="E1" s="439">
        <v>1993</v>
      </c>
      <c r="F1" s="439">
        <v>1994</v>
      </c>
      <c r="G1" s="439">
        <v>1995</v>
      </c>
      <c r="H1" s="439">
        <v>1996</v>
      </c>
      <c r="I1" s="439">
        <v>1997</v>
      </c>
      <c r="J1" s="439">
        <v>1998</v>
      </c>
      <c r="K1" s="439">
        <v>1999</v>
      </c>
      <c r="L1" s="439">
        <v>2000</v>
      </c>
      <c r="M1" s="439">
        <v>2001</v>
      </c>
      <c r="N1" s="439">
        <v>2002</v>
      </c>
      <c r="O1" s="439">
        <v>2003</v>
      </c>
      <c r="P1" s="439">
        <v>2004</v>
      </c>
      <c r="Q1" s="439">
        <v>2005</v>
      </c>
      <c r="R1" s="439">
        <v>2006</v>
      </c>
      <c r="S1" s="439">
        <v>2007</v>
      </c>
      <c r="T1" s="439">
        <v>2008</v>
      </c>
      <c r="U1" s="439">
        <v>2009</v>
      </c>
      <c r="V1" s="439">
        <v>2010</v>
      </c>
      <c r="W1" s="439">
        <v>2011</v>
      </c>
      <c r="X1" s="439">
        <v>2012</v>
      </c>
      <c r="Y1" s="439">
        <v>2013</v>
      </c>
      <c r="Z1" s="439">
        <v>2014</v>
      </c>
      <c r="AA1" s="439">
        <v>2015</v>
      </c>
      <c r="AB1" s="439">
        <v>2016</v>
      </c>
      <c r="AC1" s="439">
        <v>2017</v>
      </c>
      <c r="AD1" s="439">
        <v>2018</v>
      </c>
      <c r="AE1" s="440" t="s">
        <v>126</v>
      </c>
      <c r="AF1" s="440" t="s">
        <v>127</v>
      </c>
      <c r="AG1" s="440" t="s">
        <v>128</v>
      </c>
      <c r="AH1" s="441" t="s">
        <v>129</v>
      </c>
      <c r="AI1" s="441" t="s">
        <v>385</v>
      </c>
      <c r="AJ1" s="17" t="s">
        <v>400</v>
      </c>
      <c r="AK1" s="814" t="s">
        <v>462</v>
      </c>
      <c r="AL1" s="814" t="s">
        <v>463</v>
      </c>
      <c r="AM1" s="814" t="s">
        <v>479</v>
      </c>
      <c r="AN1" s="814" t="s">
        <v>487</v>
      </c>
      <c r="AO1" s="909" t="s">
        <v>495</v>
      </c>
      <c r="AP1" s="909" t="s">
        <v>502</v>
      </c>
      <c r="AQ1" s="909" t="s">
        <v>518</v>
      </c>
      <c r="AR1" s="1079" t="s">
        <v>536</v>
      </c>
    </row>
    <row r="2" spans="1:44" s="15" customFormat="1" ht="25.5">
      <c r="A2" s="442" t="s">
        <v>116</v>
      </c>
      <c r="B2" s="273" t="s">
        <v>74</v>
      </c>
      <c r="C2" s="36" t="s">
        <v>1</v>
      </c>
      <c r="D2" s="36">
        <v>1138.9000000000001</v>
      </c>
      <c r="E2" s="36">
        <v>2847.9</v>
      </c>
      <c r="F2" s="36">
        <v>1361.7</v>
      </c>
      <c r="G2" s="36">
        <v>160.9</v>
      </c>
      <c r="H2" s="36">
        <v>125</v>
      </c>
      <c r="I2" s="36">
        <v>118.5</v>
      </c>
      <c r="J2" s="36">
        <v>109.5</v>
      </c>
      <c r="K2" s="36">
        <v>122.8</v>
      </c>
      <c r="L2" s="36">
        <v>112.2</v>
      </c>
      <c r="M2" s="36">
        <v>107.9</v>
      </c>
      <c r="N2" s="36">
        <v>107.5</v>
      </c>
      <c r="O2" s="36">
        <v>108.5</v>
      </c>
      <c r="P2" s="36">
        <v>108.7</v>
      </c>
      <c r="Q2" s="36">
        <v>109.6</v>
      </c>
      <c r="R2" s="36">
        <v>112</v>
      </c>
      <c r="S2" s="36">
        <v>127.1</v>
      </c>
      <c r="T2" s="36">
        <v>110.7</v>
      </c>
      <c r="U2" s="36">
        <v>107.5</v>
      </c>
      <c r="V2" s="36">
        <v>108</v>
      </c>
      <c r="W2" s="36">
        <v>106.8</v>
      </c>
      <c r="X2" s="36">
        <v>106.1</v>
      </c>
      <c r="Y2" s="36">
        <v>104.4</v>
      </c>
      <c r="Z2" s="36" t="s">
        <v>12</v>
      </c>
      <c r="AA2" s="36">
        <v>114.8</v>
      </c>
      <c r="AB2" s="46">
        <v>108</v>
      </c>
      <c r="AC2" s="34">
        <v>107.1</v>
      </c>
      <c r="AD2" s="303">
        <v>105.2</v>
      </c>
      <c r="AE2" s="34">
        <v>105.2</v>
      </c>
      <c r="AF2" s="34">
        <v>107.2</v>
      </c>
      <c r="AG2" s="34">
        <v>108.2</v>
      </c>
      <c r="AH2" s="443">
        <v>120.1</v>
      </c>
      <c r="AI2" s="444">
        <v>110.2</v>
      </c>
      <c r="AJ2" s="18">
        <v>109.2</v>
      </c>
      <c r="AK2" s="775">
        <v>111.7</v>
      </c>
      <c r="AL2" s="811">
        <v>100.8</v>
      </c>
      <c r="AM2" s="817">
        <v>101.9</v>
      </c>
      <c r="AN2" s="817">
        <v>102.6</v>
      </c>
      <c r="AO2" s="34">
        <v>103.5</v>
      </c>
      <c r="AP2" s="34">
        <v>104.4</v>
      </c>
      <c r="AQ2" s="34">
        <v>105.1</v>
      </c>
      <c r="AR2" s="1078">
        <v>105.5</v>
      </c>
    </row>
    <row r="3" spans="1:44" s="15" customFormat="1">
      <c r="A3" s="445" t="s">
        <v>117</v>
      </c>
      <c r="B3" s="273" t="s">
        <v>74</v>
      </c>
      <c r="C3" s="36" t="s">
        <v>1</v>
      </c>
      <c r="D3" s="36">
        <v>1596.4</v>
      </c>
      <c r="E3" s="36">
        <v>2845.9</v>
      </c>
      <c r="F3" s="36">
        <v>1324.1</v>
      </c>
      <c r="G3" s="36">
        <v>165.7</v>
      </c>
      <c r="H3" s="36">
        <v>115.7</v>
      </c>
      <c r="I3" s="36">
        <v>107.9</v>
      </c>
      <c r="J3" s="36">
        <v>105.1</v>
      </c>
      <c r="K3" s="36">
        <v>123.5</v>
      </c>
      <c r="L3" s="36">
        <v>114.2</v>
      </c>
      <c r="M3" s="36">
        <v>112</v>
      </c>
      <c r="N3" s="36">
        <v>107.6</v>
      </c>
      <c r="O3" s="36">
        <v>109</v>
      </c>
      <c r="P3" s="36">
        <v>110.1</v>
      </c>
      <c r="Q3" s="36">
        <v>111.9</v>
      </c>
      <c r="R3" s="36">
        <v>110.2</v>
      </c>
      <c r="S3" s="36">
        <v>138.5</v>
      </c>
      <c r="T3" s="36">
        <v>110.7</v>
      </c>
      <c r="U3" s="36">
        <v>102.4</v>
      </c>
      <c r="V3" s="36">
        <v>110.3</v>
      </c>
      <c r="W3" s="36">
        <v>109.2</v>
      </c>
      <c r="X3" s="36">
        <v>104.2</v>
      </c>
      <c r="Y3" s="36">
        <v>103</v>
      </c>
      <c r="Z3" s="36" t="s">
        <v>13</v>
      </c>
      <c r="AA3" s="36">
        <v>112.7</v>
      </c>
      <c r="AB3" s="34">
        <v>109.3</v>
      </c>
      <c r="AC3" s="34">
        <v>107.2</v>
      </c>
      <c r="AD3" s="303">
        <v>104.8</v>
      </c>
      <c r="AE3" s="34">
        <v>109.5</v>
      </c>
      <c r="AF3" s="46">
        <v>111.1</v>
      </c>
      <c r="AG3" s="34">
        <v>109.8</v>
      </c>
      <c r="AH3" s="443">
        <v>124.2</v>
      </c>
      <c r="AI3" s="444">
        <v>109.3</v>
      </c>
      <c r="AJ3" s="19">
        <v>106.8</v>
      </c>
      <c r="AK3" s="780">
        <v>113</v>
      </c>
      <c r="AL3" s="817">
        <v>100.9</v>
      </c>
      <c r="AM3" s="811">
        <v>102.2</v>
      </c>
      <c r="AN3" s="811">
        <v>103.1</v>
      </c>
      <c r="AO3" s="34">
        <v>103.9</v>
      </c>
      <c r="AP3" s="34">
        <v>104.2</v>
      </c>
      <c r="AQ3" s="34">
        <v>104.7</v>
      </c>
      <c r="AR3" s="1078">
        <v>104.8</v>
      </c>
    </row>
    <row r="4" spans="1:44" s="15" customFormat="1">
      <c r="A4" s="445" t="s">
        <v>118</v>
      </c>
      <c r="B4" s="273" t="s">
        <v>74</v>
      </c>
      <c r="C4" s="36" t="s">
        <v>1</v>
      </c>
      <c r="D4" s="36">
        <v>939.8</v>
      </c>
      <c r="E4" s="36">
        <v>2600.1999999999998</v>
      </c>
      <c r="F4" s="36">
        <v>1263.2</v>
      </c>
      <c r="G4" s="36">
        <v>134.80000000000001</v>
      </c>
      <c r="H4" s="36">
        <v>114</v>
      </c>
      <c r="I4" s="36">
        <v>106</v>
      </c>
      <c r="J4" s="36">
        <v>104.1</v>
      </c>
      <c r="K4" s="36">
        <v>130.19999999999999</v>
      </c>
      <c r="L4" s="36" t="s">
        <v>5</v>
      </c>
      <c r="M4" s="36">
        <v>104.2</v>
      </c>
      <c r="N4" s="36">
        <v>106.6</v>
      </c>
      <c r="O4" s="36">
        <v>110.3</v>
      </c>
      <c r="P4" s="36">
        <v>109.7</v>
      </c>
      <c r="Q4" s="36">
        <v>110</v>
      </c>
      <c r="R4" s="36">
        <v>111.5</v>
      </c>
      <c r="S4" s="36">
        <v>114.1</v>
      </c>
      <c r="T4" s="36">
        <v>107.6</v>
      </c>
      <c r="U4" s="36">
        <v>110.5</v>
      </c>
      <c r="V4" s="36">
        <v>106.3</v>
      </c>
      <c r="W4" s="36">
        <v>105.3</v>
      </c>
      <c r="X4" s="36">
        <v>102.9</v>
      </c>
      <c r="Y4" s="36">
        <v>103</v>
      </c>
      <c r="Z4" s="36" t="s">
        <v>14</v>
      </c>
      <c r="AA4" s="36">
        <v>124.3</v>
      </c>
      <c r="AB4" s="34">
        <v>110.2</v>
      </c>
      <c r="AC4" s="34">
        <v>108.1</v>
      </c>
      <c r="AD4" s="303">
        <v>106.2</v>
      </c>
      <c r="AE4" s="46">
        <v>105.4</v>
      </c>
      <c r="AF4" s="46">
        <v>105.9</v>
      </c>
      <c r="AG4" s="34">
        <v>108</v>
      </c>
      <c r="AH4" s="443">
        <v>118.2</v>
      </c>
      <c r="AI4" s="446">
        <v>109</v>
      </c>
      <c r="AJ4" s="19">
        <v>106.7</v>
      </c>
      <c r="AK4" s="780">
        <v>108.7</v>
      </c>
      <c r="AL4" s="817">
        <v>101.1</v>
      </c>
      <c r="AM4" s="811">
        <v>101.6</v>
      </c>
      <c r="AN4" s="811">
        <v>102</v>
      </c>
      <c r="AO4" s="46">
        <v>103</v>
      </c>
      <c r="AP4" s="46">
        <v>103.5</v>
      </c>
      <c r="AQ4" s="46">
        <v>104.3</v>
      </c>
      <c r="AR4" s="1080">
        <v>105</v>
      </c>
    </row>
    <row r="5" spans="1:44" s="15" customFormat="1">
      <c r="A5" s="445" t="s">
        <v>119</v>
      </c>
      <c r="B5" s="273" t="s">
        <v>74</v>
      </c>
      <c r="C5" s="36" t="s">
        <v>1</v>
      </c>
      <c r="D5" s="36">
        <v>2670.3</v>
      </c>
      <c r="E5" s="36">
        <v>4145.7</v>
      </c>
      <c r="F5" s="36">
        <v>2074.1999999999998</v>
      </c>
      <c r="G5" s="36">
        <v>225.4</v>
      </c>
      <c r="H5" s="36">
        <v>187.3</v>
      </c>
      <c r="I5" s="36">
        <v>171.5</v>
      </c>
      <c r="J5" s="36">
        <v>125</v>
      </c>
      <c r="K5" s="36">
        <v>114.2</v>
      </c>
      <c r="L5" s="36">
        <v>109.7</v>
      </c>
      <c r="M5" s="36">
        <v>103.1</v>
      </c>
      <c r="N5" s="36">
        <v>108.1</v>
      </c>
      <c r="O5" s="36">
        <v>105.9</v>
      </c>
      <c r="P5" s="36">
        <v>105.1</v>
      </c>
      <c r="Q5" s="36">
        <v>105.1</v>
      </c>
      <c r="R5" s="36">
        <v>115.7</v>
      </c>
      <c r="S5" s="36">
        <v>123.4</v>
      </c>
      <c r="T5" s="36">
        <v>113.8</v>
      </c>
      <c r="U5" s="36">
        <v>111.8</v>
      </c>
      <c r="V5" s="36">
        <v>106.7</v>
      </c>
      <c r="W5" s="36">
        <v>105.3</v>
      </c>
      <c r="X5" s="36">
        <v>112.1</v>
      </c>
      <c r="Y5" s="36">
        <v>107.5</v>
      </c>
      <c r="Z5" s="36" t="s">
        <v>15</v>
      </c>
      <c r="AA5" s="36">
        <v>108.1</v>
      </c>
      <c r="AB5" s="34">
        <v>104.3</v>
      </c>
      <c r="AC5" s="34">
        <v>105.8</v>
      </c>
      <c r="AD5" s="303">
        <v>104.6</v>
      </c>
      <c r="AE5" s="34">
        <v>99.7</v>
      </c>
      <c r="AF5" s="34">
        <v>103.2</v>
      </c>
      <c r="AG5" s="34">
        <v>106.3</v>
      </c>
      <c r="AH5" s="443">
        <v>116.2</v>
      </c>
      <c r="AI5" s="444">
        <v>112.1</v>
      </c>
      <c r="AJ5" s="18">
        <v>113.6</v>
      </c>
      <c r="AK5" s="775">
        <v>112.4</v>
      </c>
      <c r="AL5" s="811">
        <v>100.7</v>
      </c>
      <c r="AM5" s="817">
        <v>101.7</v>
      </c>
      <c r="AN5" s="817">
        <v>102.5</v>
      </c>
      <c r="AO5" s="34">
        <v>103.5</v>
      </c>
      <c r="AP5" s="34">
        <v>105.1</v>
      </c>
      <c r="AQ5" s="34">
        <v>105.8</v>
      </c>
      <c r="AR5" s="1078">
        <v>106.5</v>
      </c>
    </row>
    <row r="6" spans="1:44" s="15" customFormat="1" ht="25.5">
      <c r="A6" s="442" t="s">
        <v>120</v>
      </c>
      <c r="B6" s="273" t="s">
        <v>74</v>
      </c>
      <c r="C6" s="36" t="s">
        <v>1</v>
      </c>
      <c r="D6" s="36">
        <v>3824.6</v>
      </c>
      <c r="E6" s="36">
        <v>1988.2</v>
      </c>
      <c r="F6" s="36">
        <v>2018.3</v>
      </c>
      <c r="G6" s="36">
        <v>133.4</v>
      </c>
      <c r="H6" s="36">
        <v>114.1</v>
      </c>
      <c r="I6" s="36">
        <v>106.4</v>
      </c>
      <c r="J6" s="36">
        <v>107.9</v>
      </c>
      <c r="K6" s="36">
        <v>117.2</v>
      </c>
      <c r="L6" s="36">
        <v>103.1</v>
      </c>
      <c r="M6" s="36">
        <v>105.7</v>
      </c>
      <c r="N6" s="36">
        <v>104.6</v>
      </c>
      <c r="O6" s="36">
        <v>104</v>
      </c>
      <c r="P6" s="36">
        <v>104.9</v>
      </c>
      <c r="Q6" s="36">
        <v>105.4</v>
      </c>
      <c r="R6" s="36">
        <v>107.8</v>
      </c>
      <c r="S6" s="36">
        <v>118.5</v>
      </c>
      <c r="T6" s="36">
        <v>106.3</v>
      </c>
      <c r="U6" s="36">
        <v>104.1</v>
      </c>
      <c r="V6" s="36">
        <v>107.9</v>
      </c>
      <c r="W6" s="36">
        <v>107.3</v>
      </c>
      <c r="X6" s="36">
        <v>103</v>
      </c>
      <c r="Y6" s="36">
        <v>104</v>
      </c>
      <c r="Z6" s="36" t="s">
        <v>16</v>
      </c>
      <c r="AA6" s="36">
        <v>108.8</v>
      </c>
      <c r="AB6" s="34">
        <v>106.9</v>
      </c>
      <c r="AC6" s="34">
        <v>107.2</v>
      </c>
      <c r="AD6" s="303">
        <v>104.1</v>
      </c>
      <c r="AE6" s="34">
        <v>100.6</v>
      </c>
      <c r="AF6" s="52">
        <v>105.4</v>
      </c>
      <c r="AG6" s="34">
        <v>111.9</v>
      </c>
      <c r="AH6" s="443">
        <v>113.6</v>
      </c>
      <c r="AI6" s="444">
        <v>104.5</v>
      </c>
      <c r="AJ6" s="19">
        <v>106.9</v>
      </c>
      <c r="AK6" s="780">
        <v>107.7</v>
      </c>
      <c r="AL6" s="817">
        <v>100.1</v>
      </c>
      <c r="AM6" s="817">
        <v>102.4</v>
      </c>
      <c r="AN6" s="817">
        <v>102.6</v>
      </c>
      <c r="AO6" s="46">
        <v>101.6</v>
      </c>
      <c r="AP6" s="46">
        <v>102.5</v>
      </c>
      <c r="AQ6" s="46">
        <v>103</v>
      </c>
      <c r="AR6" s="1080">
        <v>103.9</v>
      </c>
    </row>
    <row r="7" spans="1:44" s="15" customFormat="1" ht="25.5">
      <c r="A7" s="442" t="s">
        <v>121</v>
      </c>
      <c r="B7" s="273" t="s">
        <v>74</v>
      </c>
      <c r="C7" s="36" t="s">
        <v>1</v>
      </c>
      <c r="D7" s="36" t="s">
        <v>1</v>
      </c>
      <c r="E7" s="36" t="s">
        <v>1</v>
      </c>
      <c r="F7" s="36" t="s">
        <v>1</v>
      </c>
      <c r="G7" s="36">
        <v>156.80000000000001</v>
      </c>
      <c r="H7" s="36">
        <v>109.9</v>
      </c>
      <c r="I7" s="36">
        <v>127.9</v>
      </c>
      <c r="J7" s="36">
        <v>109.2</v>
      </c>
      <c r="K7" s="36">
        <v>107.7</v>
      </c>
      <c r="L7" s="36">
        <v>104.7</v>
      </c>
      <c r="M7" s="36">
        <v>110.8</v>
      </c>
      <c r="N7" s="36">
        <v>107</v>
      </c>
      <c r="O7" s="36">
        <v>104.2</v>
      </c>
      <c r="P7" s="36">
        <v>107.3</v>
      </c>
      <c r="Q7" s="36">
        <v>106</v>
      </c>
      <c r="R7" s="36">
        <v>104.5</v>
      </c>
      <c r="S7" s="36">
        <v>109.6</v>
      </c>
      <c r="T7" s="36">
        <v>108.6</v>
      </c>
      <c r="U7" s="36">
        <v>103.3</v>
      </c>
      <c r="V7" s="36">
        <v>103</v>
      </c>
      <c r="W7" s="36">
        <v>103.8</v>
      </c>
      <c r="X7" s="36">
        <v>103.3</v>
      </c>
      <c r="Y7" s="36">
        <v>103.1</v>
      </c>
      <c r="Z7" s="36" t="s">
        <v>17</v>
      </c>
      <c r="AA7" s="36">
        <v>101.7</v>
      </c>
      <c r="AB7" s="34">
        <v>104.6</v>
      </c>
      <c r="AC7" s="46">
        <v>105</v>
      </c>
      <c r="AD7" s="303">
        <v>104.6</v>
      </c>
      <c r="AE7" s="34">
        <v>100.4</v>
      </c>
      <c r="AF7" s="49">
        <v>100</v>
      </c>
      <c r="AG7" s="34">
        <v>108.5</v>
      </c>
      <c r="AH7" s="443">
        <v>99.8</v>
      </c>
      <c r="AI7" s="444">
        <v>105.9</v>
      </c>
      <c r="AJ7" s="19">
        <v>102.7</v>
      </c>
      <c r="AK7" s="780">
        <v>101.9</v>
      </c>
      <c r="AL7" s="817">
        <v>105</v>
      </c>
      <c r="AM7" s="817">
        <v>102.8</v>
      </c>
      <c r="AN7" s="817">
        <v>103</v>
      </c>
      <c r="AO7" s="46">
        <v>103.8</v>
      </c>
      <c r="AP7" s="46">
        <v>106.5</v>
      </c>
      <c r="AQ7" s="46">
        <v>107.9</v>
      </c>
      <c r="AR7" s="1080">
        <v>107.4</v>
      </c>
    </row>
    <row r="8" spans="1:44" s="15" customFormat="1" ht="38.25">
      <c r="A8" s="442" t="s">
        <v>122</v>
      </c>
      <c r="B8" s="273" t="s">
        <v>74</v>
      </c>
      <c r="C8" s="36"/>
      <c r="D8" s="36"/>
      <c r="E8" s="36"/>
      <c r="F8" s="36">
        <v>1767.7</v>
      </c>
      <c r="G8" s="36">
        <v>102.7</v>
      </c>
      <c r="H8" s="36">
        <v>127.5</v>
      </c>
      <c r="I8" s="36">
        <v>116.8</v>
      </c>
      <c r="J8" s="36">
        <v>104.3</v>
      </c>
      <c r="K8" s="36">
        <v>104.6</v>
      </c>
      <c r="L8" s="36">
        <v>109</v>
      </c>
      <c r="M8" s="36">
        <v>101.9</v>
      </c>
      <c r="N8" s="36">
        <v>106.3</v>
      </c>
      <c r="O8" s="36">
        <v>100.6</v>
      </c>
      <c r="P8" s="36">
        <v>100.7</v>
      </c>
      <c r="Q8" s="36">
        <v>106.5</v>
      </c>
      <c r="R8" s="36">
        <v>101.7</v>
      </c>
      <c r="S8" s="36">
        <v>99.6</v>
      </c>
      <c r="T8" s="36">
        <v>100.9</v>
      </c>
      <c r="U8" s="36">
        <v>101.1</v>
      </c>
      <c r="V8" s="36">
        <v>100.2</v>
      </c>
      <c r="W8" s="36">
        <v>100.1</v>
      </c>
      <c r="X8" s="36">
        <v>128.30000000000001</v>
      </c>
      <c r="Y8" s="36">
        <v>102.5</v>
      </c>
      <c r="Z8" s="36" t="s">
        <v>18</v>
      </c>
      <c r="AA8" s="36">
        <v>153.80000000000001</v>
      </c>
      <c r="AB8" s="34">
        <v>107.8</v>
      </c>
      <c r="AC8" s="34">
        <v>100.6</v>
      </c>
      <c r="AD8" s="303">
        <v>110.1</v>
      </c>
      <c r="AE8" s="46">
        <v>103</v>
      </c>
      <c r="AF8" s="46">
        <v>104.8</v>
      </c>
      <c r="AG8" s="34">
        <v>113.3</v>
      </c>
      <c r="AH8" s="443">
        <v>106.6</v>
      </c>
      <c r="AI8" s="448">
        <v>101.2</v>
      </c>
      <c r="AJ8" s="19">
        <v>103.6</v>
      </c>
      <c r="AK8" s="780">
        <v>101.2</v>
      </c>
      <c r="AL8" s="817">
        <v>101.7</v>
      </c>
      <c r="AM8" s="817">
        <v>101.6</v>
      </c>
      <c r="AN8" s="817">
        <v>101.4</v>
      </c>
      <c r="AO8" s="46">
        <v>101.4</v>
      </c>
      <c r="AP8" s="46">
        <v>101.4</v>
      </c>
      <c r="AQ8" s="46">
        <v>101.4</v>
      </c>
      <c r="AR8" s="1080">
        <v>101.4</v>
      </c>
    </row>
    <row r="9" spans="1:44" s="15" customFormat="1" ht="38.25">
      <c r="A9" s="442" t="s">
        <v>123</v>
      </c>
      <c r="B9" s="273" t="s">
        <v>74</v>
      </c>
      <c r="C9" s="36" t="s">
        <v>1</v>
      </c>
      <c r="D9" s="36" t="s">
        <v>1</v>
      </c>
      <c r="E9" s="36" t="s">
        <v>1</v>
      </c>
      <c r="F9" s="36" t="s">
        <v>1</v>
      </c>
      <c r="G9" s="36" t="s">
        <v>1</v>
      </c>
      <c r="H9" s="36" t="s">
        <v>1</v>
      </c>
      <c r="I9" s="36" t="s">
        <v>1</v>
      </c>
      <c r="J9" s="36" t="s">
        <v>1</v>
      </c>
      <c r="K9" s="36" t="s">
        <v>1</v>
      </c>
      <c r="L9" s="36" t="s">
        <v>1</v>
      </c>
      <c r="M9" s="36" t="s">
        <v>1</v>
      </c>
      <c r="N9" s="36" t="s">
        <v>1</v>
      </c>
      <c r="O9" s="36" t="s">
        <v>1</v>
      </c>
      <c r="P9" s="36" t="s">
        <v>1</v>
      </c>
      <c r="Q9" s="36" t="s">
        <v>1</v>
      </c>
      <c r="R9" s="36" t="s">
        <v>1</v>
      </c>
      <c r="S9" s="36" t="s">
        <v>1</v>
      </c>
      <c r="T9" s="36" t="s">
        <v>1</v>
      </c>
      <c r="U9" s="36" t="s">
        <v>1</v>
      </c>
      <c r="V9" s="36" t="s">
        <v>1</v>
      </c>
      <c r="W9" s="36">
        <v>98.7</v>
      </c>
      <c r="X9" s="36">
        <v>101.7</v>
      </c>
      <c r="Y9" s="36">
        <v>99.7</v>
      </c>
      <c r="Z9" s="36" t="s">
        <v>19</v>
      </c>
      <c r="AA9" s="36">
        <v>107.7</v>
      </c>
      <c r="AB9" s="34">
        <v>103.9</v>
      </c>
      <c r="AC9" s="34">
        <v>102.9</v>
      </c>
      <c r="AD9" s="303">
        <v>104.4</v>
      </c>
      <c r="AE9" s="34">
        <v>102.5</v>
      </c>
      <c r="AF9" s="46">
        <v>102.3</v>
      </c>
      <c r="AG9" s="34">
        <v>107.1</v>
      </c>
      <c r="AH9" s="450">
        <v>104</v>
      </c>
      <c r="AI9" s="449">
        <v>106.3</v>
      </c>
      <c r="AJ9" s="18">
        <v>100.9</v>
      </c>
      <c r="AK9" s="775">
        <v>108.8</v>
      </c>
      <c r="AL9" s="811">
        <v>104.7</v>
      </c>
      <c r="AM9" s="817">
        <v>104.8</v>
      </c>
      <c r="AN9" s="817">
        <v>104.8</v>
      </c>
      <c r="AO9" s="46">
        <v>104.8</v>
      </c>
      <c r="AP9" s="46">
        <v>104.8</v>
      </c>
      <c r="AQ9" s="46">
        <v>104.8</v>
      </c>
      <c r="AR9" s="1080">
        <v>104.8</v>
      </c>
    </row>
    <row r="10" spans="1:44" s="15" customFormat="1" ht="38.25">
      <c r="A10" s="442" t="s">
        <v>124</v>
      </c>
      <c r="B10" s="273" t="s">
        <v>74</v>
      </c>
      <c r="C10" s="36" t="s">
        <v>1</v>
      </c>
      <c r="D10" s="36" t="s">
        <v>1</v>
      </c>
      <c r="E10" s="36" t="s">
        <v>1</v>
      </c>
      <c r="F10" s="36" t="s">
        <v>1</v>
      </c>
      <c r="G10" s="36" t="s">
        <v>1</v>
      </c>
      <c r="H10" s="36" t="s">
        <v>1</v>
      </c>
      <c r="I10" s="36" t="s">
        <v>1</v>
      </c>
      <c r="J10" s="36" t="s">
        <v>1</v>
      </c>
      <c r="K10" s="36" t="s">
        <v>1</v>
      </c>
      <c r="L10" s="36" t="s">
        <v>1</v>
      </c>
      <c r="M10" s="36" t="s">
        <v>1</v>
      </c>
      <c r="N10" s="36" t="s">
        <v>1</v>
      </c>
      <c r="O10" s="36" t="s">
        <v>1</v>
      </c>
      <c r="P10" s="36" t="s">
        <v>1</v>
      </c>
      <c r="Q10" s="36" t="s">
        <v>1</v>
      </c>
      <c r="R10" s="36">
        <v>93.7</v>
      </c>
      <c r="S10" s="36">
        <v>93.3</v>
      </c>
      <c r="T10" s="36">
        <v>100.5</v>
      </c>
      <c r="U10" s="36">
        <v>99.8</v>
      </c>
      <c r="V10" s="36">
        <v>113.2</v>
      </c>
      <c r="W10" s="36">
        <v>94.7</v>
      </c>
      <c r="X10" s="36">
        <v>85.9</v>
      </c>
      <c r="Y10" s="36">
        <v>96.2</v>
      </c>
      <c r="Z10" s="36" t="s">
        <v>20</v>
      </c>
      <c r="AA10" s="36">
        <v>101.4</v>
      </c>
      <c r="AB10" s="34">
        <v>97.2</v>
      </c>
      <c r="AC10" s="34">
        <v>107.5</v>
      </c>
      <c r="AD10" s="303">
        <v>117.4</v>
      </c>
      <c r="AE10" s="34">
        <v>100.7</v>
      </c>
      <c r="AF10" s="46">
        <v>99.9</v>
      </c>
      <c r="AG10" s="34">
        <v>100.7</v>
      </c>
      <c r="AH10" s="443">
        <v>100.3</v>
      </c>
      <c r="AI10" s="448">
        <v>102.5</v>
      </c>
      <c r="AJ10" s="19">
        <v>100.1</v>
      </c>
      <c r="AK10" s="780">
        <v>101.7</v>
      </c>
      <c r="AL10" s="817">
        <v>100.1</v>
      </c>
      <c r="AM10" s="817">
        <v>100.1</v>
      </c>
      <c r="AN10" s="817">
        <v>100.1</v>
      </c>
      <c r="AO10" s="46">
        <v>100.1</v>
      </c>
      <c r="AP10" s="46">
        <v>100.9</v>
      </c>
      <c r="AQ10" s="46">
        <v>100.9</v>
      </c>
      <c r="AR10" s="1080">
        <v>100.9</v>
      </c>
    </row>
    <row r="11" spans="1:44" s="15" customFormat="1" ht="25.5">
      <c r="A11" s="442" t="s">
        <v>125</v>
      </c>
      <c r="B11" s="273" t="s">
        <v>74</v>
      </c>
      <c r="C11" s="36" t="s">
        <v>1</v>
      </c>
      <c r="D11" s="36" t="s">
        <v>1</v>
      </c>
      <c r="E11" s="36" t="s">
        <v>1</v>
      </c>
      <c r="F11" s="36" t="s">
        <v>1</v>
      </c>
      <c r="G11" s="36" t="s">
        <v>1</v>
      </c>
      <c r="H11" s="36" t="s">
        <v>1</v>
      </c>
      <c r="I11" s="36" t="s">
        <v>1</v>
      </c>
      <c r="J11" s="36" t="s">
        <v>1</v>
      </c>
      <c r="K11" s="36" t="s">
        <v>1</v>
      </c>
      <c r="L11" s="36" t="s">
        <v>1</v>
      </c>
      <c r="M11" s="36" t="s">
        <v>1</v>
      </c>
      <c r="N11" s="36" t="s">
        <v>1</v>
      </c>
      <c r="O11" s="36" t="s">
        <v>1</v>
      </c>
      <c r="P11" s="36" t="s">
        <v>1</v>
      </c>
      <c r="Q11" s="36" t="s">
        <v>1</v>
      </c>
      <c r="R11" s="36" t="s">
        <v>1</v>
      </c>
      <c r="S11" s="36" t="s">
        <v>1</v>
      </c>
      <c r="T11" s="36" t="s">
        <v>1</v>
      </c>
      <c r="U11" s="36">
        <v>107.2</v>
      </c>
      <c r="V11" s="36">
        <v>107.4</v>
      </c>
      <c r="W11" s="36">
        <v>108.4</v>
      </c>
      <c r="X11" s="36">
        <v>103.3</v>
      </c>
      <c r="Y11" s="36">
        <v>103</v>
      </c>
      <c r="Z11" s="36" t="s">
        <v>21</v>
      </c>
      <c r="AA11" s="36">
        <v>104.5</v>
      </c>
      <c r="AB11" s="34">
        <v>112.7</v>
      </c>
      <c r="AC11" s="34">
        <v>106.5</v>
      </c>
      <c r="AD11" s="303">
        <v>105.4</v>
      </c>
      <c r="AE11" s="34">
        <v>103.3</v>
      </c>
      <c r="AF11" s="49">
        <v>103.5</v>
      </c>
      <c r="AG11" s="34">
        <v>109.8</v>
      </c>
      <c r="AH11" s="443">
        <v>108.7</v>
      </c>
      <c r="AI11" s="448">
        <v>100.9</v>
      </c>
      <c r="AJ11" s="19">
        <v>104.2</v>
      </c>
      <c r="AK11" s="780">
        <v>103.6</v>
      </c>
      <c r="AL11" s="817">
        <v>101.8</v>
      </c>
      <c r="AM11" s="817">
        <v>103</v>
      </c>
      <c r="AN11" s="817">
        <v>103</v>
      </c>
      <c r="AO11" s="46">
        <v>103.3</v>
      </c>
      <c r="AP11" s="46">
        <v>103.1</v>
      </c>
      <c r="AQ11" s="46">
        <v>103.1</v>
      </c>
      <c r="AR11" s="1080">
        <v>103.2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Q14"/>
  <sheetViews>
    <sheetView workbookViewId="0">
      <pane xSplit="1" topLeftCell="Y1" activePane="topRight" state="frozen"/>
      <selection pane="topRight" activeCell="AM25" sqref="AM25"/>
    </sheetView>
  </sheetViews>
  <sheetFormatPr defaultRowHeight="12.75"/>
  <cols>
    <col min="1" max="1" width="53.7109375" bestFit="1" customWidth="1"/>
    <col min="2" max="2" width="12.42578125" bestFit="1" customWidth="1"/>
    <col min="3" max="11" width="5" bestFit="1" customWidth="1"/>
    <col min="12" max="16" width="6.85546875" bestFit="1" customWidth="1"/>
    <col min="17" max="29" width="7.85546875" bestFit="1" customWidth="1"/>
    <col min="30" max="30" width="6.42578125" bestFit="1" customWidth="1"/>
    <col min="31" max="35" width="7.85546875" bestFit="1" customWidth="1"/>
  </cols>
  <sheetData>
    <row r="1" spans="1:43" s="15" customFormat="1" ht="25.5">
      <c r="A1" s="266" t="s">
        <v>162</v>
      </c>
      <c r="B1" s="267" t="s">
        <v>232</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267">
        <v>2020</v>
      </c>
      <c r="AG1" s="451" t="s">
        <v>87</v>
      </c>
      <c r="AH1" s="452">
        <v>2022</v>
      </c>
      <c r="AI1" s="452">
        <v>2023</v>
      </c>
      <c r="AJ1" s="800">
        <v>2024</v>
      </c>
      <c r="AK1" s="267">
        <v>2025</v>
      </c>
      <c r="AN1" s="48"/>
      <c r="AO1" s="48"/>
      <c r="AP1" s="11"/>
      <c r="AQ1" s="11"/>
    </row>
    <row r="2" spans="1:43" s="15" customFormat="1">
      <c r="A2" s="453" t="s">
        <v>149</v>
      </c>
      <c r="B2" s="454" t="s">
        <v>214</v>
      </c>
      <c r="C2" s="36" t="s">
        <v>1</v>
      </c>
      <c r="D2" s="36" t="s">
        <v>1</v>
      </c>
      <c r="E2" s="36" t="s">
        <v>1</v>
      </c>
      <c r="F2" s="36" t="s">
        <v>1</v>
      </c>
      <c r="G2" s="36" t="s">
        <v>1</v>
      </c>
      <c r="H2" s="36" t="s">
        <v>1</v>
      </c>
      <c r="I2" s="36" t="s">
        <v>1</v>
      </c>
      <c r="J2" s="36" t="s">
        <v>1</v>
      </c>
      <c r="K2" s="36" t="s">
        <v>1</v>
      </c>
      <c r="L2" s="36">
        <v>2122.3000000000002</v>
      </c>
      <c r="M2" s="36">
        <v>2954.2</v>
      </c>
      <c r="N2" s="36">
        <v>4089.7</v>
      </c>
      <c r="O2" s="36">
        <v>4971</v>
      </c>
      <c r="P2" s="36">
        <v>6974.5</v>
      </c>
      <c r="Q2" s="36">
        <v>10619.3</v>
      </c>
      <c r="R2" s="36">
        <v>12812.6</v>
      </c>
      <c r="S2" s="36">
        <v>12520.2</v>
      </c>
      <c r="T2" s="36">
        <v>14951.7</v>
      </c>
      <c r="U2" s="36">
        <v>18336.2</v>
      </c>
      <c r="V2" s="36">
        <v>13319.8</v>
      </c>
      <c r="W2" s="36">
        <v>16287.6</v>
      </c>
      <c r="X2" s="36">
        <v>19061.5</v>
      </c>
      <c r="Y2" s="36">
        <v>30991</v>
      </c>
      <c r="Z2" s="36">
        <v>34030.300000000003</v>
      </c>
      <c r="AA2" s="36">
        <v>31791.200000000001</v>
      </c>
      <c r="AB2" s="36">
        <v>26596.2</v>
      </c>
      <c r="AC2" s="276">
        <v>25357.8</v>
      </c>
      <c r="AD2" s="59">
        <v>26586</v>
      </c>
      <c r="AE2" s="276">
        <v>28095.4</v>
      </c>
      <c r="AF2" s="455">
        <v>32873.300000000003</v>
      </c>
      <c r="AG2" s="456">
        <v>42738.7</v>
      </c>
      <c r="AH2" s="457">
        <v>46759.4</v>
      </c>
      <c r="AI2" s="457">
        <v>77204.100000000006</v>
      </c>
      <c r="AJ2" s="837">
        <v>94580.1</v>
      </c>
      <c r="AK2" s="456">
        <v>113238.5</v>
      </c>
    </row>
    <row r="3" spans="1:43" s="15" customFormat="1">
      <c r="A3" s="453" t="s">
        <v>150</v>
      </c>
      <c r="B3" s="283"/>
      <c r="C3" s="36" t="s">
        <v>1</v>
      </c>
      <c r="D3" s="36" t="s">
        <v>1</v>
      </c>
      <c r="E3" s="36" t="s">
        <v>1</v>
      </c>
      <c r="F3" s="36" t="s">
        <v>1</v>
      </c>
      <c r="G3" s="36" t="s">
        <v>1</v>
      </c>
      <c r="H3" s="36" t="s">
        <v>1</v>
      </c>
      <c r="I3" s="36" t="s">
        <v>1</v>
      </c>
      <c r="J3" s="36" t="s">
        <v>1</v>
      </c>
      <c r="K3" s="36" t="s">
        <v>1</v>
      </c>
      <c r="L3" s="36">
        <v>199</v>
      </c>
      <c r="M3" s="36">
        <v>103</v>
      </c>
      <c r="N3" s="36">
        <v>117</v>
      </c>
      <c r="O3" s="36">
        <v>118</v>
      </c>
      <c r="P3" s="36">
        <v>127</v>
      </c>
      <c r="Q3" s="36">
        <v>170</v>
      </c>
      <c r="R3" s="36">
        <v>194</v>
      </c>
      <c r="S3" s="36">
        <v>184</v>
      </c>
      <c r="T3" s="36">
        <v>183</v>
      </c>
      <c r="U3" s="36">
        <v>193</v>
      </c>
      <c r="V3" s="36">
        <v>196</v>
      </c>
      <c r="W3" s="36">
        <v>180</v>
      </c>
      <c r="X3" s="36">
        <v>119</v>
      </c>
      <c r="Y3" s="36" t="s">
        <v>22</v>
      </c>
      <c r="Z3" s="36">
        <v>148</v>
      </c>
      <c r="AA3" s="36">
        <v>152</v>
      </c>
      <c r="AB3" s="36">
        <v>133</v>
      </c>
      <c r="AC3" s="34">
        <v>131</v>
      </c>
      <c r="AD3" s="34">
        <v>135</v>
      </c>
      <c r="AE3" s="458">
        <v>138</v>
      </c>
      <c r="AF3" s="459">
        <v>135</v>
      </c>
      <c r="AG3" s="460">
        <v>139</v>
      </c>
      <c r="AH3" s="461">
        <v>132</v>
      </c>
      <c r="AI3" s="461">
        <v>134</v>
      </c>
      <c r="AJ3" s="838">
        <v>142</v>
      </c>
      <c r="AK3" s="460">
        <v>141</v>
      </c>
    </row>
    <row r="4" spans="1:43" s="15" customFormat="1">
      <c r="A4" s="453" t="s">
        <v>151</v>
      </c>
      <c r="B4" s="283"/>
      <c r="C4" s="36"/>
      <c r="D4" s="36"/>
      <c r="E4" s="36"/>
      <c r="F4" s="36"/>
      <c r="G4" s="36"/>
      <c r="H4" s="36"/>
      <c r="I4" s="36"/>
      <c r="J4" s="36"/>
      <c r="K4" s="36"/>
      <c r="L4" s="36"/>
      <c r="M4" s="36"/>
      <c r="N4" s="36"/>
      <c r="O4" s="36"/>
      <c r="P4" s="36"/>
      <c r="Q4" s="36"/>
      <c r="R4" s="36"/>
      <c r="S4" s="36"/>
      <c r="T4" s="36"/>
      <c r="U4" s="36"/>
      <c r="V4" s="36"/>
      <c r="W4" s="36"/>
      <c r="X4" s="36"/>
      <c r="Y4" s="36"/>
      <c r="Z4" s="36"/>
      <c r="AA4" s="36"/>
      <c r="AB4" s="36"/>
      <c r="AC4" s="34"/>
      <c r="AD4" s="34"/>
      <c r="AE4" s="458" t="s">
        <v>1</v>
      </c>
      <c r="AF4" s="459"/>
      <c r="AG4" s="460"/>
      <c r="AH4" s="461"/>
      <c r="AI4" s="461"/>
      <c r="AJ4" s="838"/>
      <c r="AK4" s="460"/>
    </row>
    <row r="5" spans="1:43" s="15" customFormat="1">
      <c r="A5" s="453" t="s">
        <v>152</v>
      </c>
      <c r="B5" s="283"/>
      <c r="C5" s="36" t="s">
        <v>1</v>
      </c>
      <c r="D5" s="36" t="s">
        <v>1</v>
      </c>
      <c r="E5" s="36" t="s">
        <v>1</v>
      </c>
      <c r="F5" s="36" t="s">
        <v>1</v>
      </c>
      <c r="G5" s="36" t="s">
        <v>1</v>
      </c>
      <c r="H5" s="36" t="s">
        <v>1</v>
      </c>
      <c r="I5" s="36" t="s">
        <v>1</v>
      </c>
      <c r="J5" s="36" t="s">
        <v>1</v>
      </c>
      <c r="K5" s="36" t="s">
        <v>1</v>
      </c>
      <c r="L5" s="36">
        <v>114</v>
      </c>
      <c r="M5" s="36">
        <v>70</v>
      </c>
      <c r="N5" s="36" t="s">
        <v>1</v>
      </c>
      <c r="O5" s="36">
        <v>71</v>
      </c>
      <c r="P5" s="36">
        <v>51</v>
      </c>
      <c r="Q5" s="36">
        <v>58</v>
      </c>
      <c r="R5" s="36">
        <v>62</v>
      </c>
      <c r="S5" s="36">
        <v>51</v>
      </c>
      <c r="T5" s="36">
        <v>39</v>
      </c>
      <c r="U5" s="36">
        <v>32</v>
      </c>
      <c r="V5" s="36">
        <v>35</v>
      </c>
      <c r="W5" s="36">
        <v>37</v>
      </c>
      <c r="X5" s="36">
        <v>17</v>
      </c>
      <c r="Y5" s="36" t="s">
        <v>23</v>
      </c>
      <c r="Z5" s="36">
        <v>48</v>
      </c>
      <c r="AA5" s="36">
        <v>47</v>
      </c>
      <c r="AB5" s="36">
        <v>47</v>
      </c>
      <c r="AC5" s="34">
        <v>46</v>
      </c>
      <c r="AD5" s="34">
        <v>47</v>
      </c>
      <c r="AE5" s="458">
        <v>48</v>
      </c>
      <c r="AF5" s="459">
        <v>40</v>
      </c>
      <c r="AG5" s="460">
        <v>42</v>
      </c>
      <c r="AH5" s="461">
        <v>41</v>
      </c>
      <c r="AI5" s="461">
        <v>37</v>
      </c>
      <c r="AJ5" s="838">
        <v>38</v>
      </c>
      <c r="AK5" s="460">
        <v>40</v>
      </c>
    </row>
    <row r="6" spans="1:43" s="15" customFormat="1">
      <c r="A6" s="453" t="s">
        <v>153</v>
      </c>
      <c r="B6" s="283"/>
      <c r="C6" s="36" t="s">
        <v>1</v>
      </c>
      <c r="D6" s="36" t="s">
        <v>1</v>
      </c>
      <c r="E6" s="36" t="s">
        <v>1</v>
      </c>
      <c r="F6" s="36" t="s">
        <v>1</v>
      </c>
      <c r="G6" s="36" t="s">
        <v>1</v>
      </c>
      <c r="H6" s="36" t="s">
        <v>1</v>
      </c>
      <c r="I6" s="36" t="s">
        <v>1</v>
      </c>
      <c r="J6" s="36" t="s">
        <v>1</v>
      </c>
      <c r="K6" s="36" t="s">
        <v>1</v>
      </c>
      <c r="L6" s="36">
        <v>52</v>
      </c>
      <c r="M6" s="36">
        <v>20</v>
      </c>
      <c r="N6" s="36" t="s">
        <v>1</v>
      </c>
      <c r="O6" s="36">
        <v>21</v>
      </c>
      <c r="P6" s="36">
        <v>45</v>
      </c>
      <c r="Q6" s="36">
        <v>50</v>
      </c>
      <c r="R6" s="36">
        <v>44</v>
      </c>
      <c r="S6" s="36">
        <v>50</v>
      </c>
      <c r="T6" s="36">
        <v>47</v>
      </c>
      <c r="U6" s="36">
        <v>50</v>
      </c>
      <c r="V6" s="36">
        <v>48</v>
      </c>
      <c r="W6" s="36">
        <v>46</v>
      </c>
      <c r="X6" s="36">
        <v>47</v>
      </c>
      <c r="Y6" s="36" t="s">
        <v>24</v>
      </c>
      <c r="Z6" s="36">
        <v>40</v>
      </c>
      <c r="AA6" s="36">
        <v>36</v>
      </c>
      <c r="AB6" s="36">
        <v>32</v>
      </c>
      <c r="AC6" s="34">
        <v>32</v>
      </c>
      <c r="AD6" s="34">
        <v>30</v>
      </c>
      <c r="AE6" s="458">
        <v>27</v>
      </c>
      <c r="AF6" s="459">
        <v>29</v>
      </c>
      <c r="AG6" s="460">
        <v>26</v>
      </c>
      <c r="AH6" s="461">
        <v>26</v>
      </c>
      <c r="AI6" s="461">
        <v>32</v>
      </c>
      <c r="AJ6" s="838">
        <v>31</v>
      </c>
      <c r="AK6" s="460">
        <v>28</v>
      </c>
    </row>
    <row r="7" spans="1:43" s="15" customFormat="1">
      <c r="A7" s="453" t="s">
        <v>154</v>
      </c>
      <c r="B7" s="283"/>
      <c r="C7" s="36" t="s">
        <v>1</v>
      </c>
      <c r="D7" s="36" t="s">
        <v>1</v>
      </c>
      <c r="E7" s="36" t="s">
        <v>1</v>
      </c>
      <c r="F7" s="36" t="s">
        <v>1</v>
      </c>
      <c r="G7" s="36" t="s">
        <v>1</v>
      </c>
      <c r="H7" s="36" t="s">
        <v>1</v>
      </c>
      <c r="I7" s="36" t="s">
        <v>1</v>
      </c>
      <c r="J7" s="36" t="s">
        <v>1</v>
      </c>
      <c r="K7" s="36" t="s">
        <v>1</v>
      </c>
      <c r="L7" s="36">
        <v>31</v>
      </c>
      <c r="M7" s="36">
        <v>13</v>
      </c>
      <c r="N7" s="36" t="s">
        <v>1</v>
      </c>
      <c r="O7" s="36">
        <v>24</v>
      </c>
      <c r="P7" s="36">
        <v>31</v>
      </c>
      <c r="Q7" s="36">
        <v>58</v>
      </c>
      <c r="R7" s="36">
        <v>86</v>
      </c>
      <c r="S7" s="36">
        <v>79</v>
      </c>
      <c r="T7" s="36">
        <v>80</v>
      </c>
      <c r="U7" s="36">
        <v>37</v>
      </c>
      <c r="V7" s="36">
        <v>24</v>
      </c>
      <c r="W7" s="36">
        <v>49</v>
      </c>
      <c r="X7" s="36">
        <v>22</v>
      </c>
      <c r="Y7" s="36" t="s">
        <v>25</v>
      </c>
      <c r="Z7" s="36">
        <v>39</v>
      </c>
      <c r="AA7" s="36">
        <v>49</v>
      </c>
      <c r="AB7" s="36">
        <v>41</v>
      </c>
      <c r="AC7" s="34">
        <v>36</v>
      </c>
      <c r="AD7" s="34">
        <v>38</v>
      </c>
      <c r="AE7" s="458">
        <v>44</v>
      </c>
      <c r="AF7" s="459">
        <v>49</v>
      </c>
      <c r="AG7" s="460">
        <v>54</v>
      </c>
      <c r="AH7" s="461">
        <v>51</v>
      </c>
      <c r="AI7" s="461">
        <v>47</v>
      </c>
      <c r="AJ7" s="838">
        <v>72</v>
      </c>
      <c r="AK7" s="460">
        <v>73</v>
      </c>
    </row>
    <row r="8" spans="1:43" s="15" customFormat="1">
      <c r="A8" s="453" t="s">
        <v>155</v>
      </c>
      <c r="B8" s="283"/>
      <c r="C8" s="36" t="s">
        <v>1</v>
      </c>
      <c r="D8" s="36" t="s">
        <v>1</v>
      </c>
      <c r="E8" s="36" t="s">
        <v>1</v>
      </c>
      <c r="F8" s="36" t="s">
        <v>1</v>
      </c>
      <c r="G8" s="36" t="s">
        <v>1</v>
      </c>
      <c r="H8" s="36" t="s">
        <v>1</v>
      </c>
      <c r="I8" s="36" t="s">
        <v>1</v>
      </c>
      <c r="J8" s="36" t="s">
        <v>1</v>
      </c>
      <c r="K8" s="36" t="s">
        <v>1</v>
      </c>
      <c r="L8" s="36">
        <v>2</v>
      </c>
      <c r="M8" s="36" t="s">
        <v>1</v>
      </c>
      <c r="N8" s="36" t="s">
        <v>1</v>
      </c>
      <c r="O8" s="36">
        <v>2</v>
      </c>
      <c r="P8" s="36" t="s">
        <v>1</v>
      </c>
      <c r="Q8" s="36">
        <v>4</v>
      </c>
      <c r="R8" s="36">
        <v>2</v>
      </c>
      <c r="S8" s="36">
        <v>4</v>
      </c>
      <c r="T8" s="36">
        <v>17</v>
      </c>
      <c r="U8" s="36">
        <v>74</v>
      </c>
      <c r="V8" s="36">
        <v>89</v>
      </c>
      <c r="W8" s="36">
        <v>48</v>
      </c>
      <c r="X8" s="36">
        <v>33</v>
      </c>
      <c r="Y8" s="36" t="s">
        <v>23</v>
      </c>
      <c r="Z8" s="36">
        <v>21</v>
      </c>
      <c r="AA8" s="36">
        <v>20</v>
      </c>
      <c r="AB8" s="36">
        <v>13</v>
      </c>
      <c r="AC8" s="34">
        <v>17</v>
      </c>
      <c r="AD8" s="34">
        <v>20</v>
      </c>
      <c r="AE8" s="458">
        <v>19</v>
      </c>
      <c r="AF8" s="459">
        <v>17</v>
      </c>
      <c r="AG8" s="460">
        <v>17</v>
      </c>
      <c r="AH8" s="461">
        <v>14</v>
      </c>
      <c r="AI8" s="461">
        <v>18</v>
      </c>
      <c r="AJ8" s="838">
        <v>1</v>
      </c>
      <c r="AK8" s="460" t="s">
        <v>1</v>
      </c>
    </row>
    <row r="9" spans="1:43" s="15" customFormat="1">
      <c r="A9" s="453" t="s">
        <v>156</v>
      </c>
      <c r="B9" s="273" t="s">
        <v>247</v>
      </c>
      <c r="C9" s="36" t="s">
        <v>1</v>
      </c>
      <c r="D9" s="36" t="s">
        <v>1</v>
      </c>
      <c r="E9" s="36" t="s">
        <v>1</v>
      </c>
      <c r="F9" s="36" t="s">
        <v>1</v>
      </c>
      <c r="G9" s="36" t="s">
        <v>1</v>
      </c>
      <c r="H9" s="36" t="s">
        <v>1</v>
      </c>
      <c r="I9" s="36" t="s">
        <v>1</v>
      </c>
      <c r="J9" s="36" t="s">
        <v>1</v>
      </c>
      <c r="K9" s="36" t="s">
        <v>1</v>
      </c>
      <c r="L9" s="36">
        <v>7794</v>
      </c>
      <c r="M9" s="36">
        <v>7941</v>
      </c>
      <c r="N9" s="36">
        <v>8036</v>
      </c>
      <c r="O9" s="36">
        <v>8332</v>
      </c>
      <c r="P9" s="36">
        <v>8700</v>
      </c>
      <c r="Q9" s="36">
        <v>9258</v>
      </c>
      <c r="R9" s="36">
        <v>9265</v>
      </c>
      <c r="S9" s="36">
        <v>7989</v>
      </c>
      <c r="T9" s="36">
        <v>7225</v>
      </c>
      <c r="U9" s="36">
        <v>8218</v>
      </c>
      <c r="V9" s="36">
        <v>8178</v>
      </c>
      <c r="W9" s="36">
        <v>8689</v>
      </c>
      <c r="X9" s="36">
        <v>8644</v>
      </c>
      <c r="Y9" s="58">
        <v>9654</v>
      </c>
      <c r="Z9" s="36">
        <v>11094</v>
      </c>
      <c r="AA9" s="36">
        <v>10505</v>
      </c>
      <c r="AB9" s="36">
        <v>9542</v>
      </c>
      <c r="AC9" s="59">
        <v>8821</v>
      </c>
      <c r="AD9" s="59">
        <v>9407</v>
      </c>
      <c r="AE9" s="59">
        <v>8859</v>
      </c>
      <c r="AF9" s="459">
        <v>9299</v>
      </c>
      <c r="AG9" s="460">
        <v>8730</v>
      </c>
      <c r="AH9" s="461">
        <v>9191</v>
      </c>
      <c r="AI9" s="461">
        <v>9994</v>
      </c>
      <c r="AJ9" s="838">
        <v>10628</v>
      </c>
      <c r="AK9" s="460">
        <v>11358</v>
      </c>
    </row>
    <row r="10" spans="1:43" s="15" customFormat="1">
      <c r="A10" s="453" t="s">
        <v>157</v>
      </c>
      <c r="B10" s="283"/>
      <c r="C10" s="36" t="s">
        <v>1</v>
      </c>
      <c r="D10" s="36" t="s">
        <v>1</v>
      </c>
      <c r="E10" s="36" t="s">
        <v>1</v>
      </c>
      <c r="F10" s="36" t="s">
        <v>1</v>
      </c>
      <c r="G10" s="36" t="s">
        <v>1</v>
      </c>
      <c r="H10" s="36" t="s">
        <v>1</v>
      </c>
      <c r="I10" s="36" t="s">
        <v>1</v>
      </c>
      <c r="J10" s="36" t="s">
        <v>1</v>
      </c>
      <c r="K10" s="36" t="s">
        <v>1</v>
      </c>
      <c r="L10" s="36">
        <v>5115</v>
      </c>
      <c r="M10" s="36">
        <v>5194</v>
      </c>
      <c r="N10" s="36">
        <v>5223</v>
      </c>
      <c r="O10" s="36">
        <v>5437</v>
      </c>
      <c r="P10" s="36">
        <v>5779</v>
      </c>
      <c r="Q10" s="36">
        <v>6390</v>
      </c>
      <c r="R10" s="36">
        <v>6382</v>
      </c>
      <c r="S10" s="36">
        <v>5511</v>
      </c>
      <c r="T10" s="36">
        <v>4896</v>
      </c>
      <c r="U10" s="36">
        <v>5619</v>
      </c>
      <c r="V10" s="36">
        <v>5569</v>
      </c>
      <c r="W10" s="36">
        <v>5769</v>
      </c>
      <c r="X10" s="36">
        <v>5830</v>
      </c>
      <c r="Y10" s="58">
        <v>6732</v>
      </c>
      <c r="Z10" s="36">
        <v>8210</v>
      </c>
      <c r="AA10" s="36">
        <v>7796</v>
      </c>
      <c r="AB10" s="36">
        <v>7069</v>
      </c>
      <c r="AC10" s="59">
        <v>6969</v>
      </c>
      <c r="AD10" s="59">
        <v>7394</v>
      </c>
      <c r="AE10" s="59">
        <v>6963</v>
      </c>
      <c r="AF10" s="459">
        <v>7502</v>
      </c>
      <c r="AG10" s="460">
        <v>6763</v>
      </c>
      <c r="AH10" s="461">
        <v>7280</v>
      </c>
      <c r="AI10" s="461">
        <v>8699</v>
      </c>
      <c r="AJ10" s="838">
        <v>9314</v>
      </c>
      <c r="AK10" s="460">
        <v>9937</v>
      </c>
    </row>
    <row r="11" spans="1:43" s="15" customFormat="1">
      <c r="A11" s="453" t="s">
        <v>158</v>
      </c>
      <c r="B11" s="283"/>
      <c r="C11" s="36" t="s">
        <v>1</v>
      </c>
      <c r="D11" s="36" t="s">
        <v>1</v>
      </c>
      <c r="E11" s="36" t="s">
        <v>1</v>
      </c>
      <c r="F11" s="36" t="s">
        <v>1</v>
      </c>
      <c r="G11" s="36" t="s">
        <v>1</v>
      </c>
      <c r="H11" s="36" t="s">
        <v>1</v>
      </c>
      <c r="I11" s="36" t="s">
        <v>1</v>
      </c>
      <c r="J11" s="36" t="s">
        <v>1</v>
      </c>
      <c r="K11" s="36" t="s">
        <v>1</v>
      </c>
      <c r="L11" s="36">
        <v>716</v>
      </c>
      <c r="M11" s="36">
        <v>692</v>
      </c>
      <c r="N11" s="36">
        <v>686</v>
      </c>
      <c r="O11" s="36">
        <v>713</v>
      </c>
      <c r="P11" s="36">
        <v>741</v>
      </c>
      <c r="Q11" s="36">
        <v>784</v>
      </c>
      <c r="R11" s="36">
        <v>766</v>
      </c>
      <c r="S11" s="36">
        <v>752</v>
      </c>
      <c r="T11" s="36">
        <v>702</v>
      </c>
      <c r="U11" s="36">
        <v>864</v>
      </c>
      <c r="V11" s="36">
        <v>824</v>
      </c>
      <c r="W11" s="36" t="s">
        <v>1</v>
      </c>
      <c r="X11" s="36">
        <v>555</v>
      </c>
      <c r="Y11" s="36" t="s">
        <v>10</v>
      </c>
      <c r="Z11" s="36">
        <v>1027</v>
      </c>
      <c r="AA11" s="36">
        <v>933</v>
      </c>
      <c r="AB11" s="36">
        <v>903</v>
      </c>
      <c r="AC11" s="34">
        <v>891</v>
      </c>
      <c r="AD11" s="34">
        <v>932</v>
      </c>
      <c r="AE11" s="59">
        <v>938</v>
      </c>
      <c r="AF11" s="459">
        <v>1038</v>
      </c>
      <c r="AG11" s="460">
        <v>865</v>
      </c>
      <c r="AH11" s="462">
        <v>966</v>
      </c>
      <c r="AI11" s="461">
        <v>1064</v>
      </c>
      <c r="AJ11" s="838">
        <v>1079</v>
      </c>
      <c r="AK11" s="460">
        <v>1066</v>
      </c>
    </row>
    <row r="12" spans="1:43" s="15" customFormat="1">
      <c r="A12" s="453" t="s">
        <v>159</v>
      </c>
      <c r="B12" s="283"/>
      <c r="C12" s="36" t="s">
        <v>1</v>
      </c>
      <c r="D12" s="36" t="s">
        <v>1</v>
      </c>
      <c r="E12" s="36" t="s">
        <v>1</v>
      </c>
      <c r="F12" s="36" t="s">
        <v>1</v>
      </c>
      <c r="G12" s="36" t="s">
        <v>1</v>
      </c>
      <c r="H12" s="36" t="s">
        <v>1</v>
      </c>
      <c r="I12" s="36" t="s">
        <v>1</v>
      </c>
      <c r="J12" s="36" t="s">
        <v>1</v>
      </c>
      <c r="K12" s="36" t="s">
        <v>1</v>
      </c>
      <c r="L12" s="36" t="s">
        <v>1</v>
      </c>
      <c r="M12" s="36" t="s">
        <v>1</v>
      </c>
      <c r="N12" s="36" t="s">
        <v>1</v>
      </c>
      <c r="O12" s="36" t="s">
        <v>1</v>
      </c>
      <c r="P12" s="36" t="s">
        <v>1</v>
      </c>
      <c r="Q12" s="36" t="s">
        <v>1</v>
      </c>
      <c r="R12" s="36" t="s">
        <v>1</v>
      </c>
      <c r="S12" s="36" t="s">
        <v>1</v>
      </c>
      <c r="T12" s="36" t="s">
        <v>1</v>
      </c>
      <c r="U12" s="36" t="s">
        <v>1</v>
      </c>
      <c r="V12" s="36" t="s">
        <v>1</v>
      </c>
      <c r="W12" s="36">
        <v>948</v>
      </c>
      <c r="X12" s="36">
        <v>421</v>
      </c>
      <c r="Y12" s="36" t="s">
        <v>11</v>
      </c>
      <c r="Z12" s="36">
        <v>384</v>
      </c>
      <c r="AA12" s="36">
        <v>306</v>
      </c>
      <c r="AB12" s="36">
        <v>301</v>
      </c>
      <c r="AC12" s="34">
        <v>182</v>
      </c>
      <c r="AD12" s="34">
        <v>175</v>
      </c>
      <c r="AE12" s="59">
        <v>165</v>
      </c>
      <c r="AF12" s="459">
        <v>43</v>
      </c>
      <c r="AG12" s="460">
        <v>33</v>
      </c>
      <c r="AH12" s="461">
        <v>32</v>
      </c>
      <c r="AI12" s="461">
        <v>50</v>
      </c>
      <c r="AJ12" s="838">
        <v>171</v>
      </c>
      <c r="AK12" s="460">
        <v>57</v>
      </c>
    </row>
    <row r="13" spans="1:43" s="15" customFormat="1">
      <c r="A13" s="453" t="s">
        <v>160</v>
      </c>
      <c r="B13" s="283"/>
      <c r="C13" s="36" t="s">
        <v>1</v>
      </c>
      <c r="D13" s="36" t="s">
        <v>1</v>
      </c>
      <c r="E13" s="36" t="s">
        <v>1</v>
      </c>
      <c r="F13" s="36" t="s">
        <v>1</v>
      </c>
      <c r="G13" s="36" t="s">
        <v>1</v>
      </c>
      <c r="H13" s="36" t="s">
        <v>1</v>
      </c>
      <c r="I13" s="36" t="s">
        <v>1</v>
      </c>
      <c r="J13" s="36" t="s">
        <v>1</v>
      </c>
      <c r="K13" s="36" t="s">
        <v>1</v>
      </c>
      <c r="L13" s="36" t="s">
        <v>1</v>
      </c>
      <c r="M13" s="36" t="s">
        <v>1</v>
      </c>
      <c r="N13" s="36" t="s">
        <v>1</v>
      </c>
      <c r="O13" s="36" t="s">
        <v>1</v>
      </c>
      <c r="P13" s="36" t="s">
        <v>1</v>
      </c>
      <c r="Q13" s="36" t="s">
        <v>1</v>
      </c>
      <c r="R13" s="36" t="s">
        <v>1</v>
      </c>
      <c r="S13" s="36" t="s">
        <v>1</v>
      </c>
      <c r="T13" s="36" t="s">
        <v>1</v>
      </c>
      <c r="U13" s="36">
        <v>48</v>
      </c>
      <c r="V13" s="36">
        <v>39</v>
      </c>
      <c r="W13" s="36">
        <v>60</v>
      </c>
      <c r="X13" s="36">
        <v>77</v>
      </c>
      <c r="Y13" s="36" t="s">
        <v>3</v>
      </c>
      <c r="Z13" s="36">
        <v>191</v>
      </c>
      <c r="AA13" s="36">
        <v>250</v>
      </c>
      <c r="AB13" s="36">
        <v>244</v>
      </c>
      <c r="AC13" s="34">
        <v>309</v>
      </c>
      <c r="AD13" s="34">
        <v>416</v>
      </c>
      <c r="AE13" s="59">
        <v>515</v>
      </c>
      <c r="AF13" s="459">
        <v>686</v>
      </c>
      <c r="AG13" s="460">
        <v>712</v>
      </c>
      <c r="AH13" s="461">
        <v>925</v>
      </c>
      <c r="AI13" s="461">
        <v>1308</v>
      </c>
      <c r="AJ13" s="838">
        <v>1601</v>
      </c>
      <c r="AK13" s="300">
        <v>1936</v>
      </c>
    </row>
    <row r="14" spans="1:43" s="15" customFormat="1">
      <c r="A14" s="453" t="s">
        <v>161</v>
      </c>
      <c r="B14" s="283"/>
      <c r="C14" s="36" t="s">
        <v>1</v>
      </c>
      <c r="D14" s="36" t="s">
        <v>1</v>
      </c>
      <c r="E14" s="36" t="s">
        <v>1</v>
      </c>
      <c r="F14" s="36" t="s">
        <v>1</v>
      </c>
      <c r="G14" s="36" t="s">
        <v>1</v>
      </c>
      <c r="H14" s="36" t="s">
        <v>1</v>
      </c>
      <c r="I14" s="36" t="s">
        <v>1</v>
      </c>
      <c r="J14" s="36" t="s">
        <v>1</v>
      </c>
      <c r="K14" s="36" t="s">
        <v>1</v>
      </c>
      <c r="L14" s="36">
        <v>1792</v>
      </c>
      <c r="M14" s="36">
        <v>1762</v>
      </c>
      <c r="N14" s="36">
        <v>1766</v>
      </c>
      <c r="O14" s="36">
        <v>1820</v>
      </c>
      <c r="P14" s="36">
        <v>1775</v>
      </c>
      <c r="Q14" s="36">
        <v>1803</v>
      </c>
      <c r="R14" s="36">
        <v>1710</v>
      </c>
      <c r="S14" s="36">
        <v>1501</v>
      </c>
      <c r="T14" s="36">
        <v>1389</v>
      </c>
      <c r="U14" s="36">
        <v>1574</v>
      </c>
      <c r="V14" s="36">
        <v>1531</v>
      </c>
      <c r="W14" s="36">
        <v>1790</v>
      </c>
      <c r="X14" s="36">
        <v>1601</v>
      </c>
      <c r="Y14" s="58">
        <v>1893</v>
      </c>
      <c r="Z14" s="36">
        <v>2276</v>
      </c>
      <c r="AA14" s="36">
        <v>2205</v>
      </c>
      <c r="AB14" s="36">
        <v>1987</v>
      </c>
      <c r="AC14" s="59">
        <v>1859</v>
      </c>
      <c r="AD14" s="59">
        <v>1911</v>
      </c>
      <c r="AE14" s="59">
        <v>1825</v>
      </c>
      <c r="AF14" s="459">
        <v>1849</v>
      </c>
      <c r="AG14" s="460">
        <v>1510</v>
      </c>
      <c r="AH14" s="461">
        <v>1561</v>
      </c>
      <c r="AI14" s="461">
        <v>1899</v>
      </c>
      <c r="AJ14" s="838">
        <v>1883</v>
      </c>
      <c r="AK14" s="300">
        <v>1968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K62"/>
  <sheetViews>
    <sheetView workbookViewId="0">
      <pane xSplit="1" topLeftCell="Y1" activePane="topRight" state="frozen"/>
      <selection pane="topRight" activeCell="AM17" sqref="AM17"/>
    </sheetView>
  </sheetViews>
  <sheetFormatPr defaultRowHeight="12.75"/>
  <cols>
    <col min="1" max="1" width="48" bestFit="1" customWidth="1"/>
    <col min="2" max="2" width="12.42578125" bestFit="1" customWidth="1"/>
    <col min="3" max="24" width="5" bestFit="1" customWidth="1"/>
    <col min="25" max="36" width="5.42578125" bestFit="1" customWidth="1"/>
    <col min="37" max="37" width="6.7109375" customWidth="1"/>
  </cols>
  <sheetData>
    <row r="1" spans="1:37" s="15" customFormat="1" ht="25.5">
      <c r="A1" s="422" t="s">
        <v>142</v>
      </c>
      <c r="B1" s="267" t="s">
        <v>232</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7">
        <v>2016</v>
      </c>
      <c r="AC1" s="267">
        <v>2017</v>
      </c>
      <c r="AD1" s="267">
        <v>2018</v>
      </c>
      <c r="AE1" s="267">
        <v>2019</v>
      </c>
      <c r="AF1" s="451">
        <v>2020</v>
      </c>
      <c r="AG1" s="451" t="s">
        <v>87</v>
      </c>
      <c r="AH1" s="463" t="s">
        <v>98</v>
      </c>
      <c r="AI1" s="463" t="s">
        <v>387</v>
      </c>
      <c r="AJ1" s="667" t="s">
        <v>448</v>
      </c>
      <c r="AK1" s="889" t="s">
        <v>480</v>
      </c>
    </row>
    <row r="2" spans="1:37" s="15" customFormat="1">
      <c r="A2" s="464" t="s">
        <v>143</v>
      </c>
      <c r="B2" s="15" t="s">
        <v>244</v>
      </c>
      <c r="C2" s="36"/>
      <c r="D2" s="36"/>
      <c r="E2" s="36"/>
      <c r="F2" s="36"/>
      <c r="G2" s="36"/>
      <c r="H2" s="36"/>
      <c r="I2" s="36"/>
      <c r="J2" s="36"/>
      <c r="K2" s="36"/>
      <c r="L2" s="36"/>
      <c r="M2" s="36"/>
      <c r="N2" s="36"/>
      <c r="O2" s="36"/>
      <c r="P2" s="36"/>
      <c r="Q2" s="36"/>
      <c r="R2" s="36"/>
      <c r="S2" s="36"/>
      <c r="T2" s="36"/>
      <c r="U2" s="36"/>
      <c r="V2" s="36"/>
      <c r="W2" s="36"/>
      <c r="X2" s="36"/>
      <c r="Y2" s="36"/>
      <c r="Z2" s="36"/>
      <c r="AA2" s="316"/>
      <c r="AB2" s="315"/>
      <c r="AC2" s="32"/>
      <c r="AD2" s="32"/>
      <c r="AE2" s="447"/>
      <c r="AF2" s="34"/>
      <c r="AG2" s="447"/>
      <c r="AH2" s="465"/>
      <c r="AI2" s="447"/>
      <c r="AJ2" s="668"/>
      <c r="AK2" s="542"/>
    </row>
    <row r="3" spans="1:37" s="15" customFormat="1">
      <c r="A3" s="423" t="s">
        <v>108</v>
      </c>
      <c r="B3" s="283"/>
      <c r="C3" s="58" t="s">
        <v>1</v>
      </c>
      <c r="D3" s="58" t="s">
        <v>1</v>
      </c>
      <c r="E3" s="36">
        <v>20</v>
      </c>
      <c r="F3" s="36">
        <v>20.100000000000001</v>
      </c>
      <c r="G3" s="36">
        <v>20.3</v>
      </c>
      <c r="H3" s="36">
        <v>20.5</v>
      </c>
      <c r="I3" s="36">
        <v>20.8</v>
      </c>
      <c r="J3" s="36"/>
      <c r="K3" s="36">
        <v>20.8</v>
      </c>
      <c r="L3" s="36">
        <v>19.2</v>
      </c>
      <c r="M3" s="36">
        <v>19.3</v>
      </c>
      <c r="N3" s="36">
        <v>19.3</v>
      </c>
      <c r="O3" s="36">
        <v>19.600000000000001</v>
      </c>
      <c r="P3" s="36">
        <v>20</v>
      </c>
      <c r="Q3" s="36">
        <v>20.3</v>
      </c>
      <c r="R3" s="36">
        <v>20.6</v>
      </c>
      <c r="S3" s="36">
        <v>20.7</v>
      </c>
      <c r="T3" s="36">
        <v>20.8</v>
      </c>
      <c r="U3" s="36">
        <v>20.9</v>
      </c>
      <c r="V3" s="36">
        <v>21.9</v>
      </c>
      <c r="W3" s="36">
        <v>22.7</v>
      </c>
      <c r="X3" s="36">
        <v>28.4</v>
      </c>
      <c r="Y3" s="36">
        <v>37</v>
      </c>
      <c r="Z3" s="36">
        <v>41</v>
      </c>
      <c r="AA3" s="316">
        <v>42.7</v>
      </c>
      <c r="AB3" s="382">
        <v>44.1</v>
      </c>
      <c r="AC3" s="34">
        <v>43.3</v>
      </c>
      <c r="AD3" s="45">
        <v>44.5</v>
      </c>
      <c r="AE3" s="34">
        <v>45.7</v>
      </c>
      <c r="AF3" s="316">
        <v>47.4</v>
      </c>
      <c r="AG3" s="34">
        <v>49.6</v>
      </c>
      <c r="AH3" s="466">
        <v>52.3</v>
      </c>
      <c r="AI3" s="467">
        <v>54.9</v>
      </c>
      <c r="AJ3" s="827">
        <v>57.5</v>
      </c>
      <c r="AK3" s="890">
        <v>58.3</v>
      </c>
    </row>
    <row r="4" spans="1:37" s="15" customFormat="1">
      <c r="A4" s="426" t="s">
        <v>109</v>
      </c>
      <c r="B4" s="283"/>
      <c r="C4" s="58" t="s">
        <v>1</v>
      </c>
      <c r="D4" s="58" t="s">
        <v>1</v>
      </c>
      <c r="E4" s="58" t="s">
        <v>1</v>
      </c>
      <c r="F4" s="58" t="s">
        <v>1</v>
      </c>
      <c r="G4" s="58" t="s">
        <v>1</v>
      </c>
      <c r="H4" s="58" t="s">
        <v>1</v>
      </c>
      <c r="I4" s="58" t="s">
        <v>1</v>
      </c>
      <c r="J4" s="58" t="s">
        <v>1</v>
      </c>
      <c r="K4" s="58" t="s">
        <v>1</v>
      </c>
      <c r="L4" s="58" t="s">
        <v>1</v>
      </c>
      <c r="M4" s="58" t="s">
        <v>1</v>
      </c>
      <c r="N4" s="58" t="s">
        <v>1</v>
      </c>
      <c r="O4" s="58" t="s">
        <v>1</v>
      </c>
      <c r="P4" s="58" t="s">
        <v>1</v>
      </c>
      <c r="Q4" s="58" t="s">
        <v>1</v>
      </c>
      <c r="R4" s="58" t="s">
        <v>1</v>
      </c>
      <c r="S4" s="58" t="s">
        <v>1</v>
      </c>
      <c r="T4" s="58" t="s">
        <v>1</v>
      </c>
      <c r="U4" s="58" t="s">
        <v>1</v>
      </c>
      <c r="V4" s="58" t="s">
        <v>1</v>
      </c>
      <c r="W4" s="58" t="s">
        <v>1</v>
      </c>
      <c r="X4" s="58" t="s">
        <v>1</v>
      </c>
      <c r="Y4" s="36">
        <v>6</v>
      </c>
      <c r="Z4" s="36">
        <v>6</v>
      </c>
      <c r="AA4" s="316">
        <v>6.1</v>
      </c>
      <c r="AB4" s="382">
        <v>6.2</v>
      </c>
      <c r="AC4" s="34">
        <v>5.8</v>
      </c>
      <c r="AD4" s="45">
        <v>5.9</v>
      </c>
      <c r="AE4" s="34">
        <v>6</v>
      </c>
      <c r="AF4" s="316">
        <v>6.2</v>
      </c>
      <c r="AG4" s="34">
        <v>6.4</v>
      </c>
      <c r="AH4" s="466">
        <v>6.4</v>
      </c>
      <c r="AI4" s="467">
        <v>6.6</v>
      </c>
      <c r="AJ4" s="827">
        <v>6.8</v>
      </c>
      <c r="AK4" s="890">
        <v>6.7</v>
      </c>
    </row>
    <row r="5" spans="1:37" s="15" customFormat="1">
      <c r="A5" s="426" t="s">
        <v>135</v>
      </c>
      <c r="B5" s="283"/>
      <c r="C5" s="58" t="s">
        <v>1</v>
      </c>
      <c r="D5" s="58" t="s">
        <v>1</v>
      </c>
      <c r="E5" s="58" t="s">
        <v>1</v>
      </c>
      <c r="F5" s="58" t="s">
        <v>1</v>
      </c>
      <c r="G5" s="58" t="s">
        <v>1</v>
      </c>
      <c r="H5" s="58" t="s">
        <v>1</v>
      </c>
      <c r="I5" s="58" t="s">
        <v>1</v>
      </c>
      <c r="J5" s="58" t="s">
        <v>1</v>
      </c>
      <c r="K5" s="58" t="s">
        <v>1</v>
      </c>
      <c r="L5" s="58" t="s">
        <v>1</v>
      </c>
      <c r="M5" s="58" t="s">
        <v>1</v>
      </c>
      <c r="N5" s="58" t="s">
        <v>1</v>
      </c>
      <c r="O5" s="58" t="s">
        <v>1</v>
      </c>
      <c r="P5" s="58" t="s">
        <v>1</v>
      </c>
      <c r="Q5" s="58" t="s">
        <v>1</v>
      </c>
      <c r="R5" s="58" t="s">
        <v>1</v>
      </c>
      <c r="S5" s="58" t="s">
        <v>1</v>
      </c>
      <c r="T5" s="58" t="s">
        <v>1</v>
      </c>
      <c r="U5" s="58" t="s">
        <v>1</v>
      </c>
      <c r="V5" s="58" t="s">
        <v>1</v>
      </c>
      <c r="W5" s="58" t="s">
        <v>1</v>
      </c>
      <c r="X5" s="58" t="s">
        <v>1</v>
      </c>
      <c r="Y5" s="36">
        <v>2</v>
      </c>
      <c r="Z5" s="36">
        <v>3</v>
      </c>
      <c r="AA5" s="316">
        <v>3.2</v>
      </c>
      <c r="AB5" s="382">
        <v>3.6</v>
      </c>
      <c r="AC5" s="46">
        <v>4</v>
      </c>
      <c r="AD5" s="45">
        <v>4.2</v>
      </c>
      <c r="AE5" s="34">
        <v>4.5</v>
      </c>
      <c r="AF5" s="316">
        <v>4.7</v>
      </c>
      <c r="AG5" s="34">
        <v>5.0999999999999996</v>
      </c>
      <c r="AH5" s="466">
        <v>5.6</v>
      </c>
      <c r="AI5" s="467">
        <v>6</v>
      </c>
      <c r="AJ5" s="827">
        <v>6.6</v>
      </c>
      <c r="AK5" s="890">
        <v>7.1</v>
      </c>
    </row>
    <row r="6" spans="1:37" s="15" customFormat="1">
      <c r="A6" s="426" t="s">
        <v>110</v>
      </c>
      <c r="B6" s="283"/>
      <c r="C6" s="58" t="s">
        <v>1</v>
      </c>
      <c r="D6" s="58" t="s">
        <v>1</v>
      </c>
      <c r="E6" s="58" t="s">
        <v>1</v>
      </c>
      <c r="F6" s="58" t="s">
        <v>1</v>
      </c>
      <c r="G6" s="58" t="s">
        <v>1</v>
      </c>
      <c r="H6" s="58" t="s">
        <v>1</v>
      </c>
      <c r="I6" s="58" t="s">
        <v>1</v>
      </c>
      <c r="J6" s="58" t="s">
        <v>1</v>
      </c>
      <c r="K6" s="58" t="s">
        <v>1</v>
      </c>
      <c r="L6" s="58" t="s">
        <v>1</v>
      </c>
      <c r="M6" s="58" t="s">
        <v>1</v>
      </c>
      <c r="N6" s="58" t="s">
        <v>1</v>
      </c>
      <c r="O6" s="58" t="s">
        <v>1</v>
      </c>
      <c r="P6" s="58" t="s">
        <v>1</v>
      </c>
      <c r="Q6" s="58" t="s">
        <v>1</v>
      </c>
      <c r="R6" s="58" t="s">
        <v>1</v>
      </c>
      <c r="S6" s="58" t="s">
        <v>1</v>
      </c>
      <c r="T6" s="58" t="s">
        <v>1</v>
      </c>
      <c r="U6" s="58" t="s">
        <v>1</v>
      </c>
      <c r="V6" s="58" t="s">
        <v>1</v>
      </c>
      <c r="W6" s="58" t="s">
        <v>1</v>
      </c>
      <c r="X6" s="58" t="s">
        <v>1</v>
      </c>
      <c r="Y6" s="36">
        <v>9</v>
      </c>
      <c r="Z6" s="36">
        <v>8</v>
      </c>
      <c r="AA6" s="468">
        <v>8.1</v>
      </c>
      <c r="AB6" s="382">
        <v>8.1</v>
      </c>
      <c r="AC6" s="34">
        <v>7.5</v>
      </c>
      <c r="AD6" s="45">
        <v>7.6</v>
      </c>
      <c r="AE6" s="34">
        <v>7.8</v>
      </c>
      <c r="AF6" s="316">
        <v>7.8</v>
      </c>
      <c r="AG6" s="316">
        <v>8</v>
      </c>
      <c r="AH6" s="466">
        <v>8.1</v>
      </c>
      <c r="AI6" s="467">
        <v>8.1999999999999993</v>
      </c>
      <c r="AJ6" s="827">
        <v>8.4</v>
      </c>
      <c r="AK6" s="890">
        <v>8.5</v>
      </c>
    </row>
    <row r="7" spans="1:37" s="15" customFormat="1">
      <c r="A7" s="426" t="s">
        <v>111</v>
      </c>
      <c r="B7" s="283"/>
      <c r="C7" s="58" t="s">
        <v>1</v>
      </c>
      <c r="D7" s="58" t="s">
        <v>1</v>
      </c>
      <c r="E7" s="58" t="s">
        <v>1</v>
      </c>
      <c r="F7" s="58" t="s">
        <v>1</v>
      </c>
      <c r="G7" s="58" t="s">
        <v>1</v>
      </c>
      <c r="H7" s="58" t="s">
        <v>1</v>
      </c>
      <c r="I7" s="58" t="s">
        <v>1</v>
      </c>
      <c r="J7" s="58" t="s">
        <v>1</v>
      </c>
      <c r="K7" s="58" t="s">
        <v>1</v>
      </c>
      <c r="L7" s="58" t="s">
        <v>1</v>
      </c>
      <c r="M7" s="58" t="s">
        <v>1</v>
      </c>
      <c r="N7" s="58" t="s">
        <v>1</v>
      </c>
      <c r="O7" s="58" t="s">
        <v>1</v>
      </c>
      <c r="P7" s="58" t="s">
        <v>1</v>
      </c>
      <c r="Q7" s="58" t="s">
        <v>1</v>
      </c>
      <c r="R7" s="58" t="s">
        <v>1</v>
      </c>
      <c r="S7" s="58" t="s">
        <v>1</v>
      </c>
      <c r="T7" s="58" t="s">
        <v>1</v>
      </c>
      <c r="U7" s="58" t="s">
        <v>1</v>
      </c>
      <c r="V7" s="58" t="s">
        <v>1</v>
      </c>
      <c r="W7" s="58" t="s">
        <v>1</v>
      </c>
      <c r="X7" s="58" t="s">
        <v>1</v>
      </c>
      <c r="Y7" s="36">
        <v>7</v>
      </c>
      <c r="Z7" s="36">
        <v>8</v>
      </c>
      <c r="AA7" s="468">
        <v>8</v>
      </c>
      <c r="AB7" s="382">
        <v>8.5</v>
      </c>
      <c r="AC7" s="34">
        <v>8.5</v>
      </c>
      <c r="AD7" s="45">
        <v>8.8000000000000007</v>
      </c>
      <c r="AE7" s="34">
        <v>9.1</v>
      </c>
      <c r="AF7" s="306">
        <v>9.5</v>
      </c>
      <c r="AG7" s="316">
        <v>10</v>
      </c>
      <c r="AH7" s="469">
        <v>10.5</v>
      </c>
      <c r="AI7" s="467">
        <v>11.2</v>
      </c>
      <c r="AJ7" s="827">
        <v>12</v>
      </c>
      <c r="AK7" s="891">
        <v>11.9</v>
      </c>
    </row>
    <row r="8" spans="1:37" s="15" customFormat="1">
      <c r="A8" s="426" t="s">
        <v>388</v>
      </c>
      <c r="B8" s="283"/>
      <c r="C8" s="58" t="s">
        <v>1</v>
      </c>
      <c r="D8" s="58" t="s">
        <v>1</v>
      </c>
      <c r="E8" s="58" t="s">
        <v>1</v>
      </c>
      <c r="F8" s="58" t="s">
        <v>1</v>
      </c>
      <c r="G8" s="58" t="s">
        <v>1</v>
      </c>
      <c r="H8" s="58" t="s">
        <v>1</v>
      </c>
      <c r="I8" s="58" t="s">
        <v>1</v>
      </c>
      <c r="J8" s="58" t="s">
        <v>1</v>
      </c>
      <c r="K8" s="58" t="s">
        <v>1</v>
      </c>
      <c r="L8" s="58" t="s">
        <v>1</v>
      </c>
      <c r="M8" s="58" t="s">
        <v>1</v>
      </c>
      <c r="N8" s="58" t="s">
        <v>1</v>
      </c>
      <c r="O8" s="58" t="s">
        <v>1</v>
      </c>
      <c r="P8" s="58" t="s">
        <v>1</v>
      </c>
      <c r="Q8" s="58" t="s">
        <v>1</v>
      </c>
      <c r="R8" s="58" t="s">
        <v>1</v>
      </c>
      <c r="S8" s="58" t="s">
        <v>1</v>
      </c>
      <c r="T8" s="58" t="s">
        <v>1</v>
      </c>
      <c r="U8" s="58" t="s">
        <v>1</v>
      </c>
      <c r="V8" s="58" t="s">
        <v>1</v>
      </c>
      <c r="W8" s="58" t="s">
        <v>1</v>
      </c>
      <c r="X8" s="58" t="s">
        <v>1</v>
      </c>
      <c r="Y8" s="36">
        <v>4</v>
      </c>
      <c r="Z8" s="36">
        <v>4</v>
      </c>
      <c r="AA8" s="468">
        <v>4.5</v>
      </c>
      <c r="AB8" s="382">
        <v>4.5</v>
      </c>
      <c r="AC8" s="46">
        <v>4</v>
      </c>
      <c r="AD8" s="45">
        <v>4</v>
      </c>
      <c r="AE8" s="34">
        <v>4</v>
      </c>
      <c r="AF8" s="316">
        <v>4</v>
      </c>
      <c r="AG8" s="34">
        <v>4.0999999999999996</v>
      </c>
      <c r="AH8" s="466">
        <v>4.2</v>
      </c>
      <c r="AI8" s="467">
        <v>4.3</v>
      </c>
      <c r="AJ8" s="827">
        <v>4.4000000000000004</v>
      </c>
      <c r="AK8" s="890">
        <v>4.3</v>
      </c>
    </row>
    <row r="9" spans="1:37" s="15" customFormat="1">
      <c r="A9" s="426" t="s">
        <v>136</v>
      </c>
      <c r="B9" s="283"/>
      <c r="C9" s="58" t="s">
        <v>1</v>
      </c>
      <c r="D9" s="58" t="s">
        <v>1</v>
      </c>
      <c r="E9" s="58" t="s">
        <v>1</v>
      </c>
      <c r="F9" s="58" t="s">
        <v>1</v>
      </c>
      <c r="G9" s="58" t="s">
        <v>1</v>
      </c>
      <c r="H9" s="58" t="s">
        <v>1</v>
      </c>
      <c r="I9" s="58" t="s">
        <v>1</v>
      </c>
      <c r="J9" s="58" t="s">
        <v>1</v>
      </c>
      <c r="K9" s="58" t="s">
        <v>1</v>
      </c>
      <c r="L9" s="58" t="s">
        <v>1</v>
      </c>
      <c r="M9" s="58" t="s">
        <v>1</v>
      </c>
      <c r="N9" s="58" t="s">
        <v>1</v>
      </c>
      <c r="O9" s="58" t="s">
        <v>1</v>
      </c>
      <c r="P9" s="58" t="s">
        <v>1</v>
      </c>
      <c r="Q9" s="58" t="s">
        <v>1</v>
      </c>
      <c r="R9" s="58" t="s">
        <v>1</v>
      </c>
      <c r="S9" s="58" t="s">
        <v>1</v>
      </c>
      <c r="T9" s="58" t="s">
        <v>1</v>
      </c>
      <c r="U9" s="58" t="s">
        <v>1</v>
      </c>
      <c r="V9" s="58" t="s">
        <v>1</v>
      </c>
      <c r="W9" s="58" t="s">
        <v>1</v>
      </c>
      <c r="X9" s="58" t="s">
        <v>1</v>
      </c>
      <c r="Y9" s="36">
        <v>5</v>
      </c>
      <c r="Z9" s="36">
        <v>6</v>
      </c>
      <c r="AA9" s="468">
        <v>5.6</v>
      </c>
      <c r="AB9" s="382">
        <v>5.8</v>
      </c>
      <c r="AC9" s="46">
        <v>6</v>
      </c>
      <c r="AD9" s="45">
        <v>6.2</v>
      </c>
      <c r="AE9" s="34">
        <v>6.2</v>
      </c>
      <c r="AF9" s="316">
        <v>6.6</v>
      </c>
      <c r="AG9" s="34">
        <v>6.9</v>
      </c>
      <c r="AH9" s="466">
        <v>7.3</v>
      </c>
      <c r="AI9" s="467">
        <v>7.5</v>
      </c>
      <c r="AJ9" s="827">
        <v>7.8</v>
      </c>
      <c r="AK9" s="890">
        <v>8</v>
      </c>
    </row>
    <row r="10" spans="1:37" s="15" customFormat="1">
      <c r="A10" s="426" t="s">
        <v>112</v>
      </c>
      <c r="B10" s="283"/>
      <c r="C10" s="58" t="s">
        <v>1</v>
      </c>
      <c r="D10" s="58" t="s">
        <v>1</v>
      </c>
      <c r="E10" s="58" t="s">
        <v>1</v>
      </c>
      <c r="F10" s="58" t="s">
        <v>1</v>
      </c>
      <c r="G10" s="58" t="s">
        <v>1</v>
      </c>
      <c r="H10" s="58" t="s">
        <v>1</v>
      </c>
      <c r="I10" s="58" t="s">
        <v>1</v>
      </c>
      <c r="J10" s="58" t="s">
        <v>1</v>
      </c>
      <c r="K10" s="58" t="s">
        <v>1</v>
      </c>
      <c r="L10" s="58" t="s">
        <v>1</v>
      </c>
      <c r="M10" s="58" t="s">
        <v>1</v>
      </c>
      <c r="N10" s="58" t="s">
        <v>1</v>
      </c>
      <c r="O10" s="58" t="s">
        <v>1</v>
      </c>
      <c r="P10" s="58" t="s">
        <v>1</v>
      </c>
      <c r="Q10" s="58" t="s">
        <v>1</v>
      </c>
      <c r="R10" s="58" t="s">
        <v>1</v>
      </c>
      <c r="S10" s="58" t="s">
        <v>1</v>
      </c>
      <c r="T10" s="58" t="s">
        <v>1</v>
      </c>
      <c r="U10" s="58" t="s">
        <v>1</v>
      </c>
      <c r="V10" s="58" t="s">
        <v>1</v>
      </c>
      <c r="W10" s="58" t="s">
        <v>1</v>
      </c>
      <c r="X10" s="58" t="s">
        <v>1</v>
      </c>
      <c r="Y10" s="36" t="s">
        <v>1</v>
      </c>
      <c r="Z10" s="36">
        <v>2</v>
      </c>
      <c r="AA10" s="468">
        <v>2.7</v>
      </c>
      <c r="AB10" s="382">
        <v>2.9</v>
      </c>
      <c r="AC10" s="34">
        <v>3.1</v>
      </c>
      <c r="AD10" s="45">
        <v>3.3</v>
      </c>
      <c r="AE10" s="34">
        <v>3.6</v>
      </c>
      <c r="AF10" s="316">
        <v>3.9</v>
      </c>
      <c r="AG10" s="34">
        <v>4.4000000000000004</v>
      </c>
      <c r="AH10" s="466">
        <v>5.0999999999999996</v>
      </c>
      <c r="AI10" s="467">
        <v>5.8</v>
      </c>
      <c r="AJ10" s="827">
        <v>6</v>
      </c>
      <c r="AK10" s="890">
        <v>6.2</v>
      </c>
    </row>
    <row r="11" spans="1:37" s="15" customFormat="1">
      <c r="A11" s="426" t="s">
        <v>113</v>
      </c>
      <c r="B11" s="283"/>
      <c r="C11" s="58" t="s">
        <v>1</v>
      </c>
      <c r="D11" s="58" t="s">
        <v>1</v>
      </c>
      <c r="E11" s="58" t="s">
        <v>1</v>
      </c>
      <c r="F11" s="58" t="s">
        <v>1</v>
      </c>
      <c r="G11" s="58" t="s">
        <v>1</v>
      </c>
      <c r="H11" s="58" t="s">
        <v>1</v>
      </c>
      <c r="I11" s="58" t="s">
        <v>1</v>
      </c>
      <c r="J11" s="58" t="s">
        <v>1</v>
      </c>
      <c r="K11" s="58" t="s">
        <v>1</v>
      </c>
      <c r="L11" s="58" t="s">
        <v>1</v>
      </c>
      <c r="M11" s="58" t="s">
        <v>1</v>
      </c>
      <c r="N11" s="58" t="s">
        <v>1</v>
      </c>
      <c r="O11" s="58" t="s">
        <v>1</v>
      </c>
      <c r="P11" s="58" t="s">
        <v>1</v>
      </c>
      <c r="Q11" s="58" t="s">
        <v>1</v>
      </c>
      <c r="R11" s="58" t="s">
        <v>1</v>
      </c>
      <c r="S11" s="58" t="s">
        <v>1</v>
      </c>
      <c r="T11" s="58" t="s">
        <v>1</v>
      </c>
      <c r="U11" s="58" t="s">
        <v>1</v>
      </c>
      <c r="V11" s="58" t="s">
        <v>1</v>
      </c>
      <c r="W11" s="58" t="s">
        <v>1</v>
      </c>
      <c r="X11" s="58" t="s">
        <v>1</v>
      </c>
      <c r="Y11" s="36">
        <v>4</v>
      </c>
      <c r="Z11" s="36">
        <v>4</v>
      </c>
      <c r="AA11" s="468">
        <v>4.4000000000000004</v>
      </c>
      <c r="AB11" s="382">
        <v>4.5</v>
      </c>
      <c r="AC11" s="34">
        <v>4.4000000000000004</v>
      </c>
      <c r="AD11" s="45">
        <v>4.5</v>
      </c>
      <c r="AE11" s="34">
        <v>4.5</v>
      </c>
      <c r="AF11" s="316">
        <v>4.5999999999999996</v>
      </c>
      <c r="AG11" s="34">
        <v>4.7</v>
      </c>
      <c r="AH11" s="466">
        <v>5.0999999999999996</v>
      </c>
      <c r="AI11" s="467">
        <v>5.3</v>
      </c>
      <c r="AJ11" s="827">
        <v>5.5</v>
      </c>
      <c r="AK11" s="890">
        <v>5.6</v>
      </c>
    </row>
    <row r="12" spans="1:37" s="15" customFormat="1">
      <c r="A12" s="464" t="s">
        <v>144</v>
      </c>
      <c r="B12" s="470" t="s">
        <v>245</v>
      </c>
      <c r="C12" s="36"/>
      <c r="D12" s="36"/>
      <c r="E12" s="36"/>
      <c r="F12" s="36"/>
      <c r="G12" s="36"/>
      <c r="H12" s="36"/>
      <c r="I12" s="36"/>
      <c r="J12" s="36"/>
      <c r="K12" s="36"/>
      <c r="L12" s="36"/>
      <c r="M12" s="36"/>
      <c r="N12" s="36"/>
      <c r="O12" s="36"/>
      <c r="P12" s="36"/>
      <c r="Q12" s="36"/>
      <c r="R12" s="36"/>
      <c r="S12" s="36"/>
      <c r="T12" s="36"/>
      <c r="U12" s="36"/>
      <c r="V12" s="36"/>
      <c r="W12" s="36"/>
      <c r="X12" s="36"/>
      <c r="Y12" s="36"/>
      <c r="Z12" s="36"/>
      <c r="AA12" s="316"/>
      <c r="AB12" s="315"/>
      <c r="AC12" s="32"/>
      <c r="AD12" s="47"/>
      <c r="AE12" s="32"/>
      <c r="AF12" s="316"/>
      <c r="AG12" s="34"/>
      <c r="AH12" s="443"/>
      <c r="AI12" s="471"/>
      <c r="AJ12" s="669"/>
      <c r="AK12" s="890"/>
    </row>
    <row r="13" spans="1:37" s="15" customFormat="1">
      <c r="A13" s="423" t="s">
        <v>108</v>
      </c>
      <c r="B13" s="283"/>
      <c r="C13" s="58" t="s">
        <v>1</v>
      </c>
      <c r="D13" s="58" t="s">
        <v>1</v>
      </c>
      <c r="E13" s="36">
        <v>16.899999999999999</v>
      </c>
      <c r="F13" s="36">
        <v>17.2</v>
      </c>
      <c r="G13" s="36">
        <v>17.399999999999999</v>
      </c>
      <c r="H13" s="36">
        <v>17.600000000000001</v>
      </c>
      <c r="I13" s="36">
        <v>19.600000000000001</v>
      </c>
      <c r="J13" s="36"/>
      <c r="K13" s="36">
        <v>18.3</v>
      </c>
      <c r="L13" s="36">
        <v>17.5</v>
      </c>
      <c r="M13" s="36">
        <v>17.899999999999999</v>
      </c>
      <c r="N13" s="36">
        <v>17.7</v>
      </c>
      <c r="O13" s="36">
        <v>16.7</v>
      </c>
      <c r="P13" s="36">
        <v>18.399999999999999</v>
      </c>
      <c r="Q13" s="36">
        <v>18.5</v>
      </c>
      <c r="R13" s="36">
        <v>18.600000000000001</v>
      </c>
      <c r="S13" s="36">
        <v>19.100000000000001</v>
      </c>
      <c r="T13" s="36">
        <v>19.3</v>
      </c>
      <c r="U13" s="36">
        <v>19.5</v>
      </c>
      <c r="V13" s="36">
        <v>20.3</v>
      </c>
      <c r="W13" s="36">
        <v>20.8</v>
      </c>
      <c r="X13" s="36">
        <v>24.4</v>
      </c>
      <c r="Y13" s="36">
        <v>28</v>
      </c>
      <c r="Z13" s="36">
        <v>27</v>
      </c>
      <c r="AA13" s="316">
        <v>27</v>
      </c>
      <c r="AB13" s="382">
        <v>27.6</v>
      </c>
      <c r="AC13" s="34">
        <v>27.1</v>
      </c>
      <c r="AD13" s="45">
        <v>27.5</v>
      </c>
      <c r="AE13" s="34">
        <v>28</v>
      </c>
      <c r="AF13" s="316">
        <v>28.3</v>
      </c>
      <c r="AG13" s="316">
        <v>29</v>
      </c>
      <c r="AH13" s="472">
        <v>29.070660775708401</v>
      </c>
      <c r="AI13" s="473">
        <v>29.990762877119298</v>
      </c>
      <c r="AJ13" s="828">
        <v>30.4</v>
      </c>
      <c r="AK13" s="890">
        <v>30.723064882668901</v>
      </c>
    </row>
    <row r="14" spans="1:37" s="15" customFormat="1">
      <c r="A14" s="426" t="s">
        <v>109</v>
      </c>
      <c r="B14" s="283"/>
      <c r="C14" s="58" t="s">
        <v>1</v>
      </c>
      <c r="D14" s="58" t="s">
        <v>1</v>
      </c>
      <c r="E14" s="58" t="s">
        <v>1</v>
      </c>
      <c r="F14" s="58" t="s">
        <v>1</v>
      </c>
      <c r="G14" s="58" t="s">
        <v>1</v>
      </c>
      <c r="H14" s="58" t="s">
        <v>1</v>
      </c>
      <c r="I14" s="58" t="s">
        <v>1</v>
      </c>
      <c r="J14" s="58" t="s">
        <v>1</v>
      </c>
      <c r="K14" s="58" t="s">
        <v>1</v>
      </c>
      <c r="L14" s="58" t="s">
        <v>1</v>
      </c>
      <c r="M14" s="58" t="s">
        <v>1</v>
      </c>
      <c r="N14" s="58" t="s">
        <v>1</v>
      </c>
      <c r="O14" s="58" t="s">
        <v>1</v>
      </c>
      <c r="P14" s="58" t="s">
        <v>1</v>
      </c>
      <c r="Q14" s="58" t="s">
        <v>1</v>
      </c>
      <c r="R14" s="58" t="s">
        <v>1</v>
      </c>
      <c r="S14" s="58" t="s">
        <v>1</v>
      </c>
      <c r="T14" s="58" t="s">
        <v>1</v>
      </c>
      <c r="U14" s="58" t="s">
        <v>1</v>
      </c>
      <c r="V14" s="58" t="s">
        <v>1</v>
      </c>
      <c r="W14" s="58" t="s">
        <v>1</v>
      </c>
      <c r="X14" s="58" t="s">
        <v>1</v>
      </c>
      <c r="Y14" s="36">
        <v>27</v>
      </c>
      <c r="Z14" s="36">
        <v>27</v>
      </c>
      <c r="AA14" s="316">
        <v>26.4</v>
      </c>
      <c r="AB14" s="382">
        <v>26.7</v>
      </c>
      <c r="AC14" s="46">
        <v>27</v>
      </c>
      <c r="AD14" s="45">
        <v>27.1</v>
      </c>
      <c r="AE14" s="34">
        <v>27.4</v>
      </c>
      <c r="AF14" s="316">
        <v>27.5</v>
      </c>
      <c r="AG14" s="34">
        <v>27.9</v>
      </c>
      <c r="AH14" s="472">
        <v>27.068871723754199</v>
      </c>
      <c r="AI14" s="473">
        <v>27.5986053316946</v>
      </c>
      <c r="AJ14" s="828">
        <v>27.9</v>
      </c>
      <c r="AK14" s="890">
        <v>28.007935993694801</v>
      </c>
    </row>
    <row r="15" spans="1:37" s="15" customFormat="1">
      <c r="A15" s="426" t="s">
        <v>135</v>
      </c>
      <c r="B15" s="283"/>
      <c r="C15" s="58" t="s">
        <v>1</v>
      </c>
      <c r="D15" s="58" t="s">
        <v>1</v>
      </c>
      <c r="E15" s="58" t="s">
        <v>1</v>
      </c>
      <c r="F15" s="58" t="s">
        <v>1</v>
      </c>
      <c r="G15" s="58" t="s">
        <v>1</v>
      </c>
      <c r="H15" s="58" t="s">
        <v>1</v>
      </c>
      <c r="I15" s="58" t="s">
        <v>1</v>
      </c>
      <c r="J15" s="58" t="s">
        <v>1</v>
      </c>
      <c r="K15" s="58" t="s">
        <v>1</v>
      </c>
      <c r="L15" s="58" t="s">
        <v>1</v>
      </c>
      <c r="M15" s="58" t="s">
        <v>1</v>
      </c>
      <c r="N15" s="58" t="s">
        <v>1</v>
      </c>
      <c r="O15" s="58" t="s">
        <v>1</v>
      </c>
      <c r="P15" s="58" t="s">
        <v>1</v>
      </c>
      <c r="Q15" s="58" t="s">
        <v>1</v>
      </c>
      <c r="R15" s="58" t="s">
        <v>1</v>
      </c>
      <c r="S15" s="58" t="s">
        <v>1</v>
      </c>
      <c r="T15" s="58" t="s">
        <v>1</v>
      </c>
      <c r="U15" s="58" t="s">
        <v>1</v>
      </c>
      <c r="V15" s="58" t="s">
        <v>1</v>
      </c>
      <c r="W15" s="58" t="s">
        <v>1</v>
      </c>
      <c r="X15" s="58" t="s">
        <v>1</v>
      </c>
      <c r="Y15" s="36">
        <v>62</v>
      </c>
      <c r="Z15" s="36">
        <v>43</v>
      </c>
      <c r="AA15" s="316">
        <v>42.8</v>
      </c>
      <c r="AB15" s="382">
        <v>43.4</v>
      </c>
      <c r="AC15" s="34">
        <v>39.5</v>
      </c>
      <c r="AD15" s="45">
        <v>39.9</v>
      </c>
      <c r="AE15" s="34">
        <v>40.9</v>
      </c>
      <c r="AF15" s="316">
        <v>40.299999999999997</v>
      </c>
      <c r="AG15" s="34">
        <v>40.799999999999997</v>
      </c>
      <c r="AH15" s="472">
        <v>40.236983982289402</v>
      </c>
      <c r="AI15" s="473">
        <v>41.116206645162599</v>
      </c>
      <c r="AJ15" s="828">
        <v>41.1</v>
      </c>
      <c r="AK15" s="890">
        <v>39.754721285437</v>
      </c>
    </row>
    <row r="16" spans="1:37" s="15" customFormat="1">
      <c r="A16" s="426" t="s">
        <v>110</v>
      </c>
      <c r="B16" s="283"/>
      <c r="C16" s="58" t="s">
        <v>1</v>
      </c>
      <c r="D16" s="58" t="s">
        <v>1</v>
      </c>
      <c r="E16" s="58" t="s">
        <v>1</v>
      </c>
      <c r="F16" s="58" t="s">
        <v>1</v>
      </c>
      <c r="G16" s="58" t="s">
        <v>1</v>
      </c>
      <c r="H16" s="58" t="s">
        <v>1</v>
      </c>
      <c r="I16" s="58" t="s">
        <v>1</v>
      </c>
      <c r="J16" s="58" t="s">
        <v>1</v>
      </c>
      <c r="K16" s="58" t="s">
        <v>1</v>
      </c>
      <c r="L16" s="58" t="s">
        <v>1</v>
      </c>
      <c r="M16" s="58" t="s">
        <v>1</v>
      </c>
      <c r="N16" s="58" t="s">
        <v>1</v>
      </c>
      <c r="O16" s="58" t="s">
        <v>1</v>
      </c>
      <c r="P16" s="58" t="s">
        <v>1</v>
      </c>
      <c r="Q16" s="58" t="s">
        <v>1</v>
      </c>
      <c r="R16" s="58" t="s">
        <v>1</v>
      </c>
      <c r="S16" s="58" t="s">
        <v>1</v>
      </c>
      <c r="T16" s="58" t="s">
        <v>1</v>
      </c>
      <c r="U16" s="58" t="s">
        <v>1</v>
      </c>
      <c r="V16" s="58" t="s">
        <v>1</v>
      </c>
      <c r="W16" s="58" t="s">
        <v>1</v>
      </c>
      <c r="X16" s="58" t="s">
        <v>1</v>
      </c>
      <c r="Y16" s="36">
        <v>27</v>
      </c>
      <c r="Z16" s="36">
        <v>25</v>
      </c>
      <c r="AA16" s="468">
        <v>25.1</v>
      </c>
      <c r="AB16" s="382">
        <v>25.2</v>
      </c>
      <c r="AC16" s="34">
        <v>24.6</v>
      </c>
      <c r="AD16" s="45">
        <v>24.8</v>
      </c>
      <c r="AE16" s="34">
        <v>25</v>
      </c>
      <c r="AF16" s="316">
        <v>25</v>
      </c>
      <c r="AG16" s="34">
        <v>25.3</v>
      </c>
      <c r="AH16" s="472">
        <v>24.8683353293045</v>
      </c>
      <c r="AI16" s="473">
        <v>25.143068769278901</v>
      </c>
      <c r="AJ16" s="828">
        <v>25.5</v>
      </c>
      <c r="AK16" s="890">
        <v>25.9436057879971</v>
      </c>
    </row>
    <row r="17" spans="1:37" s="15" customFormat="1">
      <c r="A17" s="426" t="s">
        <v>111</v>
      </c>
      <c r="B17" s="283"/>
      <c r="C17" s="58" t="s">
        <v>1</v>
      </c>
      <c r="D17" s="58" t="s">
        <v>1</v>
      </c>
      <c r="E17" s="58" t="s">
        <v>1</v>
      </c>
      <c r="F17" s="58" t="s">
        <v>1</v>
      </c>
      <c r="G17" s="58" t="s">
        <v>1</v>
      </c>
      <c r="H17" s="58" t="s">
        <v>1</v>
      </c>
      <c r="I17" s="58" t="s">
        <v>1</v>
      </c>
      <c r="J17" s="58" t="s">
        <v>1</v>
      </c>
      <c r="K17" s="58" t="s">
        <v>1</v>
      </c>
      <c r="L17" s="58" t="s">
        <v>1</v>
      </c>
      <c r="M17" s="58" t="s">
        <v>1</v>
      </c>
      <c r="N17" s="58" t="s">
        <v>1</v>
      </c>
      <c r="O17" s="58" t="s">
        <v>1</v>
      </c>
      <c r="P17" s="58" t="s">
        <v>1</v>
      </c>
      <c r="Q17" s="58" t="s">
        <v>1</v>
      </c>
      <c r="R17" s="58" t="s">
        <v>1</v>
      </c>
      <c r="S17" s="58" t="s">
        <v>1</v>
      </c>
      <c r="T17" s="58" t="s">
        <v>1</v>
      </c>
      <c r="U17" s="58" t="s">
        <v>1</v>
      </c>
      <c r="V17" s="58" t="s">
        <v>1</v>
      </c>
      <c r="W17" s="58" t="s">
        <v>1</v>
      </c>
      <c r="X17" s="58" t="s">
        <v>1</v>
      </c>
      <c r="Y17" s="36">
        <v>26</v>
      </c>
      <c r="Z17" s="36">
        <v>26</v>
      </c>
      <c r="AA17" s="468">
        <v>26</v>
      </c>
      <c r="AB17" s="382">
        <v>27.1</v>
      </c>
      <c r="AC17" s="34">
        <v>26.5</v>
      </c>
      <c r="AD17" s="45">
        <v>27</v>
      </c>
      <c r="AE17" s="34">
        <v>27.7</v>
      </c>
      <c r="AF17" s="34">
        <v>28.3</v>
      </c>
      <c r="AG17" s="34">
        <v>29.1</v>
      </c>
      <c r="AH17" s="472">
        <v>29.406951786045301</v>
      </c>
      <c r="AI17" s="473">
        <v>30.956795815671398</v>
      </c>
      <c r="AJ17" s="828">
        <v>31.1</v>
      </c>
      <c r="AK17" s="891">
        <v>31.968113560659301</v>
      </c>
    </row>
    <row r="18" spans="1:37" s="15" customFormat="1">
      <c r="A18" s="426" t="s">
        <v>388</v>
      </c>
      <c r="B18" s="283"/>
      <c r="C18" s="58" t="s">
        <v>1</v>
      </c>
      <c r="D18" s="58" t="s">
        <v>1</v>
      </c>
      <c r="E18" s="58" t="s">
        <v>1</v>
      </c>
      <c r="F18" s="58" t="s">
        <v>1</v>
      </c>
      <c r="G18" s="58" t="s">
        <v>1</v>
      </c>
      <c r="H18" s="58" t="s">
        <v>1</v>
      </c>
      <c r="I18" s="58" t="s">
        <v>1</v>
      </c>
      <c r="J18" s="58" t="s">
        <v>1</v>
      </c>
      <c r="K18" s="58" t="s">
        <v>1</v>
      </c>
      <c r="L18" s="58" t="s">
        <v>1</v>
      </c>
      <c r="M18" s="58" t="s">
        <v>1</v>
      </c>
      <c r="N18" s="58" t="s">
        <v>1</v>
      </c>
      <c r="O18" s="58" t="s">
        <v>1</v>
      </c>
      <c r="P18" s="58" t="s">
        <v>1</v>
      </c>
      <c r="Q18" s="58" t="s">
        <v>1</v>
      </c>
      <c r="R18" s="58" t="s">
        <v>1</v>
      </c>
      <c r="S18" s="58" t="s">
        <v>1</v>
      </c>
      <c r="T18" s="58" t="s">
        <v>1</v>
      </c>
      <c r="U18" s="58" t="s">
        <v>1</v>
      </c>
      <c r="V18" s="58" t="s">
        <v>1</v>
      </c>
      <c r="W18" s="58" t="s">
        <v>1</v>
      </c>
      <c r="X18" s="58" t="s">
        <v>1</v>
      </c>
      <c r="Y18" s="36">
        <v>25</v>
      </c>
      <c r="Z18" s="36">
        <v>25</v>
      </c>
      <c r="AA18" s="468">
        <v>24.8</v>
      </c>
      <c r="AB18" s="382">
        <v>24.5</v>
      </c>
      <c r="AC18" s="34">
        <v>24.2</v>
      </c>
      <c r="AD18" s="45">
        <v>24.3</v>
      </c>
      <c r="AE18" s="34">
        <v>24.4</v>
      </c>
      <c r="AF18" s="316">
        <v>24.3</v>
      </c>
      <c r="AG18" s="34">
        <v>24.5</v>
      </c>
      <c r="AH18" s="472">
        <v>24.158228394341901</v>
      </c>
      <c r="AI18" s="473">
        <v>24.486520007408998</v>
      </c>
      <c r="AJ18" s="828">
        <v>24.9</v>
      </c>
      <c r="AK18" s="890">
        <v>25.545264061004399</v>
      </c>
    </row>
    <row r="19" spans="1:37" s="15" customFormat="1">
      <c r="A19" s="426" t="s">
        <v>136</v>
      </c>
      <c r="B19" s="283"/>
      <c r="C19" s="58" t="s">
        <v>1</v>
      </c>
      <c r="D19" s="58" t="s">
        <v>1</v>
      </c>
      <c r="E19" s="58" t="s">
        <v>1</v>
      </c>
      <c r="F19" s="58" t="s">
        <v>1</v>
      </c>
      <c r="G19" s="58" t="s">
        <v>1</v>
      </c>
      <c r="H19" s="58" t="s">
        <v>1</v>
      </c>
      <c r="I19" s="58" t="s">
        <v>1</v>
      </c>
      <c r="J19" s="58" t="s">
        <v>1</v>
      </c>
      <c r="K19" s="58" t="s">
        <v>1</v>
      </c>
      <c r="L19" s="58" t="s">
        <v>1</v>
      </c>
      <c r="M19" s="58" t="s">
        <v>1</v>
      </c>
      <c r="N19" s="58" t="s">
        <v>1</v>
      </c>
      <c r="O19" s="58" t="s">
        <v>1</v>
      </c>
      <c r="P19" s="58" t="s">
        <v>1</v>
      </c>
      <c r="Q19" s="58" t="s">
        <v>1</v>
      </c>
      <c r="R19" s="58" t="s">
        <v>1</v>
      </c>
      <c r="S19" s="58" t="s">
        <v>1</v>
      </c>
      <c r="T19" s="58" t="s">
        <v>1</v>
      </c>
      <c r="U19" s="58" t="s">
        <v>1</v>
      </c>
      <c r="V19" s="58" t="s">
        <v>1</v>
      </c>
      <c r="W19" s="58" t="s">
        <v>1</v>
      </c>
      <c r="X19" s="58" t="s">
        <v>1</v>
      </c>
      <c r="Y19" s="36">
        <v>33</v>
      </c>
      <c r="Z19" s="36">
        <v>29</v>
      </c>
      <c r="AA19" s="468">
        <v>29.9</v>
      </c>
      <c r="AB19" s="382">
        <v>30.7</v>
      </c>
      <c r="AC19" s="34">
        <v>30.3</v>
      </c>
      <c r="AD19" s="45">
        <v>30.8</v>
      </c>
      <c r="AE19" s="34">
        <v>31.2</v>
      </c>
      <c r="AF19" s="316">
        <v>32</v>
      </c>
      <c r="AG19" s="34">
        <v>32.700000000000003</v>
      </c>
      <c r="AH19" s="472">
        <v>33.310111479470997</v>
      </c>
      <c r="AI19" s="473">
        <v>34.137162238066303</v>
      </c>
      <c r="AJ19" s="828">
        <v>33.9</v>
      </c>
      <c r="AK19" s="890">
        <v>33.934836841433899</v>
      </c>
    </row>
    <row r="20" spans="1:37" s="15" customFormat="1">
      <c r="A20" s="426" t="s">
        <v>112</v>
      </c>
      <c r="B20" s="283"/>
      <c r="C20" s="58" t="s">
        <v>1</v>
      </c>
      <c r="D20" s="58" t="s">
        <v>1</v>
      </c>
      <c r="E20" s="58" t="s">
        <v>1</v>
      </c>
      <c r="F20" s="58" t="s">
        <v>1</v>
      </c>
      <c r="G20" s="58" t="s">
        <v>1</v>
      </c>
      <c r="H20" s="58" t="s">
        <v>1</v>
      </c>
      <c r="I20" s="58" t="s">
        <v>1</v>
      </c>
      <c r="J20" s="58" t="s">
        <v>1</v>
      </c>
      <c r="K20" s="58" t="s">
        <v>1</v>
      </c>
      <c r="L20" s="58" t="s">
        <v>1</v>
      </c>
      <c r="M20" s="58" t="s">
        <v>1</v>
      </c>
      <c r="N20" s="58" t="s">
        <v>1</v>
      </c>
      <c r="O20" s="58" t="s">
        <v>1</v>
      </c>
      <c r="P20" s="58" t="s">
        <v>1</v>
      </c>
      <c r="Q20" s="58" t="s">
        <v>1</v>
      </c>
      <c r="R20" s="58" t="s">
        <v>1</v>
      </c>
      <c r="S20" s="58" t="s">
        <v>1</v>
      </c>
      <c r="T20" s="58" t="s">
        <v>1</v>
      </c>
      <c r="U20" s="58" t="s">
        <v>1</v>
      </c>
      <c r="V20" s="58" t="s">
        <v>1</v>
      </c>
      <c r="W20" s="58" t="s">
        <v>1</v>
      </c>
      <c r="X20" s="58" t="s">
        <v>1</v>
      </c>
      <c r="Y20" s="36" t="s">
        <v>1</v>
      </c>
      <c r="Z20" s="36">
        <v>27</v>
      </c>
      <c r="AA20" s="468">
        <v>31.4</v>
      </c>
      <c r="AB20" s="382">
        <v>33.299999999999997</v>
      </c>
      <c r="AC20" s="34">
        <v>30.7</v>
      </c>
      <c r="AD20" s="45">
        <v>31.8</v>
      </c>
      <c r="AE20" s="34">
        <v>32.700000000000003</v>
      </c>
      <c r="AF20" s="316">
        <v>33.4</v>
      </c>
      <c r="AG20" s="34">
        <v>35.200000000000003</v>
      </c>
      <c r="AH20" s="472">
        <v>36.407884720264597</v>
      </c>
      <c r="AI20" s="473">
        <v>38.047594387434003</v>
      </c>
      <c r="AJ20" s="828">
        <v>38.299999999999997</v>
      </c>
      <c r="AK20" s="890">
        <v>37.645490851693197</v>
      </c>
    </row>
    <row r="21" spans="1:37" s="15" customFormat="1">
      <c r="A21" s="426" t="s">
        <v>113</v>
      </c>
      <c r="B21" s="283"/>
      <c r="C21" s="58" t="s">
        <v>1</v>
      </c>
      <c r="D21" s="58" t="s">
        <v>1</v>
      </c>
      <c r="E21" s="58" t="s">
        <v>1</v>
      </c>
      <c r="F21" s="58" t="s">
        <v>1</v>
      </c>
      <c r="G21" s="58" t="s">
        <v>1</v>
      </c>
      <c r="H21" s="58" t="s">
        <v>1</v>
      </c>
      <c r="I21" s="58" t="s">
        <v>1</v>
      </c>
      <c r="J21" s="58" t="s">
        <v>1</v>
      </c>
      <c r="K21" s="58" t="s">
        <v>1</v>
      </c>
      <c r="L21" s="58" t="s">
        <v>1</v>
      </c>
      <c r="M21" s="58" t="s">
        <v>1</v>
      </c>
      <c r="N21" s="58" t="s">
        <v>1</v>
      </c>
      <c r="O21" s="58" t="s">
        <v>1</v>
      </c>
      <c r="P21" s="58" t="s">
        <v>1</v>
      </c>
      <c r="Q21" s="58" t="s">
        <v>1</v>
      </c>
      <c r="R21" s="58" t="s">
        <v>1</v>
      </c>
      <c r="S21" s="58" t="s">
        <v>1</v>
      </c>
      <c r="T21" s="58" t="s">
        <v>1</v>
      </c>
      <c r="U21" s="58" t="s">
        <v>1</v>
      </c>
      <c r="V21" s="58" t="s">
        <v>1</v>
      </c>
      <c r="W21" s="58" t="s">
        <v>1</v>
      </c>
      <c r="X21" s="58" t="s">
        <v>1</v>
      </c>
      <c r="Y21" s="36">
        <v>23</v>
      </c>
      <c r="Z21" s="36">
        <v>23</v>
      </c>
      <c r="AA21" s="468">
        <v>23.3</v>
      </c>
      <c r="AB21" s="382">
        <v>23.7</v>
      </c>
      <c r="AC21" s="34">
        <v>23.3</v>
      </c>
      <c r="AD21" s="45">
        <v>23.5</v>
      </c>
      <c r="AE21" s="34">
        <v>23.7</v>
      </c>
      <c r="AF21" s="316">
        <v>23.8</v>
      </c>
      <c r="AG21" s="34">
        <v>24.1</v>
      </c>
      <c r="AH21" s="472">
        <v>24.5409088170559</v>
      </c>
      <c r="AI21" s="473">
        <v>25.2886615660444</v>
      </c>
      <c r="AJ21" s="828">
        <v>26.3</v>
      </c>
      <c r="AK21" s="890">
        <v>26.483080677889099</v>
      </c>
    </row>
    <row r="22" spans="1:37" s="15" customFormat="1" ht="25.5">
      <c r="A22" s="464" t="s">
        <v>145</v>
      </c>
      <c r="B22" s="474" t="s">
        <v>74</v>
      </c>
      <c r="C22" s="36"/>
      <c r="D22" s="36"/>
      <c r="E22" s="36"/>
      <c r="F22" s="36"/>
      <c r="G22" s="36"/>
      <c r="H22" s="36"/>
      <c r="I22" s="36"/>
      <c r="J22" s="36"/>
      <c r="K22" s="36"/>
      <c r="L22" s="36"/>
      <c r="M22" s="36"/>
      <c r="N22" s="36"/>
      <c r="O22" s="36"/>
      <c r="P22" s="36"/>
      <c r="Q22" s="36"/>
      <c r="R22" s="36"/>
      <c r="S22" s="36"/>
      <c r="T22" s="36"/>
      <c r="U22" s="36"/>
      <c r="V22" s="36"/>
      <c r="W22" s="36"/>
      <c r="X22" s="36"/>
      <c r="Y22" s="36"/>
      <c r="Z22" s="36"/>
      <c r="AA22" s="316"/>
      <c r="AB22" s="315"/>
      <c r="AC22" s="32"/>
      <c r="AD22" s="32"/>
      <c r="AE22" s="32"/>
      <c r="AF22" s="316"/>
      <c r="AG22" s="34"/>
      <c r="AH22" s="443"/>
      <c r="AI22" s="471"/>
      <c r="AJ22" s="669"/>
      <c r="AK22" s="890"/>
    </row>
    <row r="23" spans="1:37" s="15" customFormat="1">
      <c r="A23" s="423" t="s">
        <v>108</v>
      </c>
      <c r="B23" s="283"/>
      <c r="C23" s="58" t="s">
        <v>1</v>
      </c>
      <c r="D23" s="58" t="s">
        <v>1</v>
      </c>
      <c r="E23" s="36">
        <v>86.4</v>
      </c>
      <c r="F23" s="36">
        <v>86.4</v>
      </c>
      <c r="G23" s="36">
        <v>86.7</v>
      </c>
      <c r="H23" s="36">
        <v>86.7</v>
      </c>
      <c r="I23" s="36">
        <v>87</v>
      </c>
      <c r="J23" s="36"/>
      <c r="K23" s="36">
        <v>90</v>
      </c>
      <c r="L23" s="36">
        <v>90</v>
      </c>
      <c r="M23" s="36">
        <v>92</v>
      </c>
      <c r="N23" s="36">
        <v>91</v>
      </c>
      <c r="O23" s="36">
        <v>91</v>
      </c>
      <c r="P23" s="36">
        <v>91</v>
      </c>
      <c r="Q23" s="36">
        <v>91</v>
      </c>
      <c r="R23" s="36">
        <v>92</v>
      </c>
      <c r="S23" s="36">
        <v>92</v>
      </c>
      <c r="T23" s="36">
        <v>92</v>
      </c>
      <c r="U23" s="36">
        <v>92</v>
      </c>
      <c r="V23" s="36">
        <v>92</v>
      </c>
      <c r="W23" s="36">
        <v>75.3</v>
      </c>
      <c r="X23" s="36">
        <v>99</v>
      </c>
      <c r="Y23" s="36">
        <v>100</v>
      </c>
      <c r="Z23" s="36">
        <v>100</v>
      </c>
      <c r="AA23" s="316">
        <v>100</v>
      </c>
      <c r="AB23" s="316">
        <v>100</v>
      </c>
      <c r="AC23" s="46">
        <v>100</v>
      </c>
      <c r="AD23" s="46">
        <v>100</v>
      </c>
      <c r="AE23" s="46">
        <v>100</v>
      </c>
      <c r="AF23" s="46">
        <v>100</v>
      </c>
      <c r="AG23" s="46">
        <v>100</v>
      </c>
      <c r="AH23" s="472">
        <v>99.998229401451695</v>
      </c>
      <c r="AI23" s="467">
        <v>99.994964963992601</v>
      </c>
      <c r="AJ23" s="827">
        <v>99.995062285327805</v>
      </c>
      <c r="AK23" s="890">
        <v>99.995062285327805</v>
      </c>
    </row>
    <row r="24" spans="1:37" s="15" customFormat="1">
      <c r="A24" s="426" t="s">
        <v>109</v>
      </c>
      <c r="B24" s="283"/>
      <c r="C24" s="58" t="s">
        <v>1</v>
      </c>
      <c r="D24" s="58" t="s">
        <v>1</v>
      </c>
      <c r="E24" s="58" t="s">
        <v>1</v>
      </c>
      <c r="F24" s="58" t="s">
        <v>1</v>
      </c>
      <c r="G24" s="58" t="s">
        <v>1</v>
      </c>
      <c r="H24" s="58" t="s">
        <v>1</v>
      </c>
      <c r="I24" s="58" t="s">
        <v>1</v>
      </c>
      <c r="J24" s="58" t="s">
        <v>1</v>
      </c>
      <c r="K24" s="58" t="s">
        <v>1</v>
      </c>
      <c r="L24" s="58" t="s">
        <v>1</v>
      </c>
      <c r="M24" s="58" t="s">
        <v>1</v>
      </c>
      <c r="N24" s="58" t="s">
        <v>1</v>
      </c>
      <c r="O24" s="58" t="s">
        <v>1</v>
      </c>
      <c r="P24" s="58" t="s">
        <v>1</v>
      </c>
      <c r="Q24" s="58" t="s">
        <v>1</v>
      </c>
      <c r="R24" s="58" t="s">
        <v>1</v>
      </c>
      <c r="S24" s="58" t="s">
        <v>1</v>
      </c>
      <c r="T24" s="58" t="s">
        <v>1</v>
      </c>
      <c r="U24" s="58" t="s">
        <v>1</v>
      </c>
      <c r="V24" s="58" t="s">
        <v>1</v>
      </c>
      <c r="W24" s="58" t="s">
        <v>1</v>
      </c>
      <c r="X24" s="58" t="s">
        <v>1</v>
      </c>
      <c r="Y24" s="36">
        <v>100</v>
      </c>
      <c r="Z24" s="36">
        <v>100</v>
      </c>
      <c r="AA24" s="382">
        <v>100</v>
      </c>
      <c r="AB24" s="382">
        <v>100</v>
      </c>
      <c r="AC24" s="46">
        <v>100</v>
      </c>
      <c r="AD24" s="46">
        <v>100</v>
      </c>
      <c r="AE24" s="46">
        <v>100</v>
      </c>
      <c r="AF24" s="46">
        <v>100</v>
      </c>
      <c r="AG24" s="46">
        <v>100</v>
      </c>
      <c r="AH24" s="472">
        <v>100</v>
      </c>
      <c r="AI24" s="467">
        <v>99.995330125147007</v>
      </c>
      <c r="AJ24" s="827">
        <v>99.995440843220905</v>
      </c>
      <c r="AK24" s="890">
        <v>99.995440843220905</v>
      </c>
    </row>
    <row r="25" spans="1:37" s="15" customFormat="1">
      <c r="A25" s="426" t="s">
        <v>135</v>
      </c>
      <c r="B25" s="283"/>
      <c r="C25" s="58" t="s">
        <v>1</v>
      </c>
      <c r="D25" s="58" t="s">
        <v>1</v>
      </c>
      <c r="E25" s="58" t="s">
        <v>1</v>
      </c>
      <c r="F25" s="58" t="s">
        <v>1</v>
      </c>
      <c r="G25" s="58" t="s">
        <v>1</v>
      </c>
      <c r="H25" s="58" t="s">
        <v>1</v>
      </c>
      <c r="I25" s="58" t="s">
        <v>1</v>
      </c>
      <c r="J25" s="58" t="s">
        <v>1</v>
      </c>
      <c r="K25" s="58" t="s">
        <v>1</v>
      </c>
      <c r="L25" s="58" t="s">
        <v>1</v>
      </c>
      <c r="M25" s="58" t="s">
        <v>1</v>
      </c>
      <c r="N25" s="58" t="s">
        <v>1</v>
      </c>
      <c r="O25" s="58" t="s">
        <v>1</v>
      </c>
      <c r="P25" s="58" t="s">
        <v>1</v>
      </c>
      <c r="Q25" s="58" t="s">
        <v>1</v>
      </c>
      <c r="R25" s="58" t="s">
        <v>1</v>
      </c>
      <c r="S25" s="58" t="s">
        <v>1</v>
      </c>
      <c r="T25" s="58" t="s">
        <v>1</v>
      </c>
      <c r="U25" s="58" t="s">
        <v>1</v>
      </c>
      <c r="V25" s="58" t="s">
        <v>1</v>
      </c>
      <c r="W25" s="58" t="s">
        <v>1</v>
      </c>
      <c r="X25" s="58" t="s">
        <v>1</v>
      </c>
      <c r="Y25" s="36">
        <v>100</v>
      </c>
      <c r="Z25" s="36">
        <v>100</v>
      </c>
      <c r="AA25" s="382">
        <v>100</v>
      </c>
      <c r="AB25" s="382">
        <v>100</v>
      </c>
      <c r="AC25" s="46">
        <v>100</v>
      </c>
      <c r="AD25" s="46">
        <v>100</v>
      </c>
      <c r="AE25" s="46">
        <v>100</v>
      </c>
      <c r="AF25" s="46">
        <v>100</v>
      </c>
      <c r="AG25" s="46">
        <v>100</v>
      </c>
      <c r="AH25" s="472">
        <v>99.9929571088106</v>
      </c>
      <c r="AI25" s="467">
        <v>99.980357145434894</v>
      </c>
      <c r="AJ25" s="827">
        <v>99.982003737711693</v>
      </c>
      <c r="AK25" s="891">
        <v>99.982003737711693</v>
      </c>
    </row>
    <row r="26" spans="1:37" s="15" customFormat="1">
      <c r="A26" s="426" t="s">
        <v>110</v>
      </c>
      <c r="B26" s="283"/>
      <c r="C26" s="58" t="s">
        <v>1</v>
      </c>
      <c r="D26" s="58" t="s">
        <v>1</v>
      </c>
      <c r="E26" s="58" t="s">
        <v>1</v>
      </c>
      <c r="F26" s="58" t="s">
        <v>1</v>
      </c>
      <c r="G26" s="58" t="s">
        <v>1</v>
      </c>
      <c r="H26" s="58" t="s">
        <v>1</v>
      </c>
      <c r="I26" s="58" t="s">
        <v>1</v>
      </c>
      <c r="J26" s="58" t="s">
        <v>1</v>
      </c>
      <c r="K26" s="58" t="s">
        <v>1</v>
      </c>
      <c r="L26" s="58" t="s">
        <v>1</v>
      </c>
      <c r="M26" s="58" t="s">
        <v>1</v>
      </c>
      <c r="N26" s="58" t="s">
        <v>1</v>
      </c>
      <c r="O26" s="58" t="s">
        <v>1</v>
      </c>
      <c r="P26" s="58" t="s">
        <v>1</v>
      </c>
      <c r="Q26" s="58" t="s">
        <v>1</v>
      </c>
      <c r="R26" s="58" t="s">
        <v>1</v>
      </c>
      <c r="S26" s="58" t="s">
        <v>1</v>
      </c>
      <c r="T26" s="58" t="s">
        <v>1</v>
      </c>
      <c r="U26" s="58" t="s">
        <v>1</v>
      </c>
      <c r="V26" s="58" t="s">
        <v>1</v>
      </c>
      <c r="W26" s="58" t="s">
        <v>1</v>
      </c>
      <c r="X26" s="58" t="s">
        <v>1</v>
      </c>
      <c r="Y26" s="36">
        <v>100</v>
      </c>
      <c r="Z26" s="36">
        <v>100</v>
      </c>
      <c r="AA26" s="382">
        <v>100</v>
      </c>
      <c r="AB26" s="382">
        <v>100</v>
      </c>
      <c r="AC26" s="46">
        <v>100</v>
      </c>
      <c r="AD26" s="46">
        <v>100</v>
      </c>
      <c r="AE26" s="46">
        <v>100</v>
      </c>
      <c r="AF26" s="46">
        <v>100</v>
      </c>
      <c r="AG26" s="46">
        <v>100</v>
      </c>
      <c r="AH26" s="472">
        <v>99.997587214243794</v>
      </c>
      <c r="AI26" s="467">
        <v>99.997617075957606</v>
      </c>
      <c r="AJ26" s="827">
        <v>99.997682518786505</v>
      </c>
      <c r="AK26" s="890">
        <v>99.997682518786505</v>
      </c>
    </row>
    <row r="27" spans="1:37" s="15" customFormat="1">
      <c r="A27" s="426" t="s">
        <v>111</v>
      </c>
      <c r="B27" s="283"/>
      <c r="C27" s="58" t="s">
        <v>1</v>
      </c>
      <c r="D27" s="58" t="s">
        <v>1</v>
      </c>
      <c r="E27" s="58" t="s">
        <v>1</v>
      </c>
      <c r="F27" s="58" t="s">
        <v>1</v>
      </c>
      <c r="G27" s="58" t="s">
        <v>1</v>
      </c>
      <c r="H27" s="58" t="s">
        <v>1</v>
      </c>
      <c r="I27" s="58" t="s">
        <v>1</v>
      </c>
      <c r="J27" s="58" t="s">
        <v>1</v>
      </c>
      <c r="K27" s="58" t="s">
        <v>1</v>
      </c>
      <c r="L27" s="58" t="s">
        <v>1</v>
      </c>
      <c r="M27" s="58" t="s">
        <v>1</v>
      </c>
      <c r="N27" s="58" t="s">
        <v>1</v>
      </c>
      <c r="O27" s="58" t="s">
        <v>1</v>
      </c>
      <c r="P27" s="58" t="s">
        <v>1</v>
      </c>
      <c r="Q27" s="58" t="s">
        <v>1</v>
      </c>
      <c r="R27" s="58" t="s">
        <v>1</v>
      </c>
      <c r="S27" s="58" t="s">
        <v>1</v>
      </c>
      <c r="T27" s="58" t="s">
        <v>1</v>
      </c>
      <c r="U27" s="58" t="s">
        <v>1</v>
      </c>
      <c r="V27" s="58" t="s">
        <v>1</v>
      </c>
      <c r="W27" s="58" t="s">
        <v>1</v>
      </c>
      <c r="X27" s="58" t="s">
        <v>1</v>
      </c>
      <c r="Y27" s="36">
        <v>100</v>
      </c>
      <c r="Z27" s="36">
        <v>100</v>
      </c>
      <c r="AA27" s="382">
        <v>100</v>
      </c>
      <c r="AB27" s="382">
        <v>100</v>
      </c>
      <c r="AC27" s="46">
        <v>100</v>
      </c>
      <c r="AD27" s="46">
        <v>100</v>
      </c>
      <c r="AE27" s="46">
        <v>100</v>
      </c>
      <c r="AF27" s="46">
        <v>100</v>
      </c>
      <c r="AG27" s="46">
        <v>100</v>
      </c>
      <c r="AH27" s="472">
        <v>100</v>
      </c>
      <c r="AI27" s="467">
        <v>99.993357683806806</v>
      </c>
      <c r="AJ27" s="827">
        <v>99.993157615078601</v>
      </c>
      <c r="AK27" s="890">
        <v>99.993157615078601</v>
      </c>
    </row>
    <row r="28" spans="1:37" s="15" customFormat="1">
      <c r="A28" s="426" t="s">
        <v>388</v>
      </c>
      <c r="B28" s="283"/>
      <c r="C28" s="58" t="s">
        <v>1</v>
      </c>
      <c r="D28" s="58" t="s">
        <v>1</v>
      </c>
      <c r="E28" s="58" t="s">
        <v>1</v>
      </c>
      <c r="F28" s="58" t="s">
        <v>1</v>
      </c>
      <c r="G28" s="58" t="s">
        <v>1</v>
      </c>
      <c r="H28" s="58" t="s">
        <v>1</v>
      </c>
      <c r="I28" s="58" t="s">
        <v>1</v>
      </c>
      <c r="J28" s="58" t="s">
        <v>1</v>
      </c>
      <c r="K28" s="58" t="s">
        <v>1</v>
      </c>
      <c r="L28" s="58" t="s">
        <v>1</v>
      </c>
      <c r="M28" s="58" t="s">
        <v>1</v>
      </c>
      <c r="N28" s="58" t="s">
        <v>1</v>
      </c>
      <c r="O28" s="58" t="s">
        <v>1</v>
      </c>
      <c r="P28" s="58" t="s">
        <v>1</v>
      </c>
      <c r="Q28" s="58" t="s">
        <v>1</v>
      </c>
      <c r="R28" s="58" t="s">
        <v>1</v>
      </c>
      <c r="S28" s="58" t="s">
        <v>1</v>
      </c>
      <c r="T28" s="58" t="s">
        <v>1</v>
      </c>
      <c r="U28" s="58" t="s">
        <v>1</v>
      </c>
      <c r="V28" s="58" t="s">
        <v>1</v>
      </c>
      <c r="W28" s="58" t="s">
        <v>1</v>
      </c>
      <c r="X28" s="58" t="s">
        <v>1</v>
      </c>
      <c r="Y28" s="36">
        <v>100</v>
      </c>
      <c r="Z28" s="36">
        <v>100</v>
      </c>
      <c r="AA28" s="382">
        <v>100</v>
      </c>
      <c r="AB28" s="382">
        <v>100</v>
      </c>
      <c r="AC28" s="46">
        <v>100</v>
      </c>
      <c r="AD28" s="46">
        <v>100</v>
      </c>
      <c r="AE28" s="46">
        <v>100</v>
      </c>
      <c r="AF28" s="46">
        <v>100</v>
      </c>
      <c r="AG28" s="46">
        <v>100</v>
      </c>
      <c r="AH28" s="472">
        <v>100</v>
      </c>
      <c r="AI28" s="467">
        <v>100</v>
      </c>
      <c r="AJ28" s="827">
        <v>100</v>
      </c>
      <c r="AK28" s="890">
        <v>100</v>
      </c>
    </row>
    <row r="29" spans="1:37" s="15" customFormat="1">
      <c r="A29" s="426" t="s">
        <v>136</v>
      </c>
      <c r="B29" s="283"/>
      <c r="C29" s="58" t="s">
        <v>1</v>
      </c>
      <c r="D29" s="58" t="s">
        <v>1</v>
      </c>
      <c r="E29" s="58" t="s">
        <v>1</v>
      </c>
      <c r="F29" s="58" t="s">
        <v>1</v>
      </c>
      <c r="G29" s="58" t="s">
        <v>1</v>
      </c>
      <c r="H29" s="58" t="s">
        <v>1</v>
      </c>
      <c r="I29" s="58" t="s">
        <v>1</v>
      </c>
      <c r="J29" s="58" t="s">
        <v>1</v>
      </c>
      <c r="K29" s="58" t="s">
        <v>1</v>
      </c>
      <c r="L29" s="58" t="s">
        <v>1</v>
      </c>
      <c r="M29" s="58" t="s">
        <v>1</v>
      </c>
      <c r="N29" s="58" t="s">
        <v>1</v>
      </c>
      <c r="O29" s="58" t="s">
        <v>1</v>
      </c>
      <c r="P29" s="58" t="s">
        <v>1</v>
      </c>
      <c r="Q29" s="58" t="s">
        <v>1</v>
      </c>
      <c r="R29" s="58" t="s">
        <v>1</v>
      </c>
      <c r="S29" s="58" t="s">
        <v>1</v>
      </c>
      <c r="T29" s="58" t="s">
        <v>1</v>
      </c>
      <c r="U29" s="58" t="s">
        <v>1</v>
      </c>
      <c r="V29" s="58" t="s">
        <v>1</v>
      </c>
      <c r="W29" s="58" t="s">
        <v>1</v>
      </c>
      <c r="X29" s="58" t="s">
        <v>1</v>
      </c>
      <c r="Y29" s="36">
        <v>100</v>
      </c>
      <c r="Z29" s="36">
        <v>100</v>
      </c>
      <c r="AA29" s="382">
        <v>100</v>
      </c>
      <c r="AB29" s="382">
        <v>100</v>
      </c>
      <c r="AC29" s="46">
        <v>100</v>
      </c>
      <c r="AD29" s="46">
        <v>100</v>
      </c>
      <c r="AE29" s="46">
        <v>100</v>
      </c>
      <c r="AF29" s="46">
        <v>100</v>
      </c>
      <c r="AG29" s="46">
        <v>100</v>
      </c>
      <c r="AH29" s="472">
        <v>99.9957865287587</v>
      </c>
      <c r="AI29" s="467">
        <v>99.995910399376797</v>
      </c>
      <c r="AJ29" s="827">
        <v>99.996048358546901</v>
      </c>
      <c r="AK29" s="890">
        <v>99.996048358546901</v>
      </c>
    </row>
    <row r="30" spans="1:37" s="15" customFormat="1">
      <c r="A30" s="426" t="s">
        <v>112</v>
      </c>
      <c r="B30" s="283"/>
      <c r="C30" s="58" t="s">
        <v>1</v>
      </c>
      <c r="D30" s="58" t="s">
        <v>1</v>
      </c>
      <c r="E30" s="58" t="s">
        <v>1</v>
      </c>
      <c r="F30" s="58" t="s">
        <v>1</v>
      </c>
      <c r="G30" s="58" t="s">
        <v>1</v>
      </c>
      <c r="H30" s="58" t="s">
        <v>1</v>
      </c>
      <c r="I30" s="58" t="s">
        <v>1</v>
      </c>
      <c r="J30" s="58" t="s">
        <v>1</v>
      </c>
      <c r="K30" s="58" t="s">
        <v>1</v>
      </c>
      <c r="L30" s="58" t="s">
        <v>1</v>
      </c>
      <c r="M30" s="58" t="s">
        <v>1</v>
      </c>
      <c r="N30" s="58" t="s">
        <v>1</v>
      </c>
      <c r="O30" s="58" t="s">
        <v>1</v>
      </c>
      <c r="P30" s="58" t="s">
        <v>1</v>
      </c>
      <c r="Q30" s="58" t="s">
        <v>1</v>
      </c>
      <c r="R30" s="58" t="s">
        <v>1</v>
      </c>
      <c r="S30" s="58" t="s">
        <v>1</v>
      </c>
      <c r="T30" s="58" t="s">
        <v>1</v>
      </c>
      <c r="U30" s="58" t="s">
        <v>1</v>
      </c>
      <c r="V30" s="58" t="s">
        <v>1</v>
      </c>
      <c r="W30" s="58" t="s">
        <v>1</v>
      </c>
      <c r="X30" s="58" t="s">
        <v>1</v>
      </c>
      <c r="Y30" s="36">
        <v>100</v>
      </c>
      <c r="Z30" s="36">
        <v>100</v>
      </c>
      <c r="AA30" s="382">
        <v>100</v>
      </c>
      <c r="AB30" s="382">
        <v>100</v>
      </c>
      <c r="AC30" s="46">
        <v>100</v>
      </c>
      <c r="AD30" s="46">
        <v>100</v>
      </c>
      <c r="AE30" s="46">
        <v>100</v>
      </c>
      <c r="AF30" s="46">
        <v>100</v>
      </c>
      <c r="AG30" s="46">
        <v>100</v>
      </c>
      <c r="AH30" s="472">
        <v>100</v>
      </c>
      <c r="AI30" s="467">
        <v>100</v>
      </c>
      <c r="AJ30" s="827">
        <v>100</v>
      </c>
      <c r="AK30" s="890">
        <v>100</v>
      </c>
    </row>
    <row r="31" spans="1:37" s="15" customFormat="1">
      <c r="A31" s="426" t="s">
        <v>113</v>
      </c>
      <c r="B31" s="283"/>
      <c r="C31" s="58" t="s">
        <v>1</v>
      </c>
      <c r="D31" s="58" t="s">
        <v>1</v>
      </c>
      <c r="E31" s="58" t="s">
        <v>1</v>
      </c>
      <c r="F31" s="58" t="s">
        <v>1</v>
      </c>
      <c r="G31" s="58" t="s">
        <v>1</v>
      </c>
      <c r="H31" s="58" t="s">
        <v>1</v>
      </c>
      <c r="I31" s="58" t="s">
        <v>1</v>
      </c>
      <c r="J31" s="58" t="s">
        <v>1</v>
      </c>
      <c r="K31" s="58" t="s">
        <v>1</v>
      </c>
      <c r="L31" s="58" t="s">
        <v>1</v>
      </c>
      <c r="M31" s="58" t="s">
        <v>1</v>
      </c>
      <c r="N31" s="58" t="s">
        <v>1</v>
      </c>
      <c r="O31" s="58" t="s">
        <v>1</v>
      </c>
      <c r="P31" s="58" t="s">
        <v>1</v>
      </c>
      <c r="Q31" s="58" t="s">
        <v>1</v>
      </c>
      <c r="R31" s="58" t="s">
        <v>1</v>
      </c>
      <c r="S31" s="58" t="s">
        <v>1</v>
      </c>
      <c r="T31" s="58" t="s">
        <v>1</v>
      </c>
      <c r="U31" s="58" t="s">
        <v>1</v>
      </c>
      <c r="V31" s="58" t="s">
        <v>1</v>
      </c>
      <c r="W31" s="58" t="s">
        <v>1</v>
      </c>
      <c r="X31" s="58" t="s">
        <v>1</v>
      </c>
      <c r="Y31" s="36">
        <v>100</v>
      </c>
      <c r="Z31" s="36">
        <v>100</v>
      </c>
      <c r="AA31" s="382">
        <v>100</v>
      </c>
      <c r="AB31" s="382">
        <v>100</v>
      </c>
      <c r="AC31" s="46">
        <v>100</v>
      </c>
      <c r="AD31" s="46">
        <v>100</v>
      </c>
      <c r="AE31" s="46">
        <v>100</v>
      </c>
      <c r="AF31" s="46">
        <v>100</v>
      </c>
      <c r="AG31" s="46">
        <v>100</v>
      </c>
      <c r="AH31" s="472">
        <v>99.999406050707606</v>
      </c>
      <c r="AI31" s="467">
        <v>99.999431308231195</v>
      </c>
      <c r="AJ31" s="827">
        <v>99.999456721869194</v>
      </c>
      <c r="AK31" s="890">
        <v>99.999456721869194</v>
      </c>
    </row>
    <row r="32" spans="1:37" s="15" customFormat="1" ht="25.5">
      <c r="A32" s="464" t="s">
        <v>146</v>
      </c>
      <c r="B32" s="474" t="s">
        <v>74</v>
      </c>
      <c r="C32" s="36"/>
      <c r="D32" s="36"/>
      <c r="E32" s="36"/>
      <c r="F32" s="36"/>
      <c r="G32" s="36"/>
      <c r="H32" s="36"/>
      <c r="I32" s="36"/>
      <c r="J32" s="36"/>
      <c r="K32" s="36"/>
      <c r="L32" s="36"/>
      <c r="M32" s="36"/>
      <c r="N32" s="36"/>
      <c r="O32" s="36"/>
      <c r="P32" s="36"/>
      <c r="Q32" s="36"/>
      <c r="R32" s="36"/>
      <c r="S32" s="36"/>
      <c r="T32" s="36"/>
      <c r="U32" s="36"/>
      <c r="V32" s="36"/>
      <c r="W32" s="36"/>
      <c r="X32" s="36"/>
      <c r="Y32" s="36"/>
      <c r="Z32" s="36"/>
      <c r="AA32" s="32"/>
      <c r="AB32" s="315"/>
      <c r="AC32" s="32"/>
      <c r="AD32" s="32"/>
      <c r="AE32" s="32"/>
      <c r="AF32" s="316"/>
      <c r="AG32" s="34"/>
      <c r="AH32" s="443"/>
      <c r="AI32" s="471"/>
      <c r="AJ32" s="669"/>
      <c r="AK32" s="890"/>
    </row>
    <row r="33" spans="1:37" s="15" customFormat="1">
      <c r="A33" s="423" t="s">
        <v>108</v>
      </c>
      <c r="B33" s="283"/>
      <c r="C33" s="58" t="s">
        <v>1</v>
      </c>
      <c r="D33" s="58" t="s">
        <v>1</v>
      </c>
      <c r="E33" s="36">
        <v>83.6</v>
      </c>
      <c r="F33" s="36">
        <v>83.6</v>
      </c>
      <c r="G33" s="36">
        <v>83.5</v>
      </c>
      <c r="H33" s="36">
        <v>83.5</v>
      </c>
      <c r="I33" s="36">
        <v>84</v>
      </c>
      <c r="J33" s="36"/>
      <c r="K33" s="36">
        <v>86</v>
      </c>
      <c r="L33" s="36">
        <v>84</v>
      </c>
      <c r="M33" s="36">
        <v>75</v>
      </c>
      <c r="N33" s="36">
        <v>75</v>
      </c>
      <c r="O33" s="36">
        <v>74</v>
      </c>
      <c r="P33" s="36">
        <v>74</v>
      </c>
      <c r="Q33" s="36">
        <v>76</v>
      </c>
      <c r="R33" s="36">
        <v>77</v>
      </c>
      <c r="S33" s="36">
        <v>77</v>
      </c>
      <c r="T33" s="36">
        <v>77</v>
      </c>
      <c r="U33" s="36">
        <v>77</v>
      </c>
      <c r="V33" s="36">
        <v>78</v>
      </c>
      <c r="W33" s="36">
        <v>62.5</v>
      </c>
      <c r="X33" s="36">
        <v>99</v>
      </c>
      <c r="Y33" s="36">
        <v>99</v>
      </c>
      <c r="Z33" s="36">
        <v>97</v>
      </c>
      <c r="AA33" s="316">
        <v>96.8</v>
      </c>
      <c r="AB33" s="382">
        <v>97</v>
      </c>
      <c r="AC33" s="34">
        <v>97.2</v>
      </c>
      <c r="AD33" s="45">
        <v>97.3</v>
      </c>
      <c r="AE33" s="34">
        <v>97.5</v>
      </c>
      <c r="AF33" s="316">
        <v>97.6</v>
      </c>
      <c r="AG33" s="34">
        <v>97.8</v>
      </c>
      <c r="AH33" s="472">
        <v>97.921540040404196</v>
      </c>
      <c r="AI33" s="467">
        <v>98.241141235260898</v>
      </c>
      <c r="AJ33" s="827">
        <v>98.399292303162198</v>
      </c>
      <c r="AK33" s="890">
        <v>98.504367687051896</v>
      </c>
    </row>
    <row r="34" spans="1:37" s="15" customFormat="1">
      <c r="A34" s="426" t="s">
        <v>109</v>
      </c>
      <c r="B34" s="283"/>
      <c r="C34" s="58" t="s">
        <v>1</v>
      </c>
      <c r="D34" s="58" t="s">
        <v>1</v>
      </c>
      <c r="E34" s="58" t="s">
        <v>1</v>
      </c>
      <c r="F34" s="58" t="s">
        <v>1</v>
      </c>
      <c r="G34" s="58" t="s">
        <v>1</v>
      </c>
      <c r="H34" s="58" t="s">
        <v>1</v>
      </c>
      <c r="I34" s="58" t="s">
        <v>1</v>
      </c>
      <c r="J34" s="58" t="s">
        <v>1</v>
      </c>
      <c r="K34" s="58" t="s">
        <v>1</v>
      </c>
      <c r="L34" s="58" t="s">
        <v>1</v>
      </c>
      <c r="M34" s="58" t="s">
        <v>1</v>
      </c>
      <c r="N34" s="58" t="s">
        <v>1</v>
      </c>
      <c r="O34" s="58" t="s">
        <v>1</v>
      </c>
      <c r="P34" s="58" t="s">
        <v>1</v>
      </c>
      <c r="Q34" s="58" t="s">
        <v>1</v>
      </c>
      <c r="R34" s="58" t="s">
        <v>1</v>
      </c>
      <c r="S34" s="58" t="s">
        <v>1</v>
      </c>
      <c r="T34" s="58" t="s">
        <v>1</v>
      </c>
      <c r="U34" s="58" t="s">
        <v>1</v>
      </c>
      <c r="V34" s="58" t="s">
        <v>1</v>
      </c>
      <c r="W34" s="58" t="s">
        <v>1</v>
      </c>
      <c r="X34" s="58" t="s">
        <v>1</v>
      </c>
      <c r="Y34" s="36">
        <v>98</v>
      </c>
      <c r="Z34" s="36">
        <v>98</v>
      </c>
      <c r="AA34" s="316">
        <v>98.4</v>
      </c>
      <c r="AB34" s="382">
        <v>98.6</v>
      </c>
      <c r="AC34" s="34">
        <v>98.5</v>
      </c>
      <c r="AD34" s="45">
        <v>98.7</v>
      </c>
      <c r="AE34" s="34">
        <v>98.8</v>
      </c>
      <c r="AF34" s="316">
        <v>98.9</v>
      </c>
      <c r="AG34" s="34">
        <v>98.9</v>
      </c>
      <c r="AH34" s="472">
        <v>98.912764791163696</v>
      </c>
      <c r="AI34" s="467">
        <v>99.624483290768197</v>
      </c>
      <c r="AJ34" s="827">
        <v>99.635955102145701</v>
      </c>
      <c r="AK34" s="890">
        <v>99.638448478963099</v>
      </c>
    </row>
    <row r="35" spans="1:37" s="15" customFormat="1">
      <c r="A35" s="426" t="s">
        <v>135</v>
      </c>
      <c r="B35" s="283"/>
      <c r="C35" s="58" t="s">
        <v>1</v>
      </c>
      <c r="D35" s="58" t="s">
        <v>1</v>
      </c>
      <c r="E35" s="58" t="s">
        <v>1</v>
      </c>
      <c r="F35" s="58" t="s">
        <v>1</v>
      </c>
      <c r="G35" s="58" t="s">
        <v>1</v>
      </c>
      <c r="H35" s="58" t="s">
        <v>1</v>
      </c>
      <c r="I35" s="58" t="s">
        <v>1</v>
      </c>
      <c r="J35" s="58" t="s">
        <v>1</v>
      </c>
      <c r="K35" s="58" t="s">
        <v>1</v>
      </c>
      <c r="L35" s="58" t="s">
        <v>1</v>
      </c>
      <c r="M35" s="58" t="s">
        <v>1</v>
      </c>
      <c r="N35" s="58" t="s">
        <v>1</v>
      </c>
      <c r="O35" s="58" t="s">
        <v>1</v>
      </c>
      <c r="P35" s="58" t="s">
        <v>1</v>
      </c>
      <c r="Q35" s="58" t="s">
        <v>1</v>
      </c>
      <c r="R35" s="58" t="s">
        <v>1</v>
      </c>
      <c r="S35" s="58" t="s">
        <v>1</v>
      </c>
      <c r="T35" s="58" t="s">
        <v>1</v>
      </c>
      <c r="U35" s="58" t="s">
        <v>1</v>
      </c>
      <c r="V35" s="58" t="s">
        <v>1</v>
      </c>
      <c r="W35" s="58" t="s">
        <v>1</v>
      </c>
      <c r="X35" s="58" t="s">
        <v>1</v>
      </c>
      <c r="Y35" s="36">
        <v>99</v>
      </c>
      <c r="Z35" s="36">
        <v>98</v>
      </c>
      <c r="AA35" s="316">
        <v>98.1</v>
      </c>
      <c r="AB35" s="382">
        <v>98.6</v>
      </c>
      <c r="AC35" s="34">
        <v>98.8</v>
      </c>
      <c r="AD35" s="45">
        <v>98.9</v>
      </c>
      <c r="AE35" s="34">
        <v>98.9</v>
      </c>
      <c r="AF35" s="316">
        <v>99</v>
      </c>
      <c r="AG35" s="34">
        <v>99.1</v>
      </c>
      <c r="AH35" s="472">
        <v>99.180247921277299</v>
      </c>
      <c r="AI35" s="467">
        <v>99.203405552770207</v>
      </c>
      <c r="AJ35" s="827">
        <v>99.293171857028497</v>
      </c>
      <c r="AK35" s="890">
        <v>99.368490483757995</v>
      </c>
    </row>
    <row r="36" spans="1:37" s="15" customFormat="1">
      <c r="A36" s="426" t="s">
        <v>110</v>
      </c>
      <c r="B36" s="283"/>
      <c r="C36" s="58" t="s">
        <v>1</v>
      </c>
      <c r="D36" s="58" t="s">
        <v>1</v>
      </c>
      <c r="E36" s="58" t="s">
        <v>1</v>
      </c>
      <c r="F36" s="58" t="s">
        <v>1</v>
      </c>
      <c r="G36" s="58" t="s">
        <v>1</v>
      </c>
      <c r="H36" s="58" t="s">
        <v>1</v>
      </c>
      <c r="I36" s="58" t="s">
        <v>1</v>
      </c>
      <c r="J36" s="58" t="s">
        <v>1</v>
      </c>
      <c r="K36" s="58" t="s">
        <v>1</v>
      </c>
      <c r="L36" s="58" t="s">
        <v>1</v>
      </c>
      <c r="M36" s="58" t="s">
        <v>1</v>
      </c>
      <c r="N36" s="58" t="s">
        <v>1</v>
      </c>
      <c r="O36" s="58" t="s">
        <v>1</v>
      </c>
      <c r="P36" s="58" t="s">
        <v>1</v>
      </c>
      <c r="Q36" s="58" t="s">
        <v>1</v>
      </c>
      <c r="R36" s="58" t="s">
        <v>1</v>
      </c>
      <c r="S36" s="58" t="s">
        <v>1</v>
      </c>
      <c r="T36" s="58" t="s">
        <v>1</v>
      </c>
      <c r="U36" s="58" t="s">
        <v>1</v>
      </c>
      <c r="V36" s="58" t="s">
        <v>1</v>
      </c>
      <c r="W36" s="58" t="s">
        <v>1</v>
      </c>
      <c r="X36" s="58" t="s">
        <v>1</v>
      </c>
      <c r="Y36" s="36">
        <v>98</v>
      </c>
      <c r="Z36" s="36">
        <v>99</v>
      </c>
      <c r="AA36" s="316">
        <v>98.9</v>
      </c>
      <c r="AB36" s="382">
        <v>98.9</v>
      </c>
      <c r="AC36" s="34">
        <v>99.5</v>
      </c>
      <c r="AD36" s="45">
        <v>99.5</v>
      </c>
      <c r="AE36" s="34">
        <v>99.6</v>
      </c>
      <c r="AF36" s="316">
        <v>99.6</v>
      </c>
      <c r="AG36" s="34">
        <v>99.6</v>
      </c>
      <c r="AH36" s="472">
        <v>99.694922133458107</v>
      </c>
      <c r="AI36" s="467">
        <v>99.804688033297793</v>
      </c>
      <c r="AJ36" s="827">
        <v>99.810042445712099</v>
      </c>
      <c r="AK36" s="890">
        <v>99.817986100641605</v>
      </c>
    </row>
    <row r="37" spans="1:37" s="15" customFormat="1">
      <c r="A37" s="426" t="s">
        <v>111</v>
      </c>
      <c r="B37" s="283"/>
      <c r="C37" s="58" t="s">
        <v>1</v>
      </c>
      <c r="D37" s="58" t="s">
        <v>1</v>
      </c>
      <c r="E37" s="58" t="s">
        <v>1</v>
      </c>
      <c r="F37" s="58" t="s">
        <v>1</v>
      </c>
      <c r="G37" s="58" t="s">
        <v>1</v>
      </c>
      <c r="H37" s="58" t="s">
        <v>1</v>
      </c>
      <c r="I37" s="58" t="s">
        <v>1</v>
      </c>
      <c r="J37" s="58" t="s">
        <v>1</v>
      </c>
      <c r="K37" s="58" t="s">
        <v>1</v>
      </c>
      <c r="L37" s="58" t="s">
        <v>1</v>
      </c>
      <c r="M37" s="58" t="s">
        <v>1</v>
      </c>
      <c r="N37" s="58" t="s">
        <v>1</v>
      </c>
      <c r="O37" s="58" t="s">
        <v>1</v>
      </c>
      <c r="P37" s="58" t="s">
        <v>1</v>
      </c>
      <c r="Q37" s="58" t="s">
        <v>1</v>
      </c>
      <c r="R37" s="58" t="s">
        <v>1</v>
      </c>
      <c r="S37" s="58" t="s">
        <v>1</v>
      </c>
      <c r="T37" s="58" t="s">
        <v>1</v>
      </c>
      <c r="U37" s="58" t="s">
        <v>1</v>
      </c>
      <c r="V37" s="58" t="s">
        <v>1</v>
      </c>
      <c r="W37" s="58" t="s">
        <v>1</v>
      </c>
      <c r="X37" s="58" t="s">
        <v>1</v>
      </c>
      <c r="Y37" s="36">
        <v>99</v>
      </c>
      <c r="Z37" s="36">
        <v>97</v>
      </c>
      <c r="AA37" s="316">
        <v>97.4</v>
      </c>
      <c r="AB37" s="382">
        <v>97.8</v>
      </c>
      <c r="AC37" s="34">
        <v>97.9</v>
      </c>
      <c r="AD37" s="45">
        <v>98</v>
      </c>
      <c r="AE37" s="34">
        <v>98.1</v>
      </c>
      <c r="AF37" s="306">
        <v>98.2</v>
      </c>
      <c r="AG37" s="34">
        <v>98.3</v>
      </c>
      <c r="AH37" s="472">
        <v>98.459429908081205</v>
      </c>
      <c r="AI37" s="467">
        <v>98.870897710688396</v>
      </c>
      <c r="AJ37" s="827">
        <v>98.9655704554756</v>
      </c>
      <c r="AK37" s="890">
        <v>99.079535683628393</v>
      </c>
    </row>
    <row r="38" spans="1:37" s="15" customFormat="1">
      <c r="A38" s="426" t="s">
        <v>388</v>
      </c>
      <c r="B38" s="283"/>
      <c r="C38" s="58" t="s">
        <v>1</v>
      </c>
      <c r="D38" s="58" t="s">
        <v>1</v>
      </c>
      <c r="E38" s="58" t="s">
        <v>1</v>
      </c>
      <c r="F38" s="58" t="s">
        <v>1</v>
      </c>
      <c r="G38" s="58" t="s">
        <v>1</v>
      </c>
      <c r="H38" s="58" t="s">
        <v>1</v>
      </c>
      <c r="I38" s="58" t="s">
        <v>1</v>
      </c>
      <c r="J38" s="58" t="s">
        <v>1</v>
      </c>
      <c r="K38" s="58" t="s">
        <v>1</v>
      </c>
      <c r="L38" s="58" t="s">
        <v>1</v>
      </c>
      <c r="M38" s="58" t="s">
        <v>1</v>
      </c>
      <c r="N38" s="58" t="s">
        <v>1</v>
      </c>
      <c r="O38" s="58" t="s">
        <v>1</v>
      </c>
      <c r="P38" s="58" t="s">
        <v>1</v>
      </c>
      <c r="Q38" s="58" t="s">
        <v>1</v>
      </c>
      <c r="R38" s="58" t="s">
        <v>1</v>
      </c>
      <c r="S38" s="58" t="s">
        <v>1</v>
      </c>
      <c r="T38" s="58" t="s">
        <v>1</v>
      </c>
      <c r="U38" s="58" t="s">
        <v>1</v>
      </c>
      <c r="V38" s="58" t="s">
        <v>1</v>
      </c>
      <c r="W38" s="58" t="s">
        <v>1</v>
      </c>
      <c r="X38" s="58" t="s">
        <v>1</v>
      </c>
      <c r="Y38" s="36">
        <v>99</v>
      </c>
      <c r="Z38" s="36">
        <v>97</v>
      </c>
      <c r="AA38" s="316">
        <v>97</v>
      </c>
      <c r="AB38" s="382">
        <v>97.1</v>
      </c>
      <c r="AC38" s="46">
        <v>97</v>
      </c>
      <c r="AD38" s="45">
        <v>97</v>
      </c>
      <c r="AE38" s="34">
        <v>97.5</v>
      </c>
      <c r="AF38" s="316">
        <v>97.5</v>
      </c>
      <c r="AG38" s="34">
        <v>97.6</v>
      </c>
      <c r="AH38" s="472">
        <v>97.670852813677399</v>
      </c>
      <c r="AI38" s="467">
        <v>97.844669415394506</v>
      </c>
      <c r="AJ38" s="827">
        <v>97.959540854128704</v>
      </c>
      <c r="AK38" s="890">
        <v>97.976021148695693</v>
      </c>
    </row>
    <row r="39" spans="1:37" s="15" customFormat="1">
      <c r="A39" s="426" t="s">
        <v>136</v>
      </c>
      <c r="B39" s="283"/>
      <c r="C39" s="58" t="s">
        <v>1</v>
      </c>
      <c r="D39" s="58" t="s">
        <v>1</v>
      </c>
      <c r="E39" s="58" t="s">
        <v>1</v>
      </c>
      <c r="F39" s="58" t="s">
        <v>1</v>
      </c>
      <c r="G39" s="58" t="s">
        <v>1</v>
      </c>
      <c r="H39" s="58" t="s">
        <v>1</v>
      </c>
      <c r="I39" s="58" t="s">
        <v>1</v>
      </c>
      <c r="J39" s="58" t="s">
        <v>1</v>
      </c>
      <c r="K39" s="58" t="s">
        <v>1</v>
      </c>
      <c r="L39" s="58" t="s">
        <v>1</v>
      </c>
      <c r="M39" s="58" t="s">
        <v>1</v>
      </c>
      <c r="N39" s="58" t="s">
        <v>1</v>
      </c>
      <c r="O39" s="58" t="s">
        <v>1</v>
      </c>
      <c r="P39" s="58" t="s">
        <v>1</v>
      </c>
      <c r="Q39" s="58" t="s">
        <v>1</v>
      </c>
      <c r="R39" s="58" t="s">
        <v>1</v>
      </c>
      <c r="S39" s="58" t="s">
        <v>1</v>
      </c>
      <c r="T39" s="58" t="s">
        <v>1</v>
      </c>
      <c r="U39" s="58" t="s">
        <v>1</v>
      </c>
      <c r="V39" s="58" t="s">
        <v>1</v>
      </c>
      <c r="W39" s="58" t="s">
        <v>1</v>
      </c>
      <c r="X39" s="58" t="s">
        <v>1</v>
      </c>
      <c r="Y39" s="36">
        <v>99</v>
      </c>
      <c r="Z39" s="36">
        <v>99</v>
      </c>
      <c r="AA39" s="316">
        <v>99.4</v>
      </c>
      <c r="AB39" s="382">
        <v>99.4</v>
      </c>
      <c r="AC39" s="34">
        <v>99.6</v>
      </c>
      <c r="AD39" s="45">
        <v>99.6</v>
      </c>
      <c r="AE39" s="34">
        <v>99.5</v>
      </c>
      <c r="AF39" s="316">
        <v>99.6</v>
      </c>
      <c r="AG39" s="34">
        <v>99.6</v>
      </c>
      <c r="AH39" s="472">
        <v>99.636979786001604</v>
      </c>
      <c r="AI39" s="467">
        <v>99.858116600832602</v>
      </c>
      <c r="AJ39" s="827">
        <v>99.866080127679894</v>
      </c>
      <c r="AK39" s="890">
        <v>99.869904670279496</v>
      </c>
    </row>
    <row r="40" spans="1:37" s="15" customFormat="1">
      <c r="A40" s="426" t="s">
        <v>112</v>
      </c>
      <c r="B40" s="283"/>
      <c r="C40" s="58" t="s">
        <v>1</v>
      </c>
      <c r="D40" s="58" t="s">
        <v>1</v>
      </c>
      <c r="E40" s="58" t="s">
        <v>1</v>
      </c>
      <c r="F40" s="58" t="s">
        <v>1</v>
      </c>
      <c r="G40" s="58" t="s">
        <v>1</v>
      </c>
      <c r="H40" s="58" t="s">
        <v>1</v>
      </c>
      <c r="I40" s="58" t="s">
        <v>1</v>
      </c>
      <c r="J40" s="58" t="s">
        <v>1</v>
      </c>
      <c r="K40" s="58" t="s">
        <v>1</v>
      </c>
      <c r="L40" s="58" t="s">
        <v>1</v>
      </c>
      <c r="M40" s="58" t="s">
        <v>1</v>
      </c>
      <c r="N40" s="58" t="s">
        <v>1</v>
      </c>
      <c r="O40" s="58" t="s">
        <v>1</v>
      </c>
      <c r="P40" s="58" t="s">
        <v>1</v>
      </c>
      <c r="Q40" s="58" t="s">
        <v>1</v>
      </c>
      <c r="R40" s="58" t="s">
        <v>1</v>
      </c>
      <c r="S40" s="58" t="s">
        <v>1</v>
      </c>
      <c r="T40" s="58" t="s">
        <v>1</v>
      </c>
      <c r="U40" s="58" t="s">
        <v>1</v>
      </c>
      <c r="V40" s="58" t="s">
        <v>1</v>
      </c>
      <c r="W40" s="58" t="s">
        <v>1</v>
      </c>
      <c r="X40" s="58" t="s">
        <v>1</v>
      </c>
      <c r="Y40" s="36" t="s">
        <v>1</v>
      </c>
      <c r="Z40" s="36">
        <v>70</v>
      </c>
      <c r="AA40" s="316">
        <v>77.5</v>
      </c>
      <c r="AB40" s="382">
        <v>79.8</v>
      </c>
      <c r="AC40" s="34">
        <v>81.400000000000006</v>
      </c>
      <c r="AD40" s="45">
        <v>82.8</v>
      </c>
      <c r="AE40" s="34">
        <v>84.1</v>
      </c>
      <c r="AF40" s="316">
        <v>85.5</v>
      </c>
      <c r="AG40" s="34">
        <v>87.6</v>
      </c>
      <c r="AH40" s="472">
        <v>89.515506079327693</v>
      </c>
      <c r="AI40" s="467">
        <v>90.722704905788603</v>
      </c>
      <c r="AJ40" s="827">
        <v>91.746755422405698</v>
      </c>
      <c r="AK40" s="890">
        <v>92.376519435058796</v>
      </c>
    </row>
    <row r="41" spans="1:37" s="15" customFormat="1">
      <c r="A41" s="426" t="s">
        <v>113</v>
      </c>
      <c r="B41" s="283"/>
      <c r="C41" s="58" t="s">
        <v>1</v>
      </c>
      <c r="D41" s="58" t="s">
        <v>1</v>
      </c>
      <c r="E41" s="58" t="s">
        <v>1</v>
      </c>
      <c r="F41" s="58" t="s">
        <v>1</v>
      </c>
      <c r="G41" s="58" t="s">
        <v>1</v>
      </c>
      <c r="H41" s="58" t="s">
        <v>1</v>
      </c>
      <c r="I41" s="58" t="s">
        <v>1</v>
      </c>
      <c r="J41" s="58" t="s">
        <v>1</v>
      </c>
      <c r="K41" s="58" t="s">
        <v>1</v>
      </c>
      <c r="L41" s="58" t="s">
        <v>1</v>
      </c>
      <c r="M41" s="58" t="s">
        <v>1</v>
      </c>
      <c r="N41" s="58" t="s">
        <v>1</v>
      </c>
      <c r="O41" s="58" t="s">
        <v>1</v>
      </c>
      <c r="P41" s="58" t="s">
        <v>1</v>
      </c>
      <c r="Q41" s="58" t="s">
        <v>1</v>
      </c>
      <c r="R41" s="58" t="s">
        <v>1</v>
      </c>
      <c r="S41" s="58" t="s">
        <v>1</v>
      </c>
      <c r="T41" s="58" t="s">
        <v>1</v>
      </c>
      <c r="U41" s="58" t="s">
        <v>1</v>
      </c>
      <c r="V41" s="58" t="s">
        <v>1</v>
      </c>
      <c r="W41" s="58" t="s">
        <v>1</v>
      </c>
      <c r="X41" s="58" t="s">
        <v>1</v>
      </c>
      <c r="Y41" s="36">
        <v>98</v>
      </c>
      <c r="Z41" s="36">
        <v>96</v>
      </c>
      <c r="AA41" s="316">
        <v>96.8</v>
      </c>
      <c r="AB41" s="382">
        <v>97</v>
      </c>
      <c r="AC41" s="34">
        <v>96.9</v>
      </c>
      <c r="AD41" s="45">
        <v>97</v>
      </c>
      <c r="AE41" s="34">
        <v>97.1</v>
      </c>
      <c r="AF41" s="316">
        <v>97.2</v>
      </c>
      <c r="AG41" s="34">
        <v>97.3</v>
      </c>
      <c r="AH41" s="472">
        <v>97.596006671420596</v>
      </c>
      <c r="AI41" s="467">
        <v>97.845466496701604</v>
      </c>
      <c r="AJ41" s="827">
        <v>97.983395765135697</v>
      </c>
      <c r="AK41" s="890">
        <v>98.118661078462296</v>
      </c>
    </row>
    <row r="42" spans="1:37" s="15" customFormat="1" ht="25.5">
      <c r="A42" s="464" t="s">
        <v>147</v>
      </c>
      <c r="B42" s="474" t="s">
        <v>74</v>
      </c>
      <c r="C42" s="36"/>
      <c r="D42" s="36"/>
      <c r="E42" s="36"/>
      <c r="F42" s="36"/>
      <c r="G42" s="36"/>
      <c r="H42" s="36"/>
      <c r="I42" s="36"/>
      <c r="J42" s="36"/>
      <c r="K42" s="36"/>
      <c r="L42" s="36"/>
      <c r="M42" s="36"/>
      <c r="N42" s="36"/>
      <c r="O42" s="36"/>
      <c r="P42" s="36"/>
      <c r="Q42" s="36"/>
      <c r="R42" s="36"/>
      <c r="S42" s="36"/>
      <c r="T42" s="36"/>
      <c r="U42" s="36"/>
      <c r="V42" s="36"/>
      <c r="W42" s="36"/>
      <c r="X42" s="36"/>
      <c r="Y42" s="36"/>
      <c r="Z42" s="36"/>
      <c r="AA42" s="32"/>
      <c r="AB42" s="315"/>
      <c r="AC42" s="32"/>
      <c r="AD42" s="47"/>
      <c r="AE42" s="32"/>
      <c r="AF42" s="316"/>
      <c r="AG42" s="34"/>
      <c r="AH42" s="443"/>
      <c r="AI42" s="471"/>
      <c r="AJ42" s="669"/>
      <c r="AK42" s="890"/>
    </row>
    <row r="43" spans="1:37" s="15" customFormat="1">
      <c r="A43" s="423" t="s">
        <v>108</v>
      </c>
      <c r="B43" s="283"/>
      <c r="C43" s="58" t="s">
        <v>1</v>
      </c>
      <c r="D43" s="58" t="s">
        <v>1</v>
      </c>
      <c r="E43" s="36">
        <v>71.3</v>
      </c>
      <c r="F43" s="36">
        <v>71.3</v>
      </c>
      <c r="G43" s="36">
        <v>71.2</v>
      </c>
      <c r="H43" s="36">
        <v>71.400000000000006</v>
      </c>
      <c r="I43" s="36">
        <v>71</v>
      </c>
      <c r="J43" s="36"/>
      <c r="K43" s="36">
        <v>74</v>
      </c>
      <c r="L43" s="36">
        <v>73</v>
      </c>
      <c r="M43" s="36">
        <v>73</v>
      </c>
      <c r="N43" s="36">
        <v>72</v>
      </c>
      <c r="O43" s="36">
        <v>72</v>
      </c>
      <c r="P43" s="36">
        <v>71</v>
      </c>
      <c r="Q43" s="36">
        <v>72</v>
      </c>
      <c r="R43" s="36">
        <v>73</v>
      </c>
      <c r="S43" s="36">
        <v>73</v>
      </c>
      <c r="T43" s="36">
        <v>73</v>
      </c>
      <c r="U43" s="36">
        <v>73</v>
      </c>
      <c r="V43" s="36">
        <v>74</v>
      </c>
      <c r="W43" s="36">
        <v>77.400000000000006</v>
      </c>
      <c r="X43" s="36">
        <v>80</v>
      </c>
      <c r="Y43" s="36">
        <v>77</v>
      </c>
      <c r="Z43" s="36">
        <v>72</v>
      </c>
      <c r="AA43" s="316">
        <v>69.8</v>
      </c>
      <c r="AB43" s="382">
        <v>70.2</v>
      </c>
      <c r="AC43" s="34">
        <v>69.599999999999994</v>
      </c>
      <c r="AD43" s="45">
        <v>70.900000000000006</v>
      </c>
      <c r="AE43" s="34">
        <v>71.900000000000006</v>
      </c>
      <c r="AF43" s="316">
        <v>72.8</v>
      </c>
      <c r="AG43" s="34">
        <v>74.400000000000006</v>
      </c>
      <c r="AH43" s="472">
        <v>76.162466494628703</v>
      </c>
      <c r="AI43" s="467">
        <v>77.818545000302606</v>
      </c>
      <c r="AJ43" s="827">
        <v>79.5017532468447</v>
      </c>
      <c r="AK43" s="890">
        <v>81.221599757191399</v>
      </c>
    </row>
    <row r="44" spans="1:37" s="15" customFormat="1">
      <c r="A44" s="426" t="s">
        <v>109</v>
      </c>
      <c r="B44" s="283"/>
      <c r="C44" s="58" t="s">
        <v>1</v>
      </c>
      <c r="D44" s="58" t="s">
        <v>1</v>
      </c>
      <c r="E44" s="58" t="s">
        <v>1</v>
      </c>
      <c r="F44" s="58" t="s">
        <v>1</v>
      </c>
      <c r="G44" s="58" t="s">
        <v>1</v>
      </c>
      <c r="H44" s="58" t="s">
        <v>1</v>
      </c>
      <c r="I44" s="58" t="s">
        <v>1</v>
      </c>
      <c r="J44" s="58" t="s">
        <v>1</v>
      </c>
      <c r="K44" s="58" t="s">
        <v>1</v>
      </c>
      <c r="L44" s="58" t="s">
        <v>1</v>
      </c>
      <c r="M44" s="58" t="s">
        <v>1</v>
      </c>
      <c r="N44" s="58" t="s">
        <v>1</v>
      </c>
      <c r="O44" s="58" t="s">
        <v>1</v>
      </c>
      <c r="P44" s="58" t="s">
        <v>1</v>
      </c>
      <c r="Q44" s="58" t="s">
        <v>1</v>
      </c>
      <c r="R44" s="58" t="s">
        <v>1</v>
      </c>
      <c r="S44" s="58" t="s">
        <v>1</v>
      </c>
      <c r="T44" s="58" t="s">
        <v>1</v>
      </c>
      <c r="U44" s="58" t="s">
        <v>1</v>
      </c>
      <c r="V44" s="58" t="s">
        <v>1</v>
      </c>
      <c r="W44" s="58" t="s">
        <v>1</v>
      </c>
      <c r="X44" s="58" t="s">
        <v>1</v>
      </c>
      <c r="Y44" s="36">
        <v>95</v>
      </c>
      <c r="Z44" s="36">
        <v>95</v>
      </c>
      <c r="AA44" s="316">
        <v>94.7</v>
      </c>
      <c r="AB44" s="382">
        <v>95.3</v>
      </c>
      <c r="AC44" s="34">
        <v>95.1</v>
      </c>
      <c r="AD44" s="45">
        <v>95.2</v>
      </c>
      <c r="AE44" s="34">
        <v>95.4</v>
      </c>
      <c r="AF44" s="316">
        <v>95.5</v>
      </c>
      <c r="AG44" s="34">
        <v>95.7</v>
      </c>
      <c r="AH44" s="472">
        <v>95.735890827110396</v>
      </c>
      <c r="AI44" s="467">
        <v>96.129575306857802</v>
      </c>
      <c r="AJ44" s="827">
        <v>96.365259505725106</v>
      </c>
      <c r="AK44" s="890">
        <v>96.826086689220702</v>
      </c>
    </row>
    <row r="45" spans="1:37" s="15" customFormat="1">
      <c r="A45" s="426" t="s">
        <v>135</v>
      </c>
      <c r="B45" s="283"/>
      <c r="C45" s="58" t="s">
        <v>1</v>
      </c>
      <c r="D45" s="58" t="s">
        <v>1</v>
      </c>
      <c r="E45" s="58" t="s">
        <v>1</v>
      </c>
      <c r="F45" s="58" t="s">
        <v>1</v>
      </c>
      <c r="G45" s="58" t="s">
        <v>1</v>
      </c>
      <c r="H45" s="58" t="s">
        <v>1</v>
      </c>
      <c r="I45" s="58" t="s">
        <v>1</v>
      </c>
      <c r="J45" s="58" t="s">
        <v>1</v>
      </c>
      <c r="K45" s="58" t="s">
        <v>1</v>
      </c>
      <c r="L45" s="58" t="s">
        <v>1</v>
      </c>
      <c r="M45" s="58" t="s">
        <v>1</v>
      </c>
      <c r="N45" s="58" t="s">
        <v>1</v>
      </c>
      <c r="O45" s="58" t="s">
        <v>1</v>
      </c>
      <c r="P45" s="58" t="s">
        <v>1</v>
      </c>
      <c r="Q45" s="58" t="s">
        <v>1</v>
      </c>
      <c r="R45" s="58" t="s">
        <v>1</v>
      </c>
      <c r="S45" s="58" t="s">
        <v>1</v>
      </c>
      <c r="T45" s="58" t="s">
        <v>1</v>
      </c>
      <c r="U45" s="58" t="s">
        <v>1</v>
      </c>
      <c r="V45" s="58" t="s">
        <v>1</v>
      </c>
      <c r="W45" s="58" t="s">
        <v>1</v>
      </c>
      <c r="X45" s="58" t="s">
        <v>1</v>
      </c>
      <c r="Y45" s="36">
        <v>24</v>
      </c>
      <c r="Z45" s="36">
        <v>22</v>
      </c>
      <c r="AA45" s="316">
        <v>20.7</v>
      </c>
      <c r="AB45" s="382">
        <v>25.1</v>
      </c>
      <c r="AC45" s="34">
        <v>30.3</v>
      </c>
      <c r="AD45" s="45">
        <v>35.9</v>
      </c>
      <c r="AE45" s="34">
        <v>40.200000000000003</v>
      </c>
      <c r="AF45" s="316">
        <v>44</v>
      </c>
      <c r="AG45" s="34">
        <v>49.3</v>
      </c>
      <c r="AH45" s="472">
        <v>54.1245916399713</v>
      </c>
      <c r="AI45" s="467">
        <v>58.236442202946201</v>
      </c>
      <c r="AJ45" s="827">
        <v>63.342905164620198</v>
      </c>
      <c r="AK45" s="890">
        <v>68.181830171704803</v>
      </c>
    </row>
    <row r="46" spans="1:37" s="15" customFormat="1">
      <c r="A46" s="426" t="s">
        <v>110</v>
      </c>
      <c r="B46" s="283"/>
      <c r="C46" s="58" t="s">
        <v>1</v>
      </c>
      <c r="D46" s="58" t="s">
        <v>1</v>
      </c>
      <c r="E46" s="58" t="s">
        <v>1</v>
      </c>
      <c r="F46" s="58" t="s">
        <v>1</v>
      </c>
      <c r="G46" s="58" t="s">
        <v>1</v>
      </c>
      <c r="H46" s="58" t="s">
        <v>1</v>
      </c>
      <c r="I46" s="58" t="s">
        <v>1</v>
      </c>
      <c r="J46" s="58" t="s">
        <v>1</v>
      </c>
      <c r="K46" s="58" t="s">
        <v>1</v>
      </c>
      <c r="L46" s="58" t="s">
        <v>1</v>
      </c>
      <c r="M46" s="58" t="s">
        <v>1</v>
      </c>
      <c r="N46" s="58" t="s">
        <v>1</v>
      </c>
      <c r="O46" s="58" t="s">
        <v>1</v>
      </c>
      <c r="P46" s="58" t="s">
        <v>1</v>
      </c>
      <c r="Q46" s="58" t="s">
        <v>1</v>
      </c>
      <c r="R46" s="58" t="s">
        <v>1</v>
      </c>
      <c r="S46" s="58" t="s">
        <v>1</v>
      </c>
      <c r="T46" s="58" t="s">
        <v>1</v>
      </c>
      <c r="U46" s="58" t="s">
        <v>1</v>
      </c>
      <c r="V46" s="58" t="s">
        <v>1</v>
      </c>
      <c r="W46" s="58" t="s">
        <v>1</v>
      </c>
      <c r="X46" s="58" t="s">
        <v>1</v>
      </c>
      <c r="Y46" s="36">
        <v>77</v>
      </c>
      <c r="Z46" s="36">
        <v>83</v>
      </c>
      <c r="AA46" s="316">
        <v>82.3</v>
      </c>
      <c r="AB46" s="382">
        <v>83</v>
      </c>
      <c r="AC46" s="34">
        <v>82.9</v>
      </c>
      <c r="AD46" s="45">
        <v>83.3</v>
      </c>
      <c r="AE46" s="34">
        <v>83.6</v>
      </c>
      <c r="AF46" s="316">
        <v>83.7</v>
      </c>
      <c r="AG46" s="34">
        <v>83.8</v>
      </c>
      <c r="AH46" s="472">
        <v>84.255967644943098</v>
      </c>
      <c r="AI46" s="467">
        <v>84.757510631155199</v>
      </c>
      <c r="AJ46" s="827">
        <v>85.733780394040394</v>
      </c>
      <c r="AK46" s="890">
        <v>87.240798972407504</v>
      </c>
    </row>
    <row r="47" spans="1:37" s="15" customFormat="1">
      <c r="A47" s="426" t="s">
        <v>111</v>
      </c>
      <c r="B47" s="283"/>
      <c r="C47" s="58" t="s">
        <v>1</v>
      </c>
      <c r="D47" s="58" t="s">
        <v>1</v>
      </c>
      <c r="E47" s="58" t="s">
        <v>1</v>
      </c>
      <c r="F47" s="58" t="s">
        <v>1</v>
      </c>
      <c r="G47" s="58" t="s">
        <v>1</v>
      </c>
      <c r="H47" s="58" t="s">
        <v>1</v>
      </c>
      <c r="I47" s="58" t="s">
        <v>1</v>
      </c>
      <c r="J47" s="58" t="s">
        <v>1</v>
      </c>
      <c r="K47" s="58" t="s">
        <v>1</v>
      </c>
      <c r="L47" s="58" t="s">
        <v>1</v>
      </c>
      <c r="M47" s="58" t="s">
        <v>1</v>
      </c>
      <c r="N47" s="58" t="s">
        <v>1</v>
      </c>
      <c r="O47" s="58" t="s">
        <v>1</v>
      </c>
      <c r="P47" s="58" t="s">
        <v>1</v>
      </c>
      <c r="Q47" s="58" t="s">
        <v>1</v>
      </c>
      <c r="R47" s="58" t="s">
        <v>1</v>
      </c>
      <c r="S47" s="58" t="s">
        <v>1</v>
      </c>
      <c r="T47" s="58" t="s">
        <v>1</v>
      </c>
      <c r="U47" s="58" t="s">
        <v>1</v>
      </c>
      <c r="V47" s="58" t="s">
        <v>1</v>
      </c>
      <c r="W47" s="58" t="s">
        <v>1</v>
      </c>
      <c r="X47" s="58" t="s">
        <v>1</v>
      </c>
      <c r="Y47" s="36">
        <v>91</v>
      </c>
      <c r="Z47" s="36">
        <v>85</v>
      </c>
      <c r="AA47" s="382">
        <v>83.6</v>
      </c>
      <c r="AB47" s="382">
        <v>83.6</v>
      </c>
      <c r="AC47" s="34">
        <v>82.7</v>
      </c>
      <c r="AD47" s="45">
        <v>83.4</v>
      </c>
      <c r="AE47" s="34">
        <v>83.9</v>
      </c>
      <c r="AF47" s="36">
        <v>84.3</v>
      </c>
      <c r="AG47" s="34">
        <v>85.1</v>
      </c>
      <c r="AH47" s="472">
        <v>85.951657958716893</v>
      </c>
      <c r="AI47" s="467">
        <v>87.209624945356495</v>
      </c>
      <c r="AJ47" s="827">
        <v>88.197150124559599</v>
      </c>
      <c r="AK47" s="890">
        <v>89.340742960259306</v>
      </c>
    </row>
    <row r="48" spans="1:37" s="15" customFormat="1">
      <c r="A48" s="426" t="s">
        <v>388</v>
      </c>
      <c r="B48" s="283"/>
      <c r="C48" s="58" t="s">
        <v>1</v>
      </c>
      <c r="D48" s="58" t="s">
        <v>1</v>
      </c>
      <c r="E48" s="58" t="s">
        <v>1</v>
      </c>
      <c r="F48" s="58" t="s">
        <v>1</v>
      </c>
      <c r="G48" s="58" t="s">
        <v>1</v>
      </c>
      <c r="H48" s="58" t="s">
        <v>1</v>
      </c>
      <c r="I48" s="58" t="s">
        <v>1</v>
      </c>
      <c r="J48" s="58" t="s">
        <v>1</v>
      </c>
      <c r="K48" s="58" t="s">
        <v>1</v>
      </c>
      <c r="L48" s="58" t="s">
        <v>1</v>
      </c>
      <c r="M48" s="58" t="s">
        <v>1</v>
      </c>
      <c r="N48" s="58" t="s">
        <v>1</v>
      </c>
      <c r="O48" s="58" t="s">
        <v>1</v>
      </c>
      <c r="P48" s="58" t="s">
        <v>1</v>
      </c>
      <c r="Q48" s="58" t="s">
        <v>1</v>
      </c>
      <c r="R48" s="58" t="s">
        <v>1</v>
      </c>
      <c r="S48" s="58" t="s">
        <v>1</v>
      </c>
      <c r="T48" s="58" t="s">
        <v>1</v>
      </c>
      <c r="U48" s="58" t="s">
        <v>1</v>
      </c>
      <c r="V48" s="58" t="s">
        <v>1</v>
      </c>
      <c r="W48" s="58" t="s">
        <v>1</v>
      </c>
      <c r="X48" s="58" t="s">
        <v>1</v>
      </c>
      <c r="Y48" s="36">
        <v>73</v>
      </c>
      <c r="Z48" s="36">
        <v>70</v>
      </c>
      <c r="AA48" s="382">
        <v>69.5</v>
      </c>
      <c r="AB48" s="382">
        <v>70.7</v>
      </c>
      <c r="AC48" s="34">
        <v>69.099999999999994</v>
      </c>
      <c r="AD48" s="45">
        <v>70</v>
      </c>
      <c r="AE48" s="34">
        <v>70.400000000000006</v>
      </c>
      <c r="AF48" s="36">
        <v>70.8</v>
      </c>
      <c r="AG48" s="34">
        <v>72.900000000000006</v>
      </c>
      <c r="AH48" s="472">
        <v>74.1187630416009</v>
      </c>
      <c r="AI48" s="467">
        <v>75.281352173182697</v>
      </c>
      <c r="AJ48" s="827">
        <v>76.601427893317094</v>
      </c>
      <c r="AK48" s="890">
        <v>78.2451768935301</v>
      </c>
    </row>
    <row r="49" spans="1:37" s="15" customFormat="1">
      <c r="A49" s="426" t="s">
        <v>136</v>
      </c>
      <c r="B49" s="283"/>
      <c r="C49" s="58" t="s">
        <v>1</v>
      </c>
      <c r="D49" s="58" t="s">
        <v>1</v>
      </c>
      <c r="E49" s="58" t="s">
        <v>1</v>
      </c>
      <c r="F49" s="58" t="s">
        <v>1</v>
      </c>
      <c r="G49" s="58" t="s">
        <v>1</v>
      </c>
      <c r="H49" s="58" t="s">
        <v>1</v>
      </c>
      <c r="I49" s="58" t="s">
        <v>1</v>
      </c>
      <c r="J49" s="58" t="s">
        <v>1</v>
      </c>
      <c r="K49" s="58" t="s">
        <v>1</v>
      </c>
      <c r="L49" s="58" t="s">
        <v>1</v>
      </c>
      <c r="M49" s="58" t="s">
        <v>1</v>
      </c>
      <c r="N49" s="58" t="s">
        <v>1</v>
      </c>
      <c r="O49" s="58" t="s">
        <v>1</v>
      </c>
      <c r="P49" s="58" t="s">
        <v>1</v>
      </c>
      <c r="Q49" s="58" t="s">
        <v>1</v>
      </c>
      <c r="R49" s="58" t="s">
        <v>1</v>
      </c>
      <c r="S49" s="58" t="s">
        <v>1</v>
      </c>
      <c r="T49" s="58" t="s">
        <v>1</v>
      </c>
      <c r="U49" s="58" t="s">
        <v>1</v>
      </c>
      <c r="V49" s="58" t="s">
        <v>1</v>
      </c>
      <c r="W49" s="58" t="s">
        <v>1</v>
      </c>
      <c r="X49" s="58" t="s">
        <v>1</v>
      </c>
      <c r="Y49" s="36">
        <v>69</v>
      </c>
      <c r="Z49" s="36">
        <v>67</v>
      </c>
      <c r="AA49" s="382">
        <v>65.2</v>
      </c>
      <c r="AB49" s="382">
        <v>65.5</v>
      </c>
      <c r="AC49" s="34">
        <v>65.5</v>
      </c>
      <c r="AD49" s="45">
        <v>67.2</v>
      </c>
      <c r="AE49" s="34">
        <v>68.2</v>
      </c>
      <c r="AF49" s="36">
        <v>69.3</v>
      </c>
      <c r="AG49" s="34">
        <v>70.599999999999994</v>
      </c>
      <c r="AH49" s="472">
        <v>72.614381936266398</v>
      </c>
      <c r="AI49" s="467">
        <v>73.925203892963793</v>
      </c>
      <c r="AJ49" s="827">
        <v>75.546404407019295</v>
      </c>
      <c r="AK49" s="890">
        <v>77.485220712173899</v>
      </c>
    </row>
    <row r="50" spans="1:37" s="15" customFormat="1">
      <c r="A50" s="426" t="s">
        <v>112</v>
      </c>
      <c r="B50" s="283"/>
      <c r="C50" s="58" t="s">
        <v>1</v>
      </c>
      <c r="D50" s="58" t="s">
        <v>1</v>
      </c>
      <c r="E50" s="58" t="s">
        <v>1</v>
      </c>
      <c r="F50" s="58" t="s">
        <v>1</v>
      </c>
      <c r="G50" s="58" t="s">
        <v>1</v>
      </c>
      <c r="H50" s="58" t="s">
        <v>1</v>
      </c>
      <c r="I50" s="58" t="s">
        <v>1</v>
      </c>
      <c r="J50" s="58" t="s">
        <v>1</v>
      </c>
      <c r="K50" s="58" t="s">
        <v>1</v>
      </c>
      <c r="L50" s="58" t="s">
        <v>1</v>
      </c>
      <c r="M50" s="58" t="s">
        <v>1</v>
      </c>
      <c r="N50" s="58" t="s">
        <v>1</v>
      </c>
      <c r="O50" s="58" t="s">
        <v>1</v>
      </c>
      <c r="P50" s="58" t="s">
        <v>1</v>
      </c>
      <c r="Q50" s="58" t="s">
        <v>1</v>
      </c>
      <c r="R50" s="58" t="s">
        <v>1</v>
      </c>
      <c r="S50" s="58" t="s">
        <v>1</v>
      </c>
      <c r="T50" s="58" t="s">
        <v>1</v>
      </c>
      <c r="U50" s="58" t="s">
        <v>1</v>
      </c>
      <c r="V50" s="58" t="s">
        <v>1</v>
      </c>
      <c r="W50" s="58" t="s">
        <v>1</v>
      </c>
      <c r="X50" s="58" t="s">
        <v>1</v>
      </c>
      <c r="Y50" s="36" t="s">
        <v>1</v>
      </c>
      <c r="Z50" s="36">
        <v>13</v>
      </c>
      <c r="AA50" s="382">
        <v>19</v>
      </c>
      <c r="AB50" s="382">
        <v>22.6</v>
      </c>
      <c r="AC50" s="34">
        <v>25.6</v>
      </c>
      <c r="AD50" s="45">
        <v>31.4</v>
      </c>
      <c r="AE50" s="34">
        <v>35.9</v>
      </c>
      <c r="AF50" s="36">
        <v>41.1</v>
      </c>
      <c r="AG50" s="316">
        <v>49</v>
      </c>
      <c r="AH50" s="472">
        <v>57.027487560978699</v>
      </c>
      <c r="AI50" s="467">
        <v>62.313827671446198</v>
      </c>
      <c r="AJ50" s="827">
        <v>65.286865125625198</v>
      </c>
      <c r="AK50" s="890">
        <v>67.919658622474799</v>
      </c>
    </row>
    <row r="51" spans="1:37" s="15" customFormat="1">
      <c r="A51" s="426" t="s">
        <v>113</v>
      </c>
      <c r="B51" s="283"/>
      <c r="C51" s="58" t="s">
        <v>1</v>
      </c>
      <c r="D51" s="58" t="s">
        <v>1</v>
      </c>
      <c r="E51" s="58" t="s">
        <v>1</v>
      </c>
      <c r="F51" s="58" t="s">
        <v>1</v>
      </c>
      <c r="G51" s="58" t="s">
        <v>1</v>
      </c>
      <c r="H51" s="58" t="s">
        <v>1</v>
      </c>
      <c r="I51" s="58" t="s">
        <v>1</v>
      </c>
      <c r="J51" s="58" t="s">
        <v>1</v>
      </c>
      <c r="K51" s="58" t="s">
        <v>1</v>
      </c>
      <c r="L51" s="58" t="s">
        <v>1</v>
      </c>
      <c r="M51" s="58" t="s">
        <v>1</v>
      </c>
      <c r="N51" s="58" t="s">
        <v>1</v>
      </c>
      <c r="O51" s="58" t="s">
        <v>1</v>
      </c>
      <c r="P51" s="58" t="s">
        <v>1</v>
      </c>
      <c r="Q51" s="58" t="s">
        <v>1</v>
      </c>
      <c r="R51" s="58" t="s">
        <v>1</v>
      </c>
      <c r="S51" s="58" t="s">
        <v>1</v>
      </c>
      <c r="T51" s="58" t="s">
        <v>1</v>
      </c>
      <c r="U51" s="58" t="s">
        <v>1</v>
      </c>
      <c r="V51" s="58" t="s">
        <v>1</v>
      </c>
      <c r="W51" s="58" t="s">
        <v>1</v>
      </c>
      <c r="X51" s="58" t="s">
        <v>1</v>
      </c>
      <c r="Y51" s="36">
        <v>64</v>
      </c>
      <c r="Z51" s="36">
        <v>60</v>
      </c>
      <c r="AA51" s="382">
        <v>59.1</v>
      </c>
      <c r="AB51" s="382">
        <v>60.6</v>
      </c>
      <c r="AC51" s="34">
        <v>60.3</v>
      </c>
      <c r="AD51" s="45">
        <v>61.6</v>
      </c>
      <c r="AE51" s="34">
        <v>62.4</v>
      </c>
      <c r="AF51" s="36">
        <v>63.3</v>
      </c>
      <c r="AG51" s="34">
        <v>65.2</v>
      </c>
      <c r="AH51" s="472">
        <v>68.585997570592994</v>
      </c>
      <c r="AI51" s="467">
        <v>70.807977057639505</v>
      </c>
      <c r="AJ51" s="827">
        <v>72.9404816370335</v>
      </c>
      <c r="AK51" s="890">
        <v>75.033065435721497</v>
      </c>
    </row>
    <row r="52" spans="1:37" s="15" customFormat="1" ht="25.5">
      <c r="A52" s="464" t="s">
        <v>148</v>
      </c>
      <c r="B52" s="474" t="s">
        <v>74</v>
      </c>
      <c r="C52" s="36"/>
      <c r="D52" s="36"/>
      <c r="E52" s="36"/>
      <c r="F52" s="36"/>
      <c r="G52" s="36"/>
      <c r="H52" s="36"/>
      <c r="I52" s="36"/>
      <c r="J52" s="36"/>
      <c r="K52" s="36"/>
      <c r="L52" s="36"/>
      <c r="M52" s="36"/>
      <c r="N52" s="36"/>
      <c r="O52" s="36"/>
      <c r="P52" s="36"/>
      <c r="Q52" s="36"/>
      <c r="R52" s="36"/>
      <c r="S52" s="36"/>
      <c r="T52" s="36"/>
      <c r="U52" s="36"/>
      <c r="V52" s="36"/>
      <c r="W52" s="36"/>
      <c r="X52" s="36"/>
      <c r="Y52" s="36"/>
      <c r="Z52" s="36"/>
      <c r="AA52" s="382"/>
      <c r="AB52" s="315"/>
      <c r="AC52" s="32"/>
      <c r="AD52" s="47"/>
      <c r="AE52" s="32"/>
      <c r="AF52" s="32"/>
      <c r="AG52" s="34"/>
      <c r="AH52" s="443"/>
      <c r="AI52" s="475"/>
      <c r="AJ52" s="173"/>
      <c r="AK52" s="891"/>
    </row>
    <row r="53" spans="1:37" s="15" customFormat="1">
      <c r="A53" s="423" t="s">
        <v>108</v>
      </c>
      <c r="B53" s="283"/>
      <c r="C53" s="58" t="s">
        <v>1</v>
      </c>
      <c r="D53" s="58" t="s">
        <v>1</v>
      </c>
      <c r="E53" s="36">
        <v>73.5</v>
      </c>
      <c r="F53" s="36">
        <v>73.5</v>
      </c>
      <c r="G53" s="36">
        <v>73.8</v>
      </c>
      <c r="H53" s="36">
        <v>74.2</v>
      </c>
      <c r="I53" s="36">
        <v>74</v>
      </c>
      <c r="J53" s="58" t="s">
        <v>1</v>
      </c>
      <c r="K53" s="36">
        <v>77</v>
      </c>
      <c r="L53" s="36">
        <v>74</v>
      </c>
      <c r="M53" s="36">
        <v>71</v>
      </c>
      <c r="N53" s="36">
        <v>71</v>
      </c>
      <c r="O53" s="36">
        <v>72</v>
      </c>
      <c r="P53" s="36">
        <v>73</v>
      </c>
      <c r="Q53" s="36">
        <v>74</v>
      </c>
      <c r="R53" s="36">
        <v>74</v>
      </c>
      <c r="S53" s="36">
        <v>74</v>
      </c>
      <c r="T53" s="36">
        <v>74</v>
      </c>
      <c r="U53" s="36">
        <v>74</v>
      </c>
      <c r="V53" s="36">
        <v>75</v>
      </c>
      <c r="W53" s="36">
        <v>75.400000000000006</v>
      </c>
      <c r="X53" s="36">
        <v>81</v>
      </c>
      <c r="Y53" s="36">
        <v>77</v>
      </c>
      <c r="Z53" s="36">
        <v>72</v>
      </c>
      <c r="AA53" s="382">
        <v>70.099999999999994</v>
      </c>
      <c r="AB53" s="382">
        <v>70.2</v>
      </c>
      <c r="AC53" s="34">
        <v>69.3</v>
      </c>
      <c r="AD53" s="45">
        <v>69.3</v>
      </c>
      <c r="AE53" s="34">
        <v>69.400000000000006</v>
      </c>
      <c r="AF53" s="36">
        <v>69.599999999999994</v>
      </c>
      <c r="AG53" s="34">
        <v>69.599999999999994</v>
      </c>
      <c r="AH53" s="472">
        <v>69.747213244904799</v>
      </c>
      <c r="AI53" s="467">
        <v>70.2609912178483</v>
      </c>
      <c r="AJ53" s="827">
        <v>70.800880241497694</v>
      </c>
      <c r="AK53" s="890">
        <v>71.346807556805402</v>
      </c>
    </row>
    <row r="54" spans="1:37" s="15" customFormat="1">
      <c r="A54" s="426" t="s">
        <v>109</v>
      </c>
      <c r="B54" s="283"/>
      <c r="C54" s="58" t="s">
        <v>1</v>
      </c>
      <c r="D54" s="58" t="s">
        <v>1</v>
      </c>
      <c r="E54" s="58" t="s">
        <v>1</v>
      </c>
      <c r="F54" s="58" t="s">
        <v>1</v>
      </c>
      <c r="G54" s="58" t="s">
        <v>1</v>
      </c>
      <c r="H54" s="58" t="s">
        <v>1</v>
      </c>
      <c r="I54" s="58" t="s">
        <v>1</v>
      </c>
      <c r="J54" s="58" t="s">
        <v>1</v>
      </c>
      <c r="K54" s="58" t="s">
        <v>1</v>
      </c>
      <c r="L54" s="58" t="s">
        <v>1</v>
      </c>
      <c r="M54" s="58" t="s">
        <v>1</v>
      </c>
      <c r="N54" s="58" t="s">
        <v>1</v>
      </c>
      <c r="O54" s="58" t="s">
        <v>1</v>
      </c>
      <c r="P54" s="58" t="s">
        <v>1</v>
      </c>
      <c r="Q54" s="58" t="s">
        <v>1</v>
      </c>
      <c r="R54" s="58" t="s">
        <v>1</v>
      </c>
      <c r="S54" s="58" t="s">
        <v>1</v>
      </c>
      <c r="T54" s="58" t="s">
        <v>1</v>
      </c>
      <c r="U54" s="58" t="s">
        <v>1</v>
      </c>
      <c r="V54" s="58" t="s">
        <v>1</v>
      </c>
      <c r="W54" s="58" t="s">
        <v>1</v>
      </c>
      <c r="X54" s="58" t="s">
        <v>1</v>
      </c>
      <c r="Y54" s="36">
        <v>93</v>
      </c>
      <c r="Z54" s="36">
        <v>93</v>
      </c>
      <c r="AA54" s="382">
        <v>93.5</v>
      </c>
      <c r="AB54" s="382">
        <v>94</v>
      </c>
      <c r="AC54" s="34">
        <v>94.7</v>
      </c>
      <c r="AD54" s="45">
        <v>94.8</v>
      </c>
      <c r="AE54" s="34">
        <v>94.9</v>
      </c>
      <c r="AF54" s="36">
        <v>94.6</v>
      </c>
      <c r="AG54" s="34">
        <v>94.4</v>
      </c>
      <c r="AH54" s="472">
        <v>94.215377071903703</v>
      </c>
      <c r="AI54" s="467">
        <v>94.988502822641706</v>
      </c>
      <c r="AJ54" s="827">
        <v>95.105734698162607</v>
      </c>
      <c r="AK54" s="890">
        <v>95.351212116155395</v>
      </c>
    </row>
    <row r="55" spans="1:37" s="15" customFormat="1">
      <c r="A55" s="426" t="s">
        <v>135</v>
      </c>
      <c r="B55" s="283"/>
      <c r="C55" s="58" t="s">
        <v>1</v>
      </c>
      <c r="D55" s="58" t="s">
        <v>1</v>
      </c>
      <c r="E55" s="58" t="s">
        <v>1</v>
      </c>
      <c r="F55" s="58" t="s">
        <v>1</v>
      </c>
      <c r="G55" s="58" t="s">
        <v>1</v>
      </c>
      <c r="H55" s="58" t="s">
        <v>1</v>
      </c>
      <c r="I55" s="58" t="s">
        <v>1</v>
      </c>
      <c r="J55" s="58" t="s">
        <v>1</v>
      </c>
      <c r="K55" s="58" t="s">
        <v>1</v>
      </c>
      <c r="L55" s="58" t="s">
        <v>1</v>
      </c>
      <c r="M55" s="58" t="s">
        <v>1</v>
      </c>
      <c r="N55" s="58" t="s">
        <v>1</v>
      </c>
      <c r="O55" s="58" t="s">
        <v>1</v>
      </c>
      <c r="P55" s="58" t="s">
        <v>1</v>
      </c>
      <c r="Q55" s="58" t="s">
        <v>1</v>
      </c>
      <c r="R55" s="58" t="s">
        <v>1</v>
      </c>
      <c r="S55" s="58" t="s">
        <v>1</v>
      </c>
      <c r="T55" s="58" t="s">
        <v>1</v>
      </c>
      <c r="U55" s="58" t="s">
        <v>1</v>
      </c>
      <c r="V55" s="58" t="s">
        <v>1</v>
      </c>
      <c r="W55" s="58" t="s">
        <v>1</v>
      </c>
      <c r="X55" s="58" t="s">
        <v>1</v>
      </c>
      <c r="Y55" s="36">
        <v>26</v>
      </c>
      <c r="Z55" s="36">
        <v>23</v>
      </c>
      <c r="AA55" s="382">
        <v>21.8</v>
      </c>
      <c r="AB55" s="382">
        <v>25.2</v>
      </c>
      <c r="AC55" s="34">
        <v>28.1</v>
      </c>
      <c r="AD55" s="45">
        <v>30.4</v>
      </c>
      <c r="AE55" s="34">
        <v>32.200000000000003</v>
      </c>
      <c r="AF55" s="36">
        <v>34.1</v>
      </c>
      <c r="AG55" s="34">
        <v>35.6</v>
      </c>
      <c r="AH55" s="472">
        <v>36.464692477918902</v>
      </c>
      <c r="AI55" s="467">
        <v>37.782377889838301</v>
      </c>
      <c r="AJ55" s="827">
        <v>40.3725196562999</v>
      </c>
      <c r="AK55" s="890">
        <v>43.487499871681003</v>
      </c>
    </row>
    <row r="56" spans="1:37" s="15" customFormat="1">
      <c r="A56" s="426" t="s">
        <v>110</v>
      </c>
      <c r="B56" s="283"/>
      <c r="C56" s="58" t="s">
        <v>1</v>
      </c>
      <c r="D56" s="58" t="s">
        <v>1</v>
      </c>
      <c r="E56" s="58" t="s">
        <v>1</v>
      </c>
      <c r="F56" s="58" t="s">
        <v>1</v>
      </c>
      <c r="G56" s="58" t="s">
        <v>1</v>
      </c>
      <c r="H56" s="58" t="s">
        <v>1</v>
      </c>
      <c r="I56" s="58" t="s">
        <v>1</v>
      </c>
      <c r="J56" s="58" t="s">
        <v>1</v>
      </c>
      <c r="K56" s="58" t="s">
        <v>1</v>
      </c>
      <c r="L56" s="58" t="s">
        <v>1</v>
      </c>
      <c r="M56" s="58" t="s">
        <v>1</v>
      </c>
      <c r="N56" s="58" t="s">
        <v>1</v>
      </c>
      <c r="O56" s="58" t="s">
        <v>1</v>
      </c>
      <c r="P56" s="58" t="s">
        <v>1</v>
      </c>
      <c r="Q56" s="58" t="s">
        <v>1</v>
      </c>
      <c r="R56" s="58" t="s">
        <v>1</v>
      </c>
      <c r="S56" s="58" t="s">
        <v>1</v>
      </c>
      <c r="T56" s="58" t="s">
        <v>1</v>
      </c>
      <c r="U56" s="58" t="s">
        <v>1</v>
      </c>
      <c r="V56" s="58" t="s">
        <v>1</v>
      </c>
      <c r="W56" s="58" t="s">
        <v>1</v>
      </c>
      <c r="X56" s="58" t="s">
        <v>1</v>
      </c>
      <c r="Y56" s="36">
        <v>78</v>
      </c>
      <c r="Z56" s="36">
        <v>83</v>
      </c>
      <c r="AA56" s="382">
        <v>83</v>
      </c>
      <c r="AB56" s="382">
        <v>83.7</v>
      </c>
      <c r="AC56" s="34">
        <v>83.9</v>
      </c>
      <c r="AD56" s="45">
        <v>83.9</v>
      </c>
      <c r="AE56" s="34">
        <v>83.7</v>
      </c>
      <c r="AF56" s="36">
        <v>83.7</v>
      </c>
      <c r="AG56" s="34">
        <v>83.3</v>
      </c>
      <c r="AH56" s="472">
        <v>83.2848541000739</v>
      </c>
      <c r="AI56" s="467">
        <v>83.3392232654694</v>
      </c>
      <c r="AJ56" s="827">
        <v>83.880995318710504</v>
      </c>
      <c r="AK56" s="890">
        <v>85.0977027636537</v>
      </c>
    </row>
    <row r="57" spans="1:37" s="15" customFormat="1">
      <c r="A57" s="426" t="s">
        <v>111</v>
      </c>
      <c r="B57" s="283"/>
      <c r="C57" s="58" t="s">
        <v>1</v>
      </c>
      <c r="D57" s="58" t="s">
        <v>1</v>
      </c>
      <c r="E57" s="58" t="s">
        <v>1</v>
      </c>
      <c r="F57" s="58" t="s">
        <v>1</v>
      </c>
      <c r="G57" s="58" t="s">
        <v>1</v>
      </c>
      <c r="H57" s="58" t="s">
        <v>1</v>
      </c>
      <c r="I57" s="58" t="s">
        <v>1</v>
      </c>
      <c r="J57" s="58" t="s">
        <v>1</v>
      </c>
      <c r="K57" s="58" t="s">
        <v>1</v>
      </c>
      <c r="L57" s="58" t="s">
        <v>1</v>
      </c>
      <c r="M57" s="58" t="s">
        <v>1</v>
      </c>
      <c r="N57" s="58" t="s">
        <v>1</v>
      </c>
      <c r="O57" s="58" t="s">
        <v>1</v>
      </c>
      <c r="P57" s="58" t="s">
        <v>1</v>
      </c>
      <c r="Q57" s="58" t="s">
        <v>1</v>
      </c>
      <c r="R57" s="58" t="s">
        <v>1</v>
      </c>
      <c r="S57" s="58" t="s">
        <v>1</v>
      </c>
      <c r="T57" s="58" t="s">
        <v>1</v>
      </c>
      <c r="U57" s="58" t="s">
        <v>1</v>
      </c>
      <c r="V57" s="58" t="s">
        <v>1</v>
      </c>
      <c r="W57" s="58" t="s">
        <v>1</v>
      </c>
      <c r="X57" s="58" t="s">
        <v>1</v>
      </c>
      <c r="Y57" s="36">
        <v>92</v>
      </c>
      <c r="Z57" s="36">
        <v>86</v>
      </c>
      <c r="AA57" s="316">
        <v>84.9</v>
      </c>
      <c r="AB57" s="382">
        <v>84</v>
      </c>
      <c r="AC57" s="34">
        <v>83.1</v>
      </c>
      <c r="AD57" s="45">
        <v>82.8</v>
      </c>
      <c r="AE57" s="34">
        <v>82.8</v>
      </c>
      <c r="AF57" s="36">
        <v>82.8</v>
      </c>
      <c r="AG57" s="34">
        <v>82.6</v>
      </c>
      <c r="AH57" s="472">
        <v>82.558004842085694</v>
      </c>
      <c r="AI57" s="467">
        <v>82.936107681896203</v>
      </c>
      <c r="AJ57" s="827">
        <v>83.306785768549901</v>
      </c>
      <c r="AK57" s="890">
        <v>83.940455920580703</v>
      </c>
    </row>
    <row r="58" spans="1:37" s="15" customFormat="1">
      <c r="A58" s="426" t="s">
        <v>388</v>
      </c>
      <c r="B58" s="283"/>
      <c r="C58" s="58" t="s">
        <v>1</v>
      </c>
      <c r="D58" s="58" t="s">
        <v>1</v>
      </c>
      <c r="E58" s="58" t="s">
        <v>1</v>
      </c>
      <c r="F58" s="58" t="s">
        <v>1</v>
      </c>
      <c r="G58" s="58" t="s">
        <v>1</v>
      </c>
      <c r="H58" s="58" t="s">
        <v>1</v>
      </c>
      <c r="I58" s="58" t="s">
        <v>1</v>
      </c>
      <c r="J58" s="58" t="s">
        <v>1</v>
      </c>
      <c r="K58" s="58" t="s">
        <v>1</v>
      </c>
      <c r="L58" s="58" t="s">
        <v>1</v>
      </c>
      <c r="M58" s="58" t="s">
        <v>1</v>
      </c>
      <c r="N58" s="58" t="s">
        <v>1</v>
      </c>
      <c r="O58" s="58" t="s">
        <v>1</v>
      </c>
      <c r="P58" s="58" t="s">
        <v>1</v>
      </c>
      <c r="Q58" s="58" t="s">
        <v>1</v>
      </c>
      <c r="R58" s="58" t="s">
        <v>1</v>
      </c>
      <c r="S58" s="58" t="s">
        <v>1</v>
      </c>
      <c r="T58" s="58" t="s">
        <v>1</v>
      </c>
      <c r="U58" s="58" t="s">
        <v>1</v>
      </c>
      <c r="V58" s="58" t="s">
        <v>1</v>
      </c>
      <c r="W58" s="58" t="s">
        <v>1</v>
      </c>
      <c r="X58" s="58" t="s">
        <v>1</v>
      </c>
      <c r="Y58" s="36">
        <v>71</v>
      </c>
      <c r="Z58" s="36">
        <v>68</v>
      </c>
      <c r="AA58" s="316">
        <v>67.900000000000006</v>
      </c>
      <c r="AB58" s="382">
        <v>68.7</v>
      </c>
      <c r="AC58" s="34">
        <v>66.5</v>
      </c>
      <c r="AD58" s="45">
        <v>66.5</v>
      </c>
      <c r="AE58" s="34">
        <v>66.8</v>
      </c>
      <c r="AF58" s="36">
        <v>66.8</v>
      </c>
      <c r="AG58" s="34">
        <v>66.599999999999994</v>
      </c>
      <c r="AH58" s="472">
        <v>66.780050018593599</v>
      </c>
      <c r="AI58" s="467">
        <v>67.491066740775395</v>
      </c>
      <c r="AJ58" s="827">
        <v>67.957493877281294</v>
      </c>
      <c r="AK58" s="890">
        <v>68.404833717700299</v>
      </c>
    </row>
    <row r="59" spans="1:37" s="15" customFormat="1">
      <c r="A59" s="426" t="s">
        <v>136</v>
      </c>
      <c r="B59" s="283"/>
      <c r="C59" s="58" t="s">
        <v>1</v>
      </c>
      <c r="D59" s="58" t="s">
        <v>1</v>
      </c>
      <c r="E59" s="58" t="s">
        <v>1</v>
      </c>
      <c r="F59" s="58" t="s">
        <v>1</v>
      </c>
      <c r="G59" s="58" t="s">
        <v>1</v>
      </c>
      <c r="H59" s="58" t="s">
        <v>1</v>
      </c>
      <c r="I59" s="58" t="s">
        <v>1</v>
      </c>
      <c r="J59" s="58" t="s">
        <v>1</v>
      </c>
      <c r="K59" s="58" t="s">
        <v>1</v>
      </c>
      <c r="L59" s="58" t="s">
        <v>1</v>
      </c>
      <c r="M59" s="58" t="s">
        <v>1</v>
      </c>
      <c r="N59" s="58" t="s">
        <v>1</v>
      </c>
      <c r="O59" s="58" t="s">
        <v>1</v>
      </c>
      <c r="P59" s="58" t="s">
        <v>1</v>
      </c>
      <c r="Q59" s="58" t="s">
        <v>1</v>
      </c>
      <c r="R59" s="58" t="s">
        <v>1</v>
      </c>
      <c r="S59" s="58" t="s">
        <v>1</v>
      </c>
      <c r="T59" s="58" t="s">
        <v>1</v>
      </c>
      <c r="U59" s="58" t="s">
        <v>1</v>
      </c>
      <c r="V59" s="58" t="s">
        <v>1</v>
      </c>
      <c r="W59" s="58" t="s">
        <v>1</v>
      </c>
      <c r="X59" s="58" t="s">
        <v>1</v>
      </c>
      <c r="Y59" s="36">
        <v>70</v>
      </c>
      <c r="Z59" s="36">
        <v>68</v>
      </c>
      <c r="AA59" s="316">
        <v>66.7</v>
      </c>
      <c r="AB59" s="382">
        <v>66.8</v>
      </c>
      <c r="AC59" s="34">
        <v>66.099999999999994</v>
      </c>
      <c r="AD59" s="45">
        <v>66.2</v>
      </c>
      <c r="AE59" s="34">
        <v>66.7</v>
      </c>
      <c r="AF59" s="36">
        <v>66.599999999999994</v>
      </c>
      <c r="AG59" s="34">
        <v>66.5</v>
      </c>
      <c r="AH59" s="472">
        <v>66.746137537435203</v>
      </c>
      <c r="AI59" s="467">
        <v>67.254846731063793</v>
      </c>
      <c r="AJ59" s="827">
        <v>67.702143535595596</v>
      </c>
      <c r="AK59" s="890">
        <v>68.063627515360494</v>
      </c>
    </row>
    <row r="60" spans="1:37" s="15" customFormat="1">
      <c r="A60" s="426" t="s">
        <v>112</v>
      </c>
      <c r="B60" s="283"/>
      <c r="C60" s="58" t="s">
        <v>1</v>
      </c>
      <c r="D60" s="58" t="s">
        <v>1</v>
      </c>
      <c r="E60" s="58" t="s">
        <v>1</v>
      </c>
      <c r="F60" s="58" t="s">
        <v>1</v>
      </c>
      <c r="G60" s="58" t="s">
        <v>1</v>
      </c>
      <c r="H60" s="58" t="s">
        <v>1</v>
      </c>
      <c r="I60" s="58" t="s">
        <v>1</v>
      </c>
      <c r="J60" s="58" t="s">
        <v>1</v>
      </c>
      <c r="K60" s="58" t="s">
        <v>1</v>
      </c>
      <c r="L60" s="58" t="s">
        <v>1</v>
      </c>
      <c r="M60" s="58" t="s">
        <v>1</v>
      </c>
      <c r="N60" s="58" t="s">
        <v>1</v>
      </c>
      <c r="O60" s="58" t="s">
        <v>1</v>
      </c>
      <c r="P60" s="58" t="s">
        <v>1</v>
      </c>
      <c r="Q60" s="58" t="s">
        <v>1</v>
      </c>
      <c r="R60" s="58" t="s">
        <v>1</v>
      </c>
      <c r="S60" s="58" t="s">
        <v>1</v>
      </c>
      <c r="T60" s="58" t="s">
        <v>1</v>
      </c>
      <c r="U60" s="58" t="s">
        <v>1</v>
      </c>
      <c r="V60" s="58" t="s">
        <v>1</v>
      </c>
      <c r="W60" s="58" t="s">
        <v>1</v>
      </c>
      <c r="X60" s="58" t="s">
        <v>1</v>
      </c>
      <c r="Y60" s="36" t="s">
        <v>1</v>
      </c>
      <c r="Z60" s="36">
        <v>16</v>
      </c>
      <c r="AA60" s="316">
        <v>20.9</v>
      </c>
      <c r="AB60" s="382">
        <v>24.3</v>
      </c>
      <c r="AC60" s="34">
        <v>24.7</v>
      </c>
      <c r="AD60" s="45">
        <v>26.6</v>
      </c>
      <c r="AE60" s="34">
        <v>28.9</v>
      </c>
      <c r="AF60" s="36">
        <v>33.200000000000003</v>
      </c>
      <c r="AG60" s="36">
        <v>38</v>
      </c>
      <c r="AH60" s="472">
        <v>44.181142441789099</v>
      </c>
      <c r="AI60" s="467">
        <v>47.5728044021429</v>
      </c>
      <c r="AJ60" s="827">
        <v>48.767372728994999</v>
      </c>
      <c r="AK60" s="890">
        <v>49.616097419663802</v>
      </c>
    </row>
    <row r="61" spans="1:37" s="15" customFormat="1">
      <c r="A61" s="426" t="s">
        <v>113</v>
      </c>
      <c r="B61" s="283"/>
      <c r="C61" s="58" t="s">
        <v>1</v>
      </c>
      <c r="D61" s="58" t="s">
        <v>1</v>
      </c>
      <c r="E61" s="58" t="s">
        <v>1</v>
      </c>
      <c r="F61" s="58" t="s">
        <v>1</v>
      </c>
      <c r="G61" s="58" t="s">
        <v>1</v>
      </c>
      <c r="H61" s="58" t="s">
        <v>1</v>
      </c>
      <c r="I61" s="58" t="s">
        <v>1</v>
      </c>
      <c r="J61" s="58" t="s">
        <v>1</v>
      </c>
      <c r="K61" s="58" t="s">
        <v>1</v>
      </c>
      <c r="L61" s="58" t="s">
        <v>1</v>
      </c>
      <c r="M61" s="58" t="s">
        <v>1</v>
      </c>
      <c r="N61" s="58" t="s">
        <v>1</v>
      </c>
      <c r="O61" s="58" t="s">
        <v>1</v>
      </c>
      <c r="P61" s="58" t="s">
        <v>1</v>
      </c>
      <c r="Q61" s="58" t="s">
        <v>1</v>
      </c>
      <c r="R61" s="58" t="s">
        <v>1</v>
      </c>
      <c r="S61" s="58" t="s">
        <v>1</v>
      </c>
      <c r="T61" s="58" t="s">
        <v>1</v>
      </c>
      <c r="U61" s="58" t="s">
        <v>1</v>
      </c>
      <c r="V61" s="58" t="s">
        <v>1</v>
      </c>
      <c r="W61" s="58" t="s">
        <v>1</v>
      </c>
      <c r="X61" s="58" t="s">
        <v>1</v>
      </c>
      <c r="Y61" s="36">
        <v>63</v>
      </c>
      <c r="Z61" s="36">
        <v>60</v>
      </c>
      <c r="AA61" s="316">
        <v>58.4</v>
      </c>
      <c r="AB61" s="382">
        <v>59.5</v>
      </c>
      <c r="AC61" s="34">
        <v>59.2</v>
      </c>
      <c r="AD61" s="45">
        <v>59</v>
      </c>
      <c r="AE61" s="34">
        <v>59.1</v>
      </c>
      <c r="AF61" s="36">
        <v>59</v>
      </c>
      <c r="AG61" s="34">
        <v>58.8</v>
      </c>
      <c r="AH61" s="472">
        <v>59.857634947808499</v>
      </c>
      <c r="AI61" s="467">
        <v>60.038195462310597</v>
      </c>
      <c r="AJ61" s="827">
        <v>60.529311391727703</v>
      </c>
      <c r="AK61" s="890">
        <v>61.342322989740097</v>
      </c>
    </row>
    <row r="62" spans="1:37" s="15" customFormat="1" ht="15">
      <c r="A62" s="481"/>
      <c r="B62" s="481"/>
      <c r="C62" s="481"/>
      <c r="D62" s="481"/>
      <c r="E62" s="481"/>
      <c r="F62" s="481"/>
      <c r="G62" s="481"/>
      <c r="H62" s="481"/>
      <c r="I62" s="481"/>
      <c r="J62" s="481"/>
      <c r="K62" s="481"/>
      <c r="L62" s="481"/>
      <c r="M62" s="481"/>
      <c r="N62" s="481"/>
      <c r="O62" s="481"/>
      <c r="P62" s="481"/>
      <c r="Q62" s="481"/>
      <c r="R62" s="481"/>
      <c r="S62" s="481"/>
      <c r="T62" s="481"/>
      <c r="U62" s="481"/>
      <c r="V62" s="481"/>
      <c r="W62" s="481"/>
      <c r="X62" s="481"/>
      <c r="Y62" s="481"/>
      <c r="Z62" s="481"/>
      <c r="AA62" s="481"/>
      <c r="AB62" s="481"/>
      <c r="AC62" s="481"/>
      <c r="AD62" s="481"/>
      <c r="AE62" s="481"/>
      <c r="AF62" s="18"/>
      <c r="AG62" s="18"/>
      <c r="AH62" s="18"/>
      <c r="AI62" s="18"/>
      <c r="AJ62" s="18"/>
      <c r="AK62" s="811"/>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1A44E251-5BAA-4F29-9450-D4F7944AC80A}">
            <xm:f>title!#REF!="Задача"</xm:f>
            <x14:dxf>
              <font>
                <b/>
                <i val="0"/>
              </font>
              <fill>
                <patternFill>
                  <bgColor indexed="44"/>
                </patternFill>
              </fill>
            </x14:dxf>
          </x14:cfRule>
          <x14:cfRule type="expression" priority="2" stopIfTrue="1" id="{ED67F9B4-A1B6-4648-A735-FBBD3022CC4D}">
            <xm:f>title!#REF!="Цель"</xm:f>
            <x14:dxf>
              <font>
                <b/>
                <i val="0"/>
              </font>
              <fill>
                <patternFill>
                  <bgColor indexed="52"/>
                </patternFill>
              </fill>
            </x14:dxf>
          </x14:cfRule>
          <x14:cfRule type="expression" priority="3" stopIfTrue="1" id="{3DC01250-DE79-4439-BB1F-B4AB26BFE71A}">
            <xm:f>title!#REF!="Направление"</xm:f>
            <x14:dxf>
              <font>
                <b/>
                <i val="0"/>
                <color indexed="9"/>
              </font>
              <fill>
                <patternFill>
                  <bgColor indexed="56"/>
                </patternFill>
              </fill>
            </x14:dxf>
          </x14:cfRule>
          <xm:sqref>A2 A12 A22 A32 A42 A52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6" workbookViewId="0"/>
  </sheetViews>
  <sheetFormatPr defaultRowHeight="12.7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H1166"/>
  <sheetViews>
    <sheetView zoomScale="90" zoomScaleNormal="90" workbookViewId="0">
      <pane xSplit="1" topLeftCell="AH1" activePane="topRight" state="frozen"/>
      <selection pane="topRight" activeCell="AT124" sqref="AT124"/>
    </sheetView>
  </sheetViews>
  <sheetFormatPr defaultColWidth="8.7109375" defaultRowHeight="12.75"/>
  <cols>
    <col min="1" max="1" width="57.5703125" style="142" customWidth="1"/>
    <col min="2" max="2" width="14.42578125" style="15" customWidth="1"/>
    <col min="3" max="3" width="10.42578125" style="142" customWidth="1"/>
    <col min="4" max="4" width="11.140625" style="142" customWidth="1"/>
    <col min="5" max="6" width="9.42578125" style="142" customWidth="1"/>
    <col min="7" max="8" width="8.7109375" style="142"/>
    <col min="9" max="9" width="9.28515625" style="142" customWidth="1"/>
    <col min="10" max="10" width="10.140625" style="142" customWidth="1"/>
    <col min="11" max="11" width="9.42578125" style="142" customWidth="1"/>
    <col min="12" max="12" width="9.7109375" style="142" customWidth="1"/>
    <col min="13" max="13" width="10.140625" style="142" customWidth="1"/>
    <col min="14" max="14" width="10.42578125" style="142" customWidth="1"/>
    <col min="15" max="15" width="11.5703125" style="142" customWidth="1"/>
    <col min="16" max="16" width="11.28515625" style="142" customWidth="1"/>
    <col min="17" max="17" width="11.140625" style="142" customWidth="1"/>
    <col min="18" max="18" width="10" style="142" customWidth="1"/>
    <col min="19" max="19" width="10.5703125" style="142" customWidth="1"/>
    <col min="20" max="20" width="12.5703125" style="142" customWidth="1"/>
    <col min="21" max="21" width="12.42578125" style="142" customWidth="1"/>
    <col min="22" max="22" width="13.5703125" style="142" customWidth="1"/>
    <col min="23" max="24" width="12.42578125" style="15" customWidth="1"/>
    <col min="25" max="25" width="12.140625" style="15" customWidth="1"/>
    <col min="26" max="26" width="13.28515625" style="15" customWidth="1"/>
    <col min="27" max="27" width="13.140625" style="15" customWidth="1"/>
    <col min="28" max="28" width="10.28515625" style="15" customWidth="1"/>
    <col min="29" max="29" width="11.5703125" style="15" customWidth="1"/>
    <col min="30" max="30" width="12.28515625" style="15" customWidth="1"/>
    <col min="31" max="31" width="12.5703125" style="15" customWidth="1"/>
    <col min="32" max="32" width="13.85546875" style="15" customWidth="1"/>
    <col min="33" max="33" width="14" style="15" customWidth="1"/>
    <col min="34" max="34" width="12.85546875" style="15" customWidth="1"/>
    <col min="35" max="35" width="14.140625" style="15" customWidth="1"/>
    <col min="36" max="37" width="13" style="15" customWidth="1"/>
    <col min="38" max="38" width="13.42578125" style="15" customWidth="1"/>
    <col min="39" max="39" width="14.140625" style="15" customWidth="1"/>
    <col min="40" max="40" width="13.140625" style="15" customWidth="1"/>
    <col min="41" max="41" width="14" style="15" bestFit="1" customWidth="1"/>
    <col min="42" max="42" width="13" style="15" customWidth="1"/>
    <col min="43" max="43" width="12.85546875" style="15" bestFit="1" customWidth="1"/>
    <col min="44" max="44" width="13" style="15" customWidth="1"/>
    <col min="45" max="45" width="13.5703125" style="15" customWidth="1"/>
    <col min="46" max="46" width="13.42578125" style="15" customWidth="1"/>
    <col min="47" max="47" width="13" style="15" customWidth="1"/>
    <col min="48" max="48" width="12.5703125" style="15" customWidth="1"/>
    <col min="49" max="49" width="13.28515625" style="15" customWidth="1"/>
    <col min="50" max="50" width="12.140625" style="15" customWidth="1"/>
    <col min="51" max="51" width="12.5703125" style="15" customWidth="1"/>
    <col min="52" max="52" width="11.7109375" style="15" customWidth="1"/>
    <col min="53" max="53" width="11.28515625" style="15" customWidth="1"/>
    <col min="54" max="54" width="11.140625" style="15" customWidth="1"/>
    <col min="55" max="55" width="11.28515625" style="15" customWidth="1"/>
    <col min="56" max="56" width="10.85546875" style="15" customWidth="1"/>
    <col min="57" max="57" width="11.5703125" style="15" customWidth="1"/>
    <col min="58" max="59" width="10.85546875" style="15" customWidth="1"/>
    <col min="60" max="60" width="11.28515625" style="15" customWidth="1"/>
    <col min="61" max="61" width="11.42578125" style="15" customWidth="1"/>
    <col min="62" max="62" width="11.5703125" style="15" customWidth="1"/>
    <col min="63" max="16384" width="8.7109375" style="15"/>
  </cols>
  <sheetData>
    <row r="1" spans="1:43">
      <c r="A1" s="20"/>
      <c r="B1" s="21"/>
      <c r="C1" s="22"/>
      <c r="D1" s="22"/>
      <c r="E1" s="22"/>
      <c r="F1" s="22"/>
      <c r="G1" s="22"/>
      <c r="H1" s="22"/>
      <c r="I1" s="22"/>
      <c r="J1" s="22"/>
      <c r="K1" s="22"/>
      <c r="L1" s="22"/>
      <c r="M1" s="22"/>
      <c r="N1" s="23"/>
      <c r="O1" s="23"/>
      <c r="P1" s="23"/>
      <c r="Q1" s="23"/>
      <c r="R1" s="20"/>
      <c r="S1" s="20"/>
      <c r="T1" s="23"/>
      <c r="U1" s="23"/>
      <c r="V1" s="23"/>
      <c r="W1" s="24"/>
      <c r="X1" s="24"/>
      <c r="Y1" s="24"/>
      <c r="Z1" s="24"/>
      <c r="AA1" s="24"/>
      <c r="AB1" s="24"/>
      <c r="AC1" s="24"/>
      <c r="AD1" s="24"/>
      <c r="AE1" s="25"/>
    </row>
    <row r="2" spans="1:43" ht="37.5" customHeight="1">
      <c r="A2" s="26" t="s">
        <v>167</v>
      </c>
      <c r="B2" s="27" t="s">
        <v>180</v>
      </c>
      <c r="C2" s="27">
        <v>1991</v>
      </c>
      <c r="D2" s="27">
        <v>1992</v>
      </c>
      <c r="E2" s="27">
        <v>1993</v>
      </c>
      <c r="F2" s="27">
        <v>1994</v>
      </c>
      <c r="G2" s="27">
        <v>1995</v>
      </c>
      <c r="H2" s="27">
        <v>1996</v>
      </c>
      <c r="I2" s="27">
        <v>1997</v>
      </c>
      <c r="J2" s="27">
        <v>1998</v>
      </c>
      <c r="K2" s="27">
        <v>1999</v>
      </c>
      <c r="L2" s="14">
        <v>2000</v>
      </c>
      <c r="M2" s="14">
        <v>2001</v>
      </c>
      <c r="N2" s="14">
        <v>2002</v>
      </c>
      <c r="O2" s="14">
        <v>2003</v>
      </c>
      <c r="P2" s="14">
        <v>2004</v>
      </c>
      <c r="Q2" s="14">
        <v>2005</v>
      </c>
      <c r="R2" s="14">
        <v>2006</v>
      </c>
      <c r="S2" s="14">
        <v>2007</v>
      </c>
      <c r="T2" s="14">
        <v>2008</v>
      </c>
      <c r="U2" s="14" t="s">
        <v>449</v>
      </c>
      <c r="V2" s="14">
        <v>2010</v>
      </c>
      <c r="W2" s="14">
        <v>2011</v>
      </c>
      <c r="X2" s="14">
        <v>2012</v>
      </c>
      <c r="Y2" s="14">
        <v>2013</v>
      </c>
      <c r="Z2" s="14">
        <v>2014</v>
      </c>
      <c r="AA2" s="14">
        <v>2015</v>
      </c>
      <c r="AB2" s="14">
        <v>2016</v>
      </c>
      <c r="AC2" s="14">
        <v>2017</v>
      </c>
      <c r="AD2" s="14">
        <v>2018</v>
      </c>
      <c r="AE2" s="14">
        <v>2019</v>
      </c>
      <c r="AF2" s="14">
        <v>2020</v>
      </c>
      <c r="AG2" s="14" t="s">
        <v>401</v>
      </c>
      <c r="AH2" s="14">
        <v>2022</v>
      </c>
      <c r="AI2" s="14">
        <v>2023</v>
      </c>
      <c r="AJ2" s="770">
        <v>2024</v>
      </c>
      <c r="AK2" s="770">
        <v>2025</v>
      </c>
      <c r="AL2" s="770" t="s">
        <v>468</v>
      </c>
      <c r="AM2" s="84" t="s">
        <v>543</v>
      </c>
      <c r="AN2" s="84" t="s">
        <v>544</v>
      </c>
      <c r="AO2" s="84" t="s">
        <v>545</v>
      </c>
      <c r="AP2" s="84" t="s">
        <v>546</v>
      </c>
      <c r="AQ2" s="27" t="s">
        <v>542</v>
      </c>
    </row>
    <row r="3" spans="1:43">
      <c r="A3" s="28" t="s">
        <v>168</v>
      </c>
      <c r="B3" s="29" t="s">
        <v>181</v>
      </c>
      <c r="C3" s="30"/>
      <c r="D3" s="30"/>
      <c r="E3" s="30"/>
      <c r="F3" s="30"/>
      <c r="G3" s="30"/>
      <c r="H3" s="30"/>
      <c r="I3" s="30"/>
      <c r="J3" s="31"/>
      <c r="K3" s="31"/>
      <c r="L3" s="31"/>
      <c r="M3" s="686"/>
      <c r="N3" s="686"/>
      <c r="O3" s="686"/>
      <c r="P3" s="686"/>
      <c r="Q3" s="686"/>
      <c r="R3" s="686"/>
      <c r="S3" s="686"/>
      <c r="T3" s="686"/>
      <c r="U3" s="686"/>
      <c r="V3" s="686"/>
      <c r="W3" s="686"/>
      <c r="X3" s="686"/>
      <c r="Y3" s="686"/>
      <c r="Z3" s="686"/>
      <c r="AA3" s="687"/>
      <c r="AB3" s="173"/>
      <c r="AC3" s="688"/>
      <c r="AD3" s="173"/>
      <c r="AE3" s="9"/>
      <c r="AF3" s="173"/>
      <c r="AG3" s="11"/>
      <c r="AH3" s="11"/>
      <c r="AI3" s="2"/>
      <c r="AJ3" s="11"/>
      <c r="AK3" s="811"/>
      <c r="AL3" s="811"/>
      <c r="AP3" s="34"/>
    </row>
    <row r="4" spans="1:43" s="11" customFormat="1">
      <c r="A4" s="703" t="s">
        <v>108</v>
      </c>
      <c r="B4" s="223"/>
      <c r="C4" s="184">
        <v>1134.4000000000001</v>
      </c>
      <c r="D4" s="184">
        <v>1134.2</v>
      </c>
      <c r="E4" s="184">
        <v>1125.8</v>
      </c>
      <c r="F4" s="184">
        <v>1114.7</v>
      </c>
      <c r="G4" s="184">
        <v>1111.7</v>
      </c>
      <c r="H4" s="184">
        <v>1117.7</v>
      </c>
      <c r="I4" s="184">
        <v>1120.0999999999999</v>
      </c>
      <c r="J4" s="184">
        <v>1128.99</v>
      </c>
      <c r="K4" s="184">
        <v>1130.44</v>
      </c>
      <c r="L4" s="184">
        <v>1128.76</v>
      </c>
      <c r="M4" s="704">
        <v>1132.4000000000001</v>
      </c>
      <c r="N4" s="704">
        <v>1149.5999999999999</v>
      </c>
      <c r="O4" s="704">
        <v>1175.2</v>
      </c>
      <c r="P4" s="704">
        <v>1209.5</v>
      </c>
      <c r="Q4" s="704">
        <v>1247.9000000000001</v>
      </c>
      <c r="R4" s="704">
        <v>1287.2</v>
      </c>
      <c r="S4" s="704">
        <v>1324.7</v>
      </c>
      <c r="T4" s="705">
        <v>1447.5</v>
      </c>
      <c r="U4" s="313">
        <v>1478.2</v>
      </c>
      <c r="V4" s="313">
        <v>1503.2</v>
      </c>
      <c r="W4" s="313">
        <v>1542</v>
      </c>
      <c r="X4" s="313">
        <v>1570.9</v>
      </c>
      <c r="Y4" s="313">
        <v>1605.5</v>
      </c>
      <c r="Z4" s="313">
        <v>1646.1</v>
      </c>
      <c r="AA4" s="313">
        <v>1707.4</v>
      </c>
      <c r="AB4" s="313">
        <v>1755.9</v>
      </c>
      <c r="AC4" s="313">
        <v>1806.6</v>
      </c>
      <c r="AD4" s="313">
        <v>1859.3</v>
      </c>
      <c r="AE4" s="313">
        <v>1921.5</v>
      </c>
      <c r="AF4" s="313">
        <v>1982</v>
      </c>
      <c r="AG4" s="704">
        <v>2101.5</v>
      </c>
      <c r="AH4" s="704">
        <v>2161.9</v>
      </c>
      <c r="AI4" s="706">
        <v>2228.6999999999998</v>
      </c>
      <c r="AJ4" s="771">
        <v>2292</v>
      </c>
      <c r="AK4" s="883">
        <v>2348.1</v>
      </c>
      <c r="AL4" s="883">
        <v>2351.4</v>
      </c>
      <c r="AM4" s="901">
        <v>2354.6999999999998</v>
      </c>
      <c r="AN4" s="901">
        <v>2359</v>
      </c>
      <c r="AO4" s="959">
        <v>2362.5</v>
      </c>
      <c r="AP4" s="64">
        <v>2366.5</v>
      </c>
      <c r="AQ4" s="1070">
        <v>2373.8000000000002</v>
      </c>
    </row>
    <row r="5" spans="1:43" s="11" customFormat="1">
      <c r="A5" s="708" t="s">
        <v>169</v>
      </c>
      <c r="B5" s="223"/>
      <c r="C5" s="184"/>
      <c r="D5" s="184"/>
      <c r="E5" s="184"/>
      <c r="F5" s="184"/>
      <c r="G5" s="184"/>
      <c r="H5" s="184"/>
      <c r="I5" s="184"/>
      <c r="J5" s="184"/>
      <c r="K5" s="184"/>
      <c r="L5" s="184"/>
      <c r="M5" s="9"/>
      <c r="N5" s="9"/>
      <c r="O5" s="9"/>
      <c r="P5" s="9"/>
      <c r="Q5" s="9"/>
      <c r="R5" s="9"/>
      <c r="S5" s="9"/>
      <c r="T5" s="197"/>
      <c r="U5" s="197"/>
      <c r="V5" s="197"/>
      <c r="W5" s="197"/>
      <c r="X5" s="197"/>
      <c r="Y5" s="197"/>
      <c r="Z5" s="197"/>
      <c r="AA5" s="197"/>
      <c r="AB5" s="197"/>
      <c r="AC5" s="197"/>
      <c r="AD5" s="197"/>
      <c r="AE5" s="197"/>
      <c r="AF5" s="197"/>
      <c r="AG5" s="197"/>
      <c r="AH5" s="197"/>
      <c r="AI5" s="197"/>
      <c r="AJ5" s="771"/>
      <c r="AK5" s="771"/>
      <c r="AL5" s="771"/>
      <c r="AM5" s="187"/>
      <c r="AN5" s="187"/>
      <c r="AO5" s="186"/>
      <c r="AP5" s="187"/>
      <c r="AQ5" s="6"/>
    </row>
    <row r="6" spans="1:43" s="11" customFormat="1">
      <c r="A6" s="710" t="s">
        <v>109</v>
      </c>
      <c r="B6" s="711"/>
      <c r="C6" s="184" t="s">
        <v>1</v>
      </c>
      <c r="D6" s="184" t="s">
        <v>1</v>
      </c>
      <c r="E6" s="184" t="s">
        <v>1</v>
      </c>
      <c r="F6" s="184" t="s">
        <v>1</v>
      </c>
      <c r="G6" s="184" t="s">
        <v>1</v>
      </c>
      <c r="H6" s="184" t="s">
        <v>1</v>
      </c>
      <c r="I6" s="184" t="s">
        <v>1</v>
      </c>
      <c r="J6" s="184">
        <v>183.36</v>
      </c>
      <c r="K6" s="184">
        <v>181.48</v>
      </c>
      <c r="L6" s="184">
        <v>178.02</v>
      </c>
      <c r="M6" s="712">
        <v>174.9</v>
      </c>
      <c r="N6" s="712">
        <v>172.7</v>
      </c>
      <c r="O6" s="712">
        <v>172.4</v>
      </c>
      <c r="P6" s="712">
        <v>174.8</v>
      </c>
      <c r="Q6" s="712">
        <v>177.7</v>
      </c>
      <c r="R6" s="712">
        <v>179.1</v>
      </c>
      <c r="S6" s="712">
        <v>183.1</v>
      </c>
      <c r="T6" s="705">
        <v>188.5</v>
      </c>
      <c r="U6" s="313">
        <v>187.9</v>
      </c>
      <c r="V6" s="313">
        <v>186.8</v>
      </c>
      <c r="W6" s="313">
        <v>194.8</v>
      </c>
      <c r="X6" s="313">
        <v>199.4</v>
      </c>
      <c r="Y6" s="313">
        <v>200.4</v>
      </c>
      <c r="Z6" s="313">
        <v>204.5</v>
      </c>
      <c r="AA6" s="313">
        <v>211.7</v>
      </c>
      <c r="AB6" s="313">
        <v>215</v>
      </c>
      <c r="AC6" s="313">
        <v>215.8</v>
      </c>
      <c r="AD6" s="313">
        <v>215.4</v>
      </c>
      <c r="AE6" s="313">
        <v>216.9</v>
      </c>
      <c r="AF6" s="313">
        <v>220.9</v>
      </c>
      <c r="AG6" s="712">
        <v>258.39999999999998</v>
      </c>
      <c r="AH6" s="712">
        <v>262.5</v>
      </c>
      <c r="AI6" s="713">
        <v>266.10000000000002</v>
      </c>
      <c r="AJ6" s="771">
        <v>269.5</v>
      </c>
      <c r="AK6" s="883">
        <v>272.7</v>
      </c>
      <c r="AL6" s="883">
        <v>273</v>
      </c>
      <c r="AM6" s="901">
        <v>273.39999999999998</v>
      </c>
      <c r="AN6" s="901">
        <v>273.89999999999998</v>
      </c>
      <c r="AO6" s="959">
        <v>274.2</v>
      </c>
      <c r="AP6" s="64">
        <v>274.3</v>
      </c>
      <c r="AQ6" s="1070">
        <v>274.60000000000002</v>
      </c>
    </row>
    <row r="7" spans="1:43" s="11" customFormat="1">
      <c r="A7" s="710" t="s">
        <v>135</v>
      </c>
      <c r="B7" s="711"/>
      <c r="C7" s="184" t="s">
        <v>1</v>
      </c>
      <c r="D7" s="184" t="s">
        <v>1</v>
      </c>
      <c r="E7" s="184" t="s">
        <v>1</v>
      </c>
      <c r="F7" s="184" t="s">
        <v>1</v>
      </c>
      <c r="G7" s="184" t="s">
        <v>1</v>
      </c>
      <c r="H7" s="184" t="s">
        <v>1</v>
      </c>
      <c r="I7" s="184" t="s">
        <v>1</v>
      </c>
      <c r="J7" s="184" t="s">
        <v>1</v>
      </c>
      <c r="K7" s="184" t="s">
        <v>1</v>
      </c>
      <c r="L7" s="184" t="s">
        <v>1</v>
      </c>
      <c r="M7" s="704" t="s">
        <v>1</v>
      </c>
      <c r="N7" s="704" t="s">
        <v>1</v>
      </c>
      <c r="O7" s="704" t="s">
        <v>1</v>
      </c>
      <c r="P7" s="704" t="s">
        <v>1</v>
      </c>
      <c r="Q7" s="704" t="s">
        <v>1</v>
      </c>
      <c r="R7" s="704" t="s">
        <v>1</v>
      </c>
      <c r="S7" s="704" t="s">
        <v>1</v>
      </c>
      <c r="T7" s="705">
        <v>165.5</v>
      </c>
      <c r="U7" s="313">
        <v>172.4</v>
      </c>
      <c r="V7" s="313">
        <v>178.4</v>
      </c>
      <c r="W7" s="313">
        <v>184.9</v>
      </c>
      <c r="X7" s="313">
        <v>192.8</v>
      </c>
      <c r="Y7" s="313">
        <v>196</v>
      </c>
      <c r="Z7" s="313">
        <v>198.5</v>
      </c>
      <c r="AA7" s="313">
        <v>211.2</v>
      </c>
      <c r="AB7" s="313">
        <v>228.1</v>
      </c>
      <c r="AC7" s="313">
        <v>247.4</v>
      </c>
      <c r="AD7" s="313">
        <v>263.5</v>
      </c>
      <c r="AE7" s="313">
        <v>283.8</v>
      </c>
      <c r="AF7" s="313">
        <v>304.60000000000002</v>
      </c>
      <c r="AG7" s="704">
        <v>337.7</v>
      </c>
      <c r="AH7" s="704">
        <v>354.9</v>
      </c>
      <c r="AI7" s="706">
        <v>370</v>
      </c>
      <c r="AJ7" s="771">
        <v>384.9</v>
      </c>
      <c r="AK7" s="883">
        <v>401</v>
      </c>
      <c r="AL7" s="883">
        <v>401.9</v>
      </c>
      <c r="AM7" s="901">
        <v>402.9</v>
      </c>
      <c r="AN7" s="901">
        <v>403.7</v>
      </c>
      <c r="AO7" s="959">
        <v>404.7</v>
      </c>
      <c r="AP7" s="64">
        <v>405.6</v>
      </c>
      <c r="AQ7" s="1070">
        <v>407.7</v>
      </c>
    </row>
    <row r="8" spans="1:43" s="11" customFormat="1">
      <c r="A8" s="710" t="s">
        <v>110</v>
      </c>
      <c r="B8" s="711"/>
      <c r="C8" s="184" t="s">
        <v>1</v>
      </c>
      <c r="D8" s="184" t="s">
        <v>1</v>
      </c>
      <c r="E8" s="184" t="s">
        <v>1</v>
      </c>
      <c r="F8" s="184" t="s">
        <v>1</v>
      </c>
      <c r="G8" s="184" t="s">
        <v>1</v>
      </c>
      <c r="H8" s="184" t="s">
        <v>1</v>
      </c>
      <c r="I8" s="184" t="s">
        <v>1</v>
      </c>
      <c r="J8" s="184">
        <v>281.7</v>
      </c>
      <c r="K8" s="184">
        <v>282.89999999999998</v>
      </c>
      <c r="L8" s="184">
        <v>283.63</v>
      </c>
      <c r="M8" s="712">
        <v>285.7</v>
      </c>
      <c r="N8" s="712">
        <v>291.3</v>
      </c>
      <c r="O8" s="712">
        <v>298.2</v>
      </c>
      <c r="P8" s="712">
        <v>305.5</v>
      </c>
      <c r="Q8" s="712">
        <v>316.2</v>
      </c>
      <c r="R8" s="712">
        <v>329.3</v>
      </c>
      <c r="S8" s="712">
        <v>342.4</v>
      </c>
      <c r="T8" s="705">
        <v>286.60000000000002</v>
      </c>
      <c r="U8" s="313">
        <v>292.2</v>
      </c>
      <c r="V8" s="313">
        <v>293.89999999999998</v>
      </c>
      <c r="W8" s="313">
        <v>298.60000000000002</v>
      </c>
      <c r="X8" s="313">
        <v>300</v>
      </c>
      <c r="Y8" s="313">
        <v>307.7</v>
      </c>
      <c r="Z8" s="313">
        <v>316.89999999999998</v>
      </c>
      <c r="AA8" s="313">
        <v>322.89999999999998</v>
      </c>
      <c r="AB8" s="313">
        <v>326</v>
      </c>
      <c r="AC8" s="313">
        <v>329</v>
      </c>
      <c r="AD8" s="313">
        <v>335.1</v>
      </c>
      <c r="AE8" s="313">
        <v>342.6</v>
      </c>
      <c r="AF8" s="313">
        <v>347.9</v>
      </c>
      <c r="AG8" s="712">
        <v>351.5</v>
      </c>
      <c r="AH8" s="712">
        <v>354.7</v>
      </c>
      <c r="AI8" s="713">
        <v>358.1</v>
      </c>
      <c r="AJ8" s="771">
        <v>358.6</v>
      </c>
      <c r="AK8" s="883">
        <v>360.4</v>
      </c>
      <c r="AL8" s="883">
        <v>360.5</v>
      </c>
      <c r="AM8" s="901">
        <v>360.6</v>
      </c>
      <c r="AN8" s="901">
        <v>360.8</v>
      </c>
      <c r="AO8" s="959">
        <v>360.8</v>
      </c>
      <c r="AP8" s="64">
        <v>361.4</v>
      </c>
      <c r="AQ8" s="1070">
        <v>362.2</v>
      </c>
    </row>
    <row r="9" spans="1:43" s="11" customFormat="1">
      <c r="A9" s="710" t="s">
        <v>111</v>
      </c>
      <c r="B9" s="711"/>
      <c r="C9" s="184" t="s">
        <v>1</v>
      </c>
      <c r="D9" s="184" t="s">
        <v>1</v>
      </c>
      <c r="E9" s="184" t="s">
        <v>1</v>
      </c>
      <c r="F9" s="184" t="s">
        <v>1</v>
      </c>
      <c r="G9" s="184" t="s">
        <v>1</v>
      </c>
      <c r="H9" s="184" t="s">
        <v>1</v>
      </c>
      <c r="I9" s="184" t="s">
        <v>1</v>
      </c>
      <c r="J9" s="184">
        <v>237.64</v>
      </c>
      <c r="K9" s="184">
        <v>238.63</v>
      </c>
      <c r="L9" s="184">
        <v>239.78</v>
      </c>
      <c r="M9" s="712">
        <v>242.6</v>
      </c>
      <c r="N9" s="712">
        <v>248.4</v>
      </c>
      <c r="O9" s="712">
        <v>255.7</v>
      </c>
      <c r="P9" s="712">
        <v>266.2</v>
      </c>
      <c r="Q9" s="712">
        <v>276.39999999999998</v>
      </c>
      <c r="R9" s="712">
        <v>285.60000000000002</v>
      </c>
      <c r="S9" s="712">
        <v>291.7</v>
      </c>
      <c r="T9" s="705">
        <v>279.3</v>
      </c>
      <c r="U9" s="313">
        <v>284.7</v>
      </c>
      <c r="V9" s="313">
        <v>289.3</v>
      </c>
      <c r="W9" s="313">
        <v>294.10000000000002</v>
      </c>
      <c r="X9" s="313">
        <v>298.60000000000002</v>
      </c>
      <c r="Y9" s="313">
        <v>308.2</v>
      </c>
      <c r="Z9" s="313">
        <v>316.60000000000002</v>
      </c>
      <c r="AA9" s="313">
        <v>330.5</v>
      </c>
      <c r="AB9" s="313">
        <v>332.3</v>
      </c>
      <c r="AC9" s="313">
        <v>337.5</v>
      </c>
      <c r="AD9" s="313">
        <v>344.2</v>
      </c>
      <c r="AE9" s="313">
        <v>351.2</v>
      </c>
      <c r="AF9" s="313">
        <v>358.5</v>
      </c>
      <c r="AG9" s="712">
        <v>310.5</v>
      </c>
      <c r="AH9" s="712">
        <v>319.2</v>
      </c>
      <c r="AI9" s="713">
        <v>328.8</v>
      </c>
      <c r="AJ9" s="771">
        <v>338.5</v>
      </c>
      <c r="AK9" s="883">
        <v>348.5</v>
      </c>
      <c r="AL9" s="883">
        <v>349</v>
      </c>
      <c r="AM9" s="901">
        <v>349.5</v>
      </c>
      <c r="AN9" s="901">
        <v>350.3</v>
      </c>
      <c r="AO9" s="959">
        <v>350.8</v>
      </c>
      <c r="AP9" s="64">
        <v>351.6</v>
      </c>
      <c r="AQ9" s="1070">
        <v>353</v>
      </c>
    </row>
    <row r="10" spans="1:43" s="11" customFormat="1">
      <c r="A10" s="710" t="s">
        <v>388</v>
      </c>
      <c r="B10" s="711"/>
      <c r="C10" s="184" t="s">
        <v>1</v>
      </c>
      <c r="D10" s="184" t="s">
        <v>1</v>
      </c>
      <c r="E10" s="184" t="s">
        <v>1</v>
      </c>
      <c r="F10" s="184" t="s">
        <v>1</v>
      </c>
      <c r="G10" s="184" t="s">
        <v>1</v>
      </c>
      <c r="H10" s="184" t="s">
        <v>1</v>
      </c>
      <c r="I10" s="184" t="s">
        <v>1</v>
      </c>
      <c r="J10" s="184">
        <v>140.08000000000001</v>
      </c>
      <c r="K10" s="184">
        <v>141</v>
      </c>
      <c r="L10" s="184">
        <v>142.11000000000001</v>
      </c>
      <c r="M10" s="712">
        <v>143.9</v>
      </c>
      <c r="N10" s="712">
        <v>147.9</v>
      </c>
      <c r="O10" s="712">
        <v>152.80000000000001</v>
      </c>
      <c r="P10" s="712">
        <v>158.6</v>
      </c>
      <c r="Q10" s="712">
        <v>162.9</v>
      </c>
      <c r="R10" s="712">
        <v>167.3</v>
      </c>
      <c r="S10" s="712">
        <v>169.7</v>
      </c>
      <c r="T10" s="705">
        <v>140.6</v>
      </c>
      <c r="U10" s="313">
        <v>144.80000000000001</v>
      </c>
      <c r="V10" s="313">
        <v>149</v>
      </c>
      <c r="W10" s="313">
        <v>152.69999999999999</v>
      </c>
      <c r="X10" s="313">
        <v>154</v>
      </c>
      <c r="Y10" s="313">
        <v>155.19999999999999</v>
      </c>
      <c r="Z10" s="313">
        <v>158.6</v>
      </c>
      <c r="AA10" s="313">
        <v>160</v>
      </c>
      <c r="AB10" s="313">
        <v>161.69999999999999</v>
      </c>
      <c r="AC10" s="313">
        <v>163.69999999999999</v>
      </c>
      <c r="AD10" s="313">
        <v>166.6</v>
      </c>
      <c r="AE10" s="313">
        <v>170.7</v>
      </c>
      <c r="AF10" s="313">
        <v>172.9</v>
      </c>
      <c r="AG10" s="712">
        <v>193.5</v>
      </c>
      <c r="AH10" s="712">
        <v>195.8</v>
      </c>
      <c r="AI10" s="713">
        <v>198.5</v>
      </c>
      <c r="AJ10" s="771">
        <v>200.1</v>
      </c>
      <c r="AK10" s="883">
        <v>198.9</v>
      </c>
      <c r="AL10" s="883">
        <v>198.8</v>
      </c>
      <c r="AM10" s="901">
        <v>198.5</v>
      </c>
      <c r="AN10" s="901">
        <v>198.5</v>
      </c>
      <c r="AO10" s="959">
        <v>198.4</v>
      </c>
      <c r="AP10" s="64">
        <v>198.5</v>
      </c>
      <c r="AQ10" s="1070">
        <v>198.6</v>
      </c>
    </row>
    <row r="11" spans="1:43" s="11" customFormat="1">
      <c r="A11" s="710" t="s">
        <v>136</v>
      </c>
      <c r="B11" s="711"/>
      <c r="C11" s="184" t="s">
        <v>1</v>
      </c>
      <c r="D11" s="184" t="s">
        <v>1</v>
      </c>
      <c r="E11" s="184" t="s">
        <v>1</v>
      </c>
      <c r="F11" s="184" t="s">
        <v>1</v>
      </c>
      <c r="G11" s="184" t="s">
        <v>1</v>
      </c>
      <c r="H11" s="184" t="s">
        <v>1</v>
      </c>
      <c r="I11" s="184" t="s">
        <v>1</v>
      </c>
      <c r="J11" s="184">
        <v>131.68</v>
      </c>
      <c r="K11" s="184">
        <v>130.78</v>
      </c>
      <c r="L11" s="184">
        <v>129.58000000000001</v>
      </c>
      <c r="M11" s="712">
        <v>128.9</v>
      </c>
      <c r="N11" s="712">
        <v>130</v>
      </c>
      <c r="O11" s="712">
        <v>131.80000000000001</v>
      </c>
      <c r="P11" s="712">
        <v>134.4</v>
      </c>
      <c r="Q11" s="712">
        <v>139.5</v>
      </c>
      <c r="R11" s="712">
        <v>145.30000000000001</v>
      </c>
      <c r="S11" s="712">
        <v>151.6</v>
      </c>
      <c r="T11" s="705">
        <v>161.5</v>
      </c>
      <c r="U11" s="313">
        <v>165.2</v>
      </c>
      <c r="V11" s="313">
        <v>169.1</v>
      </c>
      <c r="W11" s="313">
        <v>175.2</v>
      </c>
      <c r="X11" s="313">
        <v>178.6</v>
      </c>
      <c r="Y11" s="313">
        <v>183.3</v>
      </c>
      <c r="Z11" s="313">
        <v>189.1</v>
      </c>
      <c r="AA11" s="313">
        <v>195.7</v>
      </c>
      <c r="AB11" s="313">
        <v>200.9</v>
      </c>
      <c r="AC11" s="313">
        <v>205.5</v>
      </c>
      <c r="AD11" s="313">
        <v>210</v>
      </c>
      <c r="AE11" s="313">
        <v>213.8</v>
      </c>
      <c r="AF11" s="313">
        <v>219</v>
      </c>
      <c r="AG11" s="712">
        <v>235.5</v>
      </c>
      <c r="AH11" s="712">
        <v>241.3</v>
      </c>
      <c r="AI11" s="713">
        <v>247.4</v>
      </c>
      <c r="AJ11" s="771">
        <v>251.9</v>
      </c>
      <c r="AK11" s="883">
        <v>255.1</v>
      </c>
      <c r="AL11" s="883">
        <v>255.1</v>
      </c>
      <c r="AM11" s="901">
        <v>255.1</v>
      </c>
      <c r="AN11" s="901">
        <v>255.3</v>
      </c>
      <c r="AO11" s="959">
        <v>255.5</v>
      </c>
      <c r="AP11" s="64">
        <v>255.6</v>
      </c>
      <c r="AQ11" s="1070">
        <v>256.10000000000002</v>
      </c>
    </row>
    <row r="12" spans="1:43" s="11" customFormat="1">
      <c r="A12" s="710" t="s">
        <v>112</v>
      </c>
      <c r="B12" s="711"/>
      <c r="C12" s="184" t="s">
        <v>1</v>
      </c>
      <c r="D12" s="184" t="s">
        <v>1</v>
      </c>
      <c r="E12" s="184" t="s">
        <v>1</v>
      </c>
      <c r="F12" s="184" t="s">
        <v>1</v>
      </c>
      <c r="G12" s="184" t="s">
        <v>1</v>
      </c>
      <c r="H12" s="184" t="s">
        <v>1</v>
      </c>
      <c r="I12" s="184" t="s">
        <v>1</v>
      </c>
      <c r="J12" s="184" t="s">
        <v>1</v>
      </c>
      <c r="K12" s="184" t="s">
        <v>1</v>
      </c>
      <c r="L12" s="184" t="s">
        <v>1</v>
      </c>
      <c r="M12" s="704" t="s">
        <v>1</v>
      </c>
      <c r="N12" s="704" t="s">
        <v>1</v>
      </c>
      <c r="O12" s="704" t="s">
        <v>1</v>
      </c>
      <c r="P12" s="704" t="s">
        <v>1</v>
      </c>
      <c r="Q12" s="704" t="s">
        <v>1</v>
      </c>
      <c r="R12" s="704" t="s">
        <v>1</v>
      </c>
      <c r="S12" s="704" t="s">
        <v>1</v>
      </c>
      <c r="T12" s="705">
        <v>43.3</v>
      </c>
      <c r="U12" s="313">
        <v>44.3</v>
      </c>
      <c r="V12" s="313">
        <v>45.5</v>
      </c>
      <c r="W12" s="313">
        <v>47</v>
      </c>
      <c r="X12" s="313">
        <v>49.2</v>
      </c>
      <c r="Y12" s="313">
        <v>50.5</v>
      </c>
      <c r="Z12" s="313">
        <v>51.5</v>
      </c>
      <c r="AA12" s="313">
        <v>58.2</v>
      </c>
      <c r="AB12" s="313">
        <v>67.900000000000006</v>
      </c>
      <c r="AC12" s="313">
        <v>78.400000000000006</v>
      </c>
      <c r="AD12" s="313">
        <v>88.5</v>
      </c>
      <c r="AE12" s="313">
        <v>101.5</v>
      </c>
      <c r="AF12" s="313">
        <v>112.8</v>
      </c>
      <c r="AG12" s="704">
        <v>166.6</v>
      </c>
      <c r="AH12" s="704">
        <v>181.4</v>
      </c>
      <c r="AI12" s="706">
        <v>200.5</v>
      </c>
      <c r="AJ12" s="771">
        <v>222.3</v>
      </c>
      <c r="AK12" s="883">
        <v>240</v>
      </c>
      <c r="AL12" s="883">
        <v>241.3</v>
      </c>
      <c r="AM12" s="901">
        <v>242.4</v>
      </c>
      <c r="AN12" s="901">
        <v>243.8</v>
      </c>
      <c r="AO12" s="959">
        <v>244.9</v>
      </c>
      <c r="AP12" s="64">
        <v>245.9</v>
      </c>
      <c r="AQ12" s="1070">
        <v>247.3</v>
      </c>
    </row>
    <row r="13" spans="1:43" s="11" customFormat="1">
      <c r="A13" s="710" t="s">
        <v>113</v>
      </c>
      <c r="B13" s="711"/>
      <c r="C13" s="184" t="s">
        <v>1</v>
      </c>
      <c r="D13" s="184" t="s">
        <v>1</v>
      </c>
      <c r="E13" s="184" t="s">
        <v>1</v>
      </c>
      <c r="F13" s="184" t="s">
        <v>1</v>
      </c>
      <c r="G13" s="184" t="s">
        <v>1</v>
      </c>
      <c r="H13" s="184" t="s">
        <v>1</v>
      </c>
      <c r="I13" s="184" t="s">
        <v>1</v>
      </c>
      <c r="J13" s="184">
        <v>154.53</v>
      </c>
      <c r="K13" s="184">
        <v>155.65</v>
      </c>
      <c r="L13" s="184">
        <v>155.65</v>
      </c>
      <c r="M13" s="712">
        <v>156.4</v>
      </c>
      <c r="N13" s="712">
        <v>159.30000000000001</v>
      </c>
      <c r="O13" s="712">
        <v>164.3</v>
      </c>
      <c r="P13" s="712">
        <v>170</v>
      </c>
      <c r="Q13" s="712">
        <v>175.2</v>
      </c>
      <c r="R13" s="712">
        <v>180.6</v>
      </c>
      <c r="S13" s="712">
        <v>186.2</v>
      </c>
      <c r="T13" s="705">
        <v>182.2</v>
      </c>
      <c r="U13" s="313">
        <v>186.7</v>
      </c>
      <c r="V13" s="313">
        <v>191.2</v>
      </c>
      <c r="W13" s="313">
        <v>194.6</v>
      </c>
      <c r="X13" s="313">
        <v>198.3</v>
      </c>
      <c r="Y13" s="313">
        <v>204.2</v>
      </c>
      <c r="Z13" s="313">
        <v>210.4</v>
      </c>
      <c r="AA13" s="313">
        <v>217.2</v>
      </c>
      <c r="AB13" s="313">
        <v>224</v>
      </c>
      <c r="AC13" s="313">
        <v>229.3</v>
      </c>
      <c r="AD13" s="313">
        <v>236</v>
      </c>
      <c r="AE13" s="313">
        <v>240.9</v>
      </c>
      <c r="AF13" s="313">
        <v>245.4</v>
      </c>
      <c r="AG13" s="712">
        <v>247.8</v>
      </c>
      <c r="AH13" s="712">
        <v>252.1</v>
      </c>
      <c r="AI13" s="713">
        <v>259.3</v>
      </c>
      <c r="AJ13" s="771">
        <v>266.2</v>
      </c>
      <c r="AK13" s="883">
        <v>271.5</v>
      </c>
      <c r="AL13" s="883">
        <v>271.8</v>
      </c>
      <c r="AM13" s="901">
        <v>272.3</v>
      </c>
      <c r="AN13" s="901">
        <v>272.7</v>
      </c>
      <c r="AO13" s="959">
        <v>273.2</v>
      </c>
      <c r="AP13" s="64">
        <v>273.60000000000002</v>
      </c>
      <c r="AQ13" s="1070">
        <v>274.2</v>
      </c>
    </row>
    <row r="14" spans="1:43" s="11" customFormat="1" ht="15.75">
      <c r="A14" s="714" t="s">
        <v>170</v>
      </c>
      <c r="B14" s="711" t="s">
        <v>74</v>
      </c>
      <c r="C14" s="184"/>
      <c r="D14" s="184"/>
      <c r="E14" s="184"/>
      <c r="F14" s="184"/>
      <c r="G14" s="184"/>
      <c r="H14" s="184"/>
      <c r="I14" s="184"/>
      <c r="J14" s="184"/>
      <c r="K14" s="184"/>
      <c r="L14" s="184"/>
      <c r="M14" s="318"/>
      <c r="N14" s="318"/>
      <c r="O14" s="318"/>
      <c r="P14" s="318"/>
      <c r="Q14" s="318"/>
      <c r="R14" s="318"/>
      <c r="S14" s="318"/>
      <c r="T14" s="318"/>
      <c r="U14" s="318"/>
      <c r="V14" s="318"/>
      <c r="W14" s="318"/>
      <c r="X14" s="318"/>
      <c r="Y14" s="318"/>
      <c r="Z14" s="318"/>
      <c r="AA14" s="318"/>
      <c r="AB14" s="318"/>
      <c r="AC14" s="715"/>
      <c r="AD14" s="716"/>
      <c r="AE14" s="717"/>
      <c r="AF14" s="9"/>
      <c r="AG14" s="313"/>
      <c r="AH14" s="718"/>
      <c r="AI14" s="719"/>
      <c r="AJ14" s="707"/>
      <c r="AK14" s="825"/>
      <c r="AL14" s="812"/>
      <c r="AM14" s="164"/>
      <c r="AN14" s="164"/>
      <c r="AO14" s="960"/>
      <c r="AP14" s="965"/>
      <c r="AQ14" s="1071"/>
    </row>
    <row r="15" spans="1:43" s="11" customFormat="1">
      <c r="A15" s="703" t="s">
        <v>108</v>
      </c>
      <c r="B15" s="720"/>
      <c r="C15" s="184">
        <v>101.40341467775096</v>
      </c>
      <c r="D15" s="184">
        <v>99.982369534555701</v>
      </c>
      <c r="E15" s="184">
        <v>99.259389878328335</v>
      </c>
      <c r="F15" s="184">
        <v>99.014034464380899</v>
      </c>
      <c r="G15" s="184">
        <v>99.730869292186242</v>
      </c>
      <c r="H15" s="184">
        <v>100.53971395160566</v>
      </c>
      <c r="I15" s="184">
        <v>100.2147266708419</v>
      </c>
      <c r="J15" s="184">
        <v>100.79457191322206</v>
      </c>
      <c r="K15" s="184">
        <v>100.12400354295838</v>
      </c>
      <c r="L15" s="184">
        <v>99.849610757254069</v>
      </c>
      <c r="M15" s="704">
        <v>100.32469287066593</v>
      </c>
      <c r="N15" s="704">
        <v>101.52036692970124</v>
      </c>
      <c r="O15" s="704">
        <v>102.2239116385028</v>
      </c>
      <c r="P15" s="704">
        <v>102.91667517579867</v>
      </c>
      <c r="Q15" s="704">
        <v>103.17581449955972</v>
      </c>
      <c r="R15" s="704">
        <v>103.15330764743216</v>
      </c>
      <c r="S15" s="704">
        <v>102.91265228246971</v>
      </c>
      <c r="T15" s="721">
        <v>109.26574970616853</v>
      </c>
      <c r="U15" s="721">
        <v>102.12326751346819</v>
      </c>
      <c r="V15" s="721">
        <v>101.68784078148043</v>
      </c>
      <c r="W15" s="721">
        <v>102.58187696667709</v>
      </c>
      <c r="X15" s="721">
        <v>101.87849388448618</v>
      </c>
      <c r="Y15" s="721">
        <v>102.20192164466506</v>
      </c>
      <c r="Z15" s="721">
        <v>102.5291849393692</v>
      </c>
      <c r="AA15" s="721">
        <v>103.72355030908595</v>
      </c>
      <c r="AB15" s="721">
        <v>102.84027716363514</v>
      </c>
      <c r="AC15" s="721">
        <v>102.88586992115312</v>
      </c>
      <c r="AD15" s="721">
        <v>102.91590488035874</v>
      </c>
      <c r="AE15" s="721">
        <v>103.34595823777704</v>
      </c>
      <c r="AF15" s="721">
        <v>103.14821917679895</v>
      </c>
      <c r="AG15" s="721">
        <v>106.02893452647639</v>
      </c>
      <c r="AH15" s="721">
        <v>102.87491940223224</v>
      </c>
      <c r="AI15" s="721">
        <v>103.0886705727968</v>
      </c>
      <c r="AJ15" s="721">
        <v>102.8438421932314</v>
      </c>
      <c r="AK15" s="815">
        <v>102.44531653908828</v>
      </c>
      <c r="AL15" s="815">
        <v>102.3474738312359</v>
      </c>
      <c r="AM15" s="206">
        <v>102.34084757283748</v>
      </c>
      <c r="AN15" s="908">
        <v>102.31103343142081</v>
      </c>
      <c r="AO15" s="961">
        <v>102.26798223950692</v>
      </c>
      <c r="AP15" s="954">
        <v>102.22883725591585</v>
      </c>
      <c r="AQ15" s="1072">
        <v>102.3224778039332</v>
      </c>
    </row>
    <row r="16" spans="1:43" s="11" customFormat="1">
      <c r="A16" s="708" t="s">
        <v>169</v>
      </c>
      <c r="B16" s="720"/>
      <c r="C16" s="184"/>
      <c r="D16" s="184"/>
      <c r="E16" s="184"/>
      <c r="F16" s="184"/>
      <c r="G16" s="184"/>
      <c r="H16" s="184"/>
      <c r="I16" s="184"/>
      <c r="J16" s="184"/>
      <c r="K16" s="184"/>
      <c r="L16" s="184"/>
      <c r="AC16" s="197"/>
      <c r="AD16" s="197"/>
      <c r="AK16" s="812"/>
      <c r="AL16" s="812"/>
      <c r="AM16" s="164"/>
      <c r="AN16" s="164"/>
      <c r="AO16" s="219"/>
      <c r="AP16" s="164"/>
      <c r="AQ16" s="4"/>
    </row>
    <row r="17" spans="1:43" s="11" customFormat="1">
      <c r="A17" s="710" t="s">
        <v>109</v>
      </c>
      <c r="B17" s="722"/>
      <c r="C17" s="184" t="s">
        <v>1</v>
      </c>
      <c r="D17" s="184" t="s">
        <v>1</v>
      </c>
      <c r="E17" s="184" t="s">
        <v>1</v>
      </c>
      <c r="F17" s="184" t="s">
        <v>1</v>
      </c>
      <c r="G17" s="184" t="s">
        <v>1</v>
      </c>
      <c r="H17" s="184" t="s">
        <v>1</v>
      </c>
      <c r="I17" s="184" t="s">
        <v>1</v>
      </c>
      <c r="J17" s="184" t="s">
        <v>1</v>
      </c>
      <c r="K17" s="184">
        <v>98.98</v>
      </c>
      <c r="L17" s="184">
        <v>98.09</v>
      </c>
      <c r="M17" s="704">
        <v>98.267019441963413</v>
      </c>
      <c r="N17" s="704">
        <v>98.72750554501178</v>
      </c>
      <c r="O17" s="704">
        <v>99.82976850833208</v>
      </c>
      <c r="P17" s="704">
        <v>101.38099436234135</v>
      </c>
      <c r="Q17" s="704">
        <v>101.67569639516456</v>
      </c>
      <c r="R17" s="704">
        <v>100.77593094833503</v>
      </c>
      <c r="S17" s="704">
        <v>102.23337669806423</v>
      </c>
      <c r="T17" s="721">
        <v>102.95028426933767</v>
      </c>
      <c r="U17" s="721">
        <v>99.680641687400197</v>
      </c>
      <c r="V17" s="721">
        <v>99.389039973177361</v>
      </c>
      <c r="W17" s="721">
        <v>104.31050639079427</v>
      </c>
      <c r="X17" s="721">
        <v>102.36700666827514</v>
      </c>
      <c r="Y17" s="721">
        <v>100.47539290120051</v>
      </c>
      <c r="Z17" s="721">
        <v>102.07873748515188</v>
      </c>
      <c r="AA17" s="721">
        <v>103.50076029081734</v>
      </c>
      <c r="AB17" s="721">
        <v>101.5735496275161</v>
      </c>
      <c r="AC17" s="721">
        <v>100.34880800677153</v>
      </c>
      <c r="AD17" s="721">
        <v>99.831300285491821</v>
      </c>
      <c r="AE17" s="721">
        <v>100.70193682568569</v>
      </c>
      <c r="AF17" s="721">
        <v>101.84126574342143</v>
      </c>
      <c r="AG17" s="721">
        <v>116.99244036032775</v>
      </c>
      <c r="AH17" s="721">
        <v>101.58910109577168</v>
      </c>
      <c r="AI17" s="721">
        <v>101.34143322351508</v>
      </c>
      <c r="AJ17" s="721">
        <v>101.29887213099965</v>
      </c>
      <c r="AK17" s="815">
        <v>101.18946474086661</v>
      </c>
      <c r="AL17" s="815">
        <v>101.25122842150154</v>
      </c>
      <c r="AM17" s="206">
        <v>101.23928538368972</v>
      </c>
      <c r="AN17" s="908">
        <v>101.35219648665752</v>
      </c>
      <c r="AO17" s="961">
        <v>101.32123586370021</v>
      </c>
      <c r="AP17" s="954">
        <v>101.19475018356647</v>
      </c>
      <c r="AQ17" s="1072">
        <v>101.16715605185887</v>
      </c>
    </row>
    <row r="18" spans="1:43" s="11" customFormat="1">
      <c r="A18" s="710" t="s">
        <v>135</v>
      </c>
      <c r="B18" s="223"/>
      <c r="C18" s="184" t="s">
        <v>1</v>
      </c>
      <c r="D18" s="184" t="s">
        <v>1</v>
      </c>
      <c r="E18" s="184" t="s">
        <v>1</v>
      </c>
      <c r="F18" s="184" t="s">
        <v>1</v>
      </c>
      <c r="G18" s="184" t="s">
        <v>1</v>
      </c>
      <c r="H18" s="184" t="s">
        <v>1</v>
      </c>
      <c r="I18" s="184" t="s">
        <v>1</v>
      </c>
      <c r="J18" s="184" t="s">
        <v>1</v>
      </c>
      <c r="K18" s="184" t="s">
        <v>1</v>
      </c>
      <c r="L18" s="184" t="s">
        <v>1</v>
      </c>
      <c r="M18" s="724" t="s">
        <v>1</v>
      </c>
      <c r="N18" s="724" t="s">
        <v>1</v>
      </c>
      <c r="O18" s="724" t="s">
        <v>1</v>
      </c>
      <c r="P18" s="724" t="s">
        <v>1</v>
      </c>
      <c r="Q18" s="724" t="s">
        <v>1</v>
      </c>
      <c r="R18" s="724" t="s">
        <v>1</v>
      </c>
      <c r="S18" s="724" t="s">
        <v>1</v>
      </c>
      <c r="T18" s="725" t="s">
        <v>1</v>
      </c>
      <c r="U18" s="721">
        <v>104.16878095928477</v>
      </c>
      <c r="V18" s="721">
        <v>103.43015872095383</v>
      </c>
      <c r="W18" s="721">
        <v>103.66962703805871</v>
      </c>
      <c r="X18" s="721">
        <v>104.27147500554351</v>
      </c>
      <c r="Y18" s="721">
        <v>101.65197952271537</v>
      </c>
      <c r="Z18" s="721">
        <v>101.27816556453588</v>
      </c>
      <c r="AA18" s="721">
        <v>106.41294983601107</v>
      </c>
      <c r="AB18" s="721">
        <v>107.97138501453473</v>
      </c>
      <c r="AC18" s="721">
        <v>108.50408892591699</v>
      </c>
      <c r="AD18" s="721">
        <v>106.51568606056196</v>
      </c>
      <c r="AE18" s="721">
        <v>107.67532211312279</v>
      </c>
      <c r="AF18" s="721">
        <v>107.3438524041409</v>
      </c>
      <c r="AG18" s="721">
        <v>110.85332387967594</v>
      </c>
      <c r="AH18" s="721">
        <v>105.09523019887004</v>
      </c>
      <c r="AI18" s="721">
        <v>104.24974994012651</v>
      </c>
      <c r="AJ18" s="721">
        <v>104.02380553408396</v>
      </c>
      <c r="AK18" s="815">
        <v>104.17448283387809</v>
      </c>
      <c r="AL18" s="815">
        <v>103.98017158410001</v>
      </c>
      <c r="AM18" s="206">
        <v>103.88739324173784</v>
      </c>
      <c r="AN18" s="908">
        <v>103.63460407997719</v>
      </c>
      <c r="AO18" s="961">
        <v>103.59774299421925</v>
      </c>
      <c r="AP18" s="954">
        <v>103.44408055827621</v>
      </c>
      <c r="AQ18" s="1072">
        <v>103.68241842912977</v>
      </c>
    </row>
    <row r="19" spans="1:43" s="11" customFormat="1">
      <c r="A19" s="710" t="s">
        <v>110</v>
      </c>
      <c r="B19" s="722"/>
      <c r="C19" s="184" t="s">
        <v>1</v>
      </c>
      <c r="D19" s="184" t="s">
        <v>1</v>
      </c>
      <c r="E19" s="184" t="s">
        <v>1</v>
      </c>
      <c r="F19" s="184" t="s">
        <v>1</v>
      </c>
      <c r="G19" s="184" t="s">
        <v>1</v>
      </c>
      <c r="H19" s="184" t="s">
        <v>1</v>
      </c>
      <c r="I19" s="184" t="s">
        <v>1</v>
      </c>
      <c r="J19" s="184" t="s">
        <v>1</v>
      </c>
      <c r="K19" s="184">
        <v>100.43</v>
      </c>
      <c r="L19" s="184">
        <v>100.26</v>
      </c>
      <c r="M19" s="704">
        <v>100.73158176792462</v>
      </c>
      <c r="N19" s="704">
        <v>101.94884969566725</v>
      </c>
      <c r="O19" s="704">
        <v>102.39430091837612</v>
      </c>
      <c r="P19" s="704">
        <v>102.43119004590125</v>
      </c>
      <c r="Q19" s="704">
        <v>103.50278232405891</v>
      </c>
      <c r="R19" s="704">
        <v>104.13692556317027</v>
      </c>
      <c r="S19" s="704">
        <v>103.99930758438056</v>
      </c>
      <c r="T19" s="721">
        <v>83.68233703507947</v>
      </c>
      <c r="U19" s="721">
        <v>101.95483841700661</v>
      </c>
      <c r="V19" s="721">
        <v>100.58732326395663</v>
      </c>
      <c r="W19" s="721">
        <v>101.61557594874256</v>
      </c>
      <c r="X19" s="721">
        <v>100.45104926717052</v>
      </c>
      <c r="Y19" s="721">
        <v>102.56780361619286</v>
      </c>
      <c r="Z19" s="721">
        <v>102.99005157838972</v>
      </c>
      <c r="AA19" s="721">
        <v>101.90825120626596</v>
      </c>
      <c r="AB19" s="721">
        <v>100.94570407575543</v>
      </c>
      <c r="AC19" s="721">
        <v>100.91567787771329</v>
      </c>
      <c r="AD19" s="721">
        <v>101.85790323218016</v>
      </c>
      <c r="AE19" s="721">
        <v>102.24868316994196</v>
      </c>
      <c r="AF19" s="721">
        <v>101.53552040161111</v>
      </c>
      <c r="AG19" s="721">
        <v>101.04547244603759</v>
      </c>
      <c r="AH19" s="721">
        <v>100.90863056799367</v>
      </c>
      <c r="AI19" s="721">
        <v>100.96416247547306</v>
      </c>
      <c r="AJ19" s="721">
        <v>100.14100946019904</v>
      </c>
      <c r="AK19" s="815">
        <v>100.48935274386079</v>
      </c>
      <c r="AL19" s="815">
        <v>100.54560669456068</v>
      </c>
      <c r="AM19" s="206">
        <v>100.6172632800902</v>
      </c>
      <c r="AN19" s="908">
        <v>100.6679463857237</v>
      </c>
      <c r="AO19" s="961">
        <v>100.61798457827294</v>
      </c>
      <c r="AP19" s="954">
        <v>100.783888320315</v>
      </c>
      <c r="AQ19" s="1072">
        <v>100.98742091012267</v>
      </c>
    </row>
    <row r="20" spans="1:43" s="11" customFormat="1">
      <c r="A20" s="710" t="s">
        <v>111</v>
      </c>
      <c r="B20" s="722"/>
      <c r="C20" s="184" t="s">
        <v>1</v>
      </c>
      <c r="D20" s="184" t="s">
        <v>1</v>
      </c>
      <c r="E20" s="184" t="s">
        <v>1</v>
      </c>
      <c r="F20" s="184" t="s">
        <v>1</v>
      </c>
      <c r="G20" s="184" t="s">
        <v>1</v>
      </c>
      <c r="H20" s="184" t="s">
        <v>1</v>
      </c>
      <c r="I20" s="184" t="s">
        <v>1</v>
      </c>
      <c r="J20" s="184" t="s">
        <v>1</v>
      </c>
      <c r="K20" s="184">
        <v>100.42</v>
      </c>
      <c r="L20" s="184">
        <v>100.48</v>
      </c>
      <c r="M20" s="704">
        <v>101.17942921964993</v>
      </c>
      <c r="N20" s="704">
        <v>102.37299313699224</v>
      </c>
      <c r="O20" s="704">
        <v>102.94529758980842</v>
      </c>
      <c r="P20" s="704">
        <v>104.10009504179101</v>
      </c>
      <c r="Q20" s="704">
        <v>103.85745416290952</v>
      </c>
      <c r="R20" s="704">
        <v>103.3090110589776</v>
      </c>
      <c r="S20" s="704">
        <v>102.13149656481333</v>
      </c>
      <c r="T20" s="721">
        <v>95.775575068315604</v>
      </c>
      <c r="U20" s="721">
        <v>101.91773466027063</v>
      </c>
      <c r="V20" s="721">
        <v>101.61856289318116</v>
      </c>
      <c r="W20" s="721">
        <v>101.66087692919237</v>
      </c>
      <c r="X20" s="721">
        <v>101.52119955118832</v>
      </c>
      <c r="Y20" s="721">
        <v>103.21249631594461</v>
      </c>
      <c r="Z20" s="721">
        <v>102.74940293858054</v>
      </c>
      <c r="AA20" s="721">
        <v>104.36003271761479</v>
      </c>
      <c r="AB20" s="721">
        <v>100.56739949463618</v>
      </c>
      <c r="AC20" s="721">
        <v>101.56410796497457</v>
      </c>
      <c r="AD20" s="721">
        <v>101.9654665686995</v>
      </c>
      <c r="AE20" s="721">
        <v>102.05368402089714</v>
      </c>
      <c r="AF20" s="721">
        <v>102.08011844090767</v>
      </c>
      <c r="AG20" s="721">
        <v>86.604413503804352</v>
      </c>
      <c r="AH20" s="721">
        <v>102.78994422043877</v>
      </c>
      <c r="AI20" s="721">
        <v>103.01311835975073</v>
      </c>
      <c r="AJ20" s="721">
        <v>102.96543669476988</v>
      </c>
      <c r="AK20" s="815">
        <v>102.93999491932959</v>
      </c>
      <c r="AL20" s="815">
        <v>102.76354685604589</v>
      </c>
      <c r="AM20" s="206">
        <v>102.75843008811569</v>
      </c>
      <c r="AN20" s="908">
        <v>102.80119606905274</v>
      </c>
      <c r="AO20" s="961">
        <v>102.70388954921512</v>
      </c>
      <c r="AP20" s="954">
        <v>102.68324091351082</v>
      </c>
      <c r="AQ20" s="1072">
        <v>102.74254480683148</v>
      </c>
    </row>
    <row r="21" spans="1:43" s="11" customFormat="1">
      <c r="A21" s="710" t="s">
        <v>388</v>
      </c>
      <c r="B21" s="722"/>
      <c r="C21" s="184" t="s">
        <v>1</v>
      </c>
      <c r="D21" s="184" t="s">
        <v>1</v>
      </c>
      <c r="E21" s="184" t="s">
        <v>1</v>
      </c>
      <c r="F21" s="184" t="s">
        <v>1</v>
      </c>
      <c r="G21" s="184" t="s">
        <v>1</v>
      </c>
      <c r="H21" s="184" t="s">
        <v>1</v>
      </c>
      <c r="I21" s="184" t="s">
        <v>1</v>
      </c>
      <c r="J21" s="184" t="s">
        <v>1</v>
      </c>
      <c r="K21" s="184">
        <v>100.66</v>
      </c>
      <c r="L21" s="184">
        <v>100.78</v>
      </c>
      <c r="M21" s="704">
        <v>101.25398467352065</v>
      </c>
      <c r="N21" s="704">
        <v>102.7833955340575</v>
      </c>
      <c r="O21" s="704">
        <v>103.31926920632344</v>
      </c>
      <c r="P21" s="704">
        <v>103.81537011707884</v>
      </c>
      <c r="Q21" s="704">
        <v>102.71128958035214</v>
      </c>
      <c r="R21" s="704">
        <v>102.68943253096346</v>
      </c>
      <c r="S21" s="704">
        <v>101.45413469124291</v>
      </c>
      <c r="T21" s="721">
        <v>82.806378829919467</v>
      </c>
      <c r="U21" s="721">
        <v>103.02497812368831</v>
      </c>
      <c r="V21" s="721">
        <v>102.89058453889446</v>
      </c>
      <c r="W21" s="721">
        <v>102.4603861719049</v>
      </c>
      <c r="X21" s="721">
        <v>100.84759640262794</v>
      </c>
      <c r="Y21" s="721">
        <v>100.80474925468137</v>
      </c>
      <c r="Z21" s="721">
        <v>102.18105670103093</v>
      </c>
      <c r="AA21" s="721">
        <v>100.89794116719739</v>
      </c>
      <c r="AB21" s="721">
        <v>101.06056534319944</v>
      </c>
      <c r="AC21" s="721">
        <v>101.22258914326</v>
      </c>
      <c r="AD21" s="721">
        <v>101.76438603886781</v>
      </c>
      <c r="AE21" s="721">
        <v>102.46081250637866</v>
      </c>
      <c r="AF21" s="721">
        <v>101.29489658405109</v>
      </c>
      <c r="AG21" s="721">
        <v>111.8984266543267</v>
      </c>
      <c r="AH21" s="721">
        <v>101.21271646420264</v>
      </c>
      <c r="AI21" s="721">
        <v>101.39073321211873</v>
      </c>
      <c r="AJ21" s="721">
        <v>100.77977422815951</v>
      </c>
      <c r="AK21" s="815">
        <v>99.407198588472866</v>
      </c>
      <c r="AL21" s="815">
        <v>99.335878549226948</v>
      </c>
      <c r="AM21" s="206">
        <v>99.41954515177467</v>
      </c>
      <c r="AN21" s="908">
        <v>99.407403696839154</v>
      </c>
      <c r="AO21" s="961">
        <v>99.498548297320738</v>
      </c>
      <c r="AP21" s="954">
        <v>99.543204986135692</v>
      </c>
      <c r="AQ21" s="1072">
        <v>99.59732620589017</v>
      </c>
    </row>
    <row r="22" spans="1:43" s="11" customFormat="1">
      <c r="A22" s="710" t="s">
        <v>136</v>
      </c>
      <c r="B22" s="722"/>
      <c r="C22" s="184" t="s">
        <v>1</v>
      </c>
      <c r="D22" s="184" t="s">
        <v>1</v>
      </c>
      <c r="E22" s="184" t="s">
        <v>1</v>
      </c>
      <c r="F22" s="184" t="s">
        <v>1</v>
      </c>
      <c r="G22" s="184" t="s">
        <v>1</v>
      </c>
      <c r="H22" s="184" t="s">
        <v>1</v>
      </c>
      <c r="I22" s="184" t="s">
        <v>1</v>
      </c>
      <c r="J22" s="184" t="s">
        <v>1</v>
      </c>
      <c r="K22" s="184">
        <v>99.32</v>
      </c>
      <c r="L22" s="184">
        <v>99.08</v>
      </c>
      <c r="M22" s="704">
        <v>99.449760765550238</v>
      </c>
      <c r="N22" s="704">
        <v>100.86833712276999</v>
      </c>
      <c r="O22" s="704">
        <v>101.35783853645776</v>
      </c>
      <c r="P22" s="704">
        <v>101.97417856410958</v>
      </c>
      <c r="Q22" s="704">
        <v>103.83395855662737</v>
      </c>
      <c r="R22" s="704">
        <v>104.19704235751202</v>
      </c>
      <c r="S22" s="704">
        <v>104.2701468099451</v>
      </c>
      <c r="T22" s="721">
        <v>106.53119123808268</v>
      </c>
      <c r="U22" s="721">
        <v>102.32993113015905</v>
      </c>
      <c r="V22" s="721">
        <v>102.36342948446371</v>
      </c>
      <c r="W22" s="721">
        <v>103.5877515062289</v>
      </c>
      <c r="X22" s="721">
        <v>101.96062762915315</v>
      </c>
      <c r="Y22" s="721">
        <v>102.63723591253624</v>
      </c>
      <c r="Z22" s="721">
        <v>103.1350732226131</v>
      </c>
      <c r="AA22" s="721">
        <v>103.47606733194776</v>
      </c>
      <c r="AB22" s="721">
        <v>102.66883362464607</v>
      </c>
      <c r="AC22" s="721">
        <v>102.31173589263669</v>
      </c>
      <c r="AD22" s="721">
        <v>102.17970924235642</v>
      </c>
      <c r="AE22" s="721">
        <v>101.82703845494542</v>
      </c>
      <c r="AF22" s="721">
        <v>102.4264784965092</v>
      </c>
      <c r="AG22" s="721">
        <v>107.49732923054447</v>
      </c>
      <c r="AH22" s="721">
        <v>102.47812791981652</v>
      </c>
      <c r="AI22" s="721">
        <v>102.51600737686235</v>
      </c>
      <c r="AJ22" s="721">
        <v>101.82199655571098</v>
      </c>
      <c r="AK22" s="815">
        <v>101.27246667963617</v>
      </c>
      <c r="AL22" s="815">
        <v>101.30124366651312</v>
      </c>
      <c r="AM22" s="206">
        <v>101.23997111363295</v>
      </c>
      <c r="AN22" s="908">
        <v>101.17320295103531</v>
      </c>
      <c r="AO22" s="961">
        <v>101.06259667612163</v>
      </c>
      <c r="AP22" s="954">
        <v>100.98726705988787</v>
      </c>
      <c r="AQ22" s="1072">
        <v>101.02070597515282</v>
      </c>
    </row>
    <row r="23" spans="1:43" s="11" customFormat="1">
      <c r="A23" s="710" t="s">
        <v>112</v>
      </c>
      <c r="B23" s="722"/>
      <c r="C23" s="184" t="s">
        <v>1</v>
      </c>
      <c r="D23" s="184" t="s">
        <v>1</v>
      </c>
      <c r="E23" s="184" t="s">
        <v>1</v>
      </c>
      <c r="F23" s="184" t="s">
        <v>1</v>
      </c>
      <c r="G23" s="184" t="s">
        <v>1</v>
      </c>
      <c r="H23" s="184" t="s">
        <v>1</v>
      </c>
      <c r="I23" s="184" t="s">
        <v>1</v>
      </c>
      <c r="J23" s="184" t="s">
        <v>1</v>
      </c>
      <c r="K23" s="184" t="s">
        <v>1</v>
      </c>
      <c r="L23" s="184" t="s">
        <v>1</v>
      </c>
      <c r="M23" s="724" t="s">
        <v>1</v>
      </c>
      <c r="N23" s="724" t="s">
        <v>1</v>
      </c>
      <c r="O23" s="724" t="s">
        <v>1</v>
      </c>
      <c r="P23" s="724" t="s">
        <v>1</v>
      </c>
      <c r="Q23" s="724" t="s">
        <v>1</v>
      </c>
      <c r="R23" s="724" t="s">
        <v>1</v>
      </c>
      <c r="S23" s="724" t="s">
        <v>1</v>
      </c>
      <c r="T23" s="725" t="s">
        <v>1</v>
      </c>
      <c r="U23" s="721">
        <v>102.21540165693584</v>
      </c>
      <c r="V23" s="721">
        <v>102.77922019280699</v>
      </c>
      <c r="W23" s="721">
        <v>103.29276864950356</v>
      </c>
      <c r="X23" s="721">
        <v>104.73172702719947</v>
      </c>
      <c r="Y23" s="721">
        <v>102.64173164392463</v>
      </c>
      <c r="Z23" s="721">
        <v>101.92684326099427</v>
      </c>
      <c r="AA23" s="721">
        <v>113.02719173961144</v>
      </c>
      <c r="AB23" s="721">
        <v>116.67553876534731</v>
      </c>
      <c r="AC23" s="721">
        <v>115.3754452064875</v>
      </c>
      <c r="AD23" s="721">
        <v>112.9322771165793</v>
      </c>
      <c r="AE23" s="721">
        <v>114.65136505856705</v>
      </c>
      <c r="AF23" s="721">
        <v>111.08155504325038</v>
      </c>
      <c r="AG23" s="721">
        <v>147.7179600886918</v>
      </c>
      <c r="AH23" s="721">
        <v>108.89992314712522</v>
      </c>
      <c r="AI23" s="721">
        <v>110.54500344589937</v>
      </c>
      <c r="AJ23" s="721">
        <v>110.88473374197636</v>
      </c>
      <c r="AK23" s="815">
        <v>107.97211289778477</v>
      </c>
      <c r="AL23" s="815">
        <v>107.50063485416175</v>
      </c>
      <c r="AM23" s="206">
        <v>107.25759714031649</v>
      </c>
      <c r="AN23" s="908">
        <v>107.12399548324451</v>
      </c>
      <c r="AO23" s="961">
        <v>107.00325021405979</v>
      </c>
      <c r="AP23" s="954">
        <v>106.91920421543225</v>
      </c>
      <c r="AQ23" s="1072">
        <v>106.86630748026562</v>
      </c>
    </row>
    <row r="24" spans="1:43" s="11" customFormat="1">
      <c r="A24" s="710" t="s">
        <v>113</v>
      </c>
      <c r="B24" s="722"/>
      <c r="C24" s="184" t="s">
        <v>1</v>
      </c>
      <c r="D24" s="184" t="s">
        <v>1</v>
      </c>
      <c r="E24" s="184" t="s">
        <v>1</v>
      </c>
      <c r="F24" s="184" t="s">
        <v>1</v>
      </c>
      <c r="G24" s="184" t="s">
        <v>1</v>
      </c>
      <c r="H24" s="184" t="s">
        <v>1</v>
      </c>
      <c r="I24" s="184" t="s">
        <v>1</v>
      </c>
      <c r="J24" s="184" t="s">
        <v>1</v>
      </c>
      <c r="K24" s="184">
        <v>100.73</v>
      </c>
      <c r="L24" s="184">
        <v>100.05</v>
      </c>
      <c r="M24" s="704">
        <v>100.49985222877555</v>
      </c>
      <c r="N24" s="704">
        <v>101.91402853782027</v>
      </c>
      <c r="O24" s="704">
        <v>103.0724259493909</v>
      </c>
      <c r="P24" s="704">
        <v>103.48779181576961</v>
      </c>
      <c r="Q24" s="704">
        <v>102.97682405452611</v>
      </c>
      <c r="R24" s="704">
        <v>103.14432724760007</v>
      </c>
      <c r="S24" s="704">
        <v>103.09885668410708</v>
      </c>
      <c r="T24" s="721">
        <v>97.830429832663839</v>
      </c>
      <c r="U24" s="721">
        <v>102.47129086797094</v>
      </c>
      <c r="V24" s="721">
        <v>102.43044023270514</v>
      </c>
      <c r="W24" s="721">
        <v>101.79330687042064</v>
      </c>
      <c r="X24" s="721">
        <v>101.89169749280724</v>
      </c>
      <c r="Y24" s="721">
        <v>102.98101067960187</v>
      </c>
      <c r="Z24" s="721">
        <v>103.01467924047907</v>
      </c>
      <c r="AA24" s="721">
        <v>103.25299085987518</v>
      </c>
      <c r="AB24" s="721">
        <v>103.11598038990033</v>
      </c>
      <c r="AC24" s="721">
        <v>102.35665434545811</v>
      </c>
      <c r="AD24" s="721">
        <v>102.90819642101683</v>
      </c>
      <c r="AE24" s="721">
        <v>102.10170755792515</v>
      </c>
      <c r="AF24" s="721">
        <v>101.84425719148228</v>
      </c>
      <c r="AG24" s="721">
        <v>101.01404914551686</v>
      </c>
      <c r="AH24" s="721">
        <v>101.71117773088392</v>
      </c>
      <c r="AI24" s="721">
        <v>102.86097381010941</v>
      </c>
      <c r="AJ24" s="721">
        <v>102.66184331299606</v>
      </c>
      <c r="AK24" s="815">
        <v>102.00003005304362</v>
      </c>
      <c r="AL24" s="815">
        <v>101.99891179947092</v>
      </c>
      <c r="AM24" s="206">
        <v>102.05134932533733</v>
      </c>
      <c r="AN24" s="908">
        <v>102.07434245739589</v>
      </c>
      <c r="AO24" s="961">
        <v>102.09071342092282</v>
      </c>
      <c r="AP24" s="954">
        <v>101.99536205083848</v>
      </c>
      <c r="AQ24" s="1072">
        <v>102.08075829101577</v>
      </c>
    </row>
    <row r="25" spans="1:43" s="11" customFormat="1">
      <c r="A25" s="703" t="s">
        <v>171</v>
      </c>
      <c r="B25" s="726" t="s">
        <v>182</v>
      </c>
      <c r="C25" s="184"/>
      <c r="D25" s="221"/>
      <c r="E25" s="221"/>
      <c r="F25" s="221"/>
      <c r="G25" s="221"/>
      <c r="H25" s="221"/>
      <c r="I25" s="184"/>
      <c r="J25" s="184"/>
      <c r="K25" s="184"/>
      <c r="L25" s="184"/>
      <c r="M25" s="318"/>
      <c r="N25" s="318"/>
      <c r="O25" s="318"/>
      <c r="P25" s="318"/>
      <c r="Q25" s="318"/>
      <c r="R25" s="318"/>
      <c r="S25" s="318"/>
      <c r="T25" s="318"/>
      <c r="U25" s="727"/>
      <c r="V25" s="727"/>
      <c r="W25" s="727"/>
      <c r="X25" s="727"/>
      <c r="Y25" s="727"/>
      <c r="Z25" s="727"/>
      <c r="AA25" s="728"/>
      <c r="AB25" s="728"/>
      <c r="AC25" s="729"/>
      <c r="AD25" s="728"/>
      <c r="AE25" s="428"/>
      <c r="AF25" s="428"/>
      <c r="AG25" s="428"/>
      <c r="AH25" s="689"/>
      <c r="AI25" s="2"/>
      <c r="AJ25" s="428"/>
      <c r="AK25" s="825"/>
      <c r="AL25" s="812"/>
      <c r="AM25" s="164"/>
      <c r="AN25" s="164"/>
      <c r="AO25" s="219"/>
      <c r="AP25" s="164"/>
      <c r="AQ25" s="4"/>
    </row>
    <row r="26" spans="1:43" s="11" customFormat="1">
      <c r="A26" s="730" t="s">
        <v>172</v>
      </c>
      <c r="B26" s="722"/>
      <c r="C26" s="184" t="s">
        <v>4</v>
      </c>
      <c r="D26" s="184">
        <v>68.099999999999994</v>
      </c>
      <c r="E26" s="184">
        <v>65.2</v>
      </c>
      <c r="F26" s="184">
        <v>65.2</v>
      </c>
      <c r="G26" s="184">
        <v>64.5</v>
      </c>
      <c r="H26" s="184">
        <v>65</v>
      </c>
      <c r="I26" s="184">
        <v>66.5</v>
      </c>
      <c r="J26" s="184">
        <v>67.3</v>
      </c>
      <c r="K26" s="184">
        <v>67.900000000000006</v>
      </c>
      <c r="L26" s="184">
        <v>67.75</v>
      </c>
      <c r="M26" s="318">
        <v>68.41</v>
      </c>
      <c r="N26" s="318">
        <v>68.73</v>
      </c>
      <c r="O26" s="318">
        <v>68.17</v>
      </c>
      <c r="P26" s="318">
        <v>67.75</v>
      </c>
      <c r="Q26" s="318">
        <v>67.400000000000006</v>
      </c>
      <c r="R26" s="318">
        <v>69.66</v>
      </c>
      <c r="S26" s="318">
        <v>70.45</v>
      </c>
      <c r="T26" s="318">
        <v>70.349999999999994</v>
      </c>
      <c r="U26" s="704">
        <v>71.52</v>
      </c>
      <c r="V26" s="704">
        <v>71.11</v>
      </c>
      <c r="W26" s="704">
        <v>71.94</v>
      </c>
      <c r="X26" s="704">
        <v>72.73</v>
      </c>
      <c r="Y26" s="704">
        <v>73.78</v>
      </c>
      <c r="Z26" s="704">
        <v>74.64</v>
      </c>
      <c r="AA26" s="704">
        <v>75.650000000000006</v>
      </c>
      <c r="AB26" s="704">
        <v>75.94</v>
      </c>
      <c r="AC26" s="731">
        <v>76.27</v>
      </c>
      <c r="AD26" s="731">
        <v>76.03</v>
      </c>
      <c r="AE26" s="731">
        <v>76.02</v>
      </c>
      <c r="AF26" s="731">
        <v>74.59</v>
      </c>
      <c r="AG26" s="731">
        <v>72.09</v>
      </c>
      <c r="AH26" s="731">
        <v>77.540000000000006</v>
      </c>
      <c r="AI26" s="731">
        <v>78.28</v>
      </c>
      <c r="AJ26" s="712">
        <v>78.78</v>
      </c>
      <c r="AK26" s="906">
        <v>78.83</v>
      </c>
      <c r="AL26" s="830" t="s">
        <v>1</v>
      </c>
      <c r="AM26" s="902" t="s">
        <v>1</v>
      </c>
      <c r="AN26" s="902" t="s">
        <v>1</v>
      </c>
      <c r="AO26" s="962" t="s">
        <v>1</v>
      </c>
      <c r="AP26" s="902" t="s">
        <v>1</v>
      </c>
      <c r="AQ26" s="1073" t="s">
        <v>1</v>
      </c>
    </row>
    <row r="27" spans="1:43" s="11" customFormat="1">
      <c r="A27" s="730" t="s">
        <v>173</v>
      </c>
      <c r="B27" s="722"/>
      <c r="C27" s="184" t="s">
        <v>4</v>
      </c>
      <c r="D27" s="184">
        <v>62.9</v>
      </c>
      <c r="E27" s="184">
        <v>59.4</v>
      </c>
      <c r="F27" s="184">
        <v>59.5</v>
      </c>
      <c r="G27" s="184">
        <v>58.5</v>
      </c>
      <c r="H27" s="184">
        <v>59.1</v>
      </c>
      <c r="I27" s="184">
        <v>60.4</v>
      </c>
      <c r="J27" s="184">
        <v>61.3</v>
      </c>
      <c r="K27" s="184">
        <v>62.01</v>
      </c>
      <c r="L27" s="184">
        <v>61.6</v>
      </c>
      <c r="M27" s="318">
        <v>62.62</v>
      </c>
      <c r="N27" s="318">
        <v>62.94</v>
      </c>
      <c r="O27" s="318">
        <v>62.16</v>
      </c>
      <c r="P27" s="318">
        <v>61.08</v>
      </c>
      <c r="Q27" s="318">
        <v>60.62</v>
      </c>
      <c r="R27" s="318">
        <v>63.69</v>
      </c>
      <c r="S27" s="318">
        <v>64.650000000000006</v>
      </c>
      <c r="T27" s="318">
        <v>64.819999999999993</v>
      </c>
      <c r="U27" s="704">
        <v>66.69</v>
      </c>
      <c r="V27" s="704">
        <v>66.27</v>
      </c>
      <c r="W27" s="704">
        <v>67.12</v>
      </c>
      <c r="X27" s="704">
        <v>68.2</v>
      </c>
      <c r="Y27" s="704">
        <v>69.34</v>
      </c>
      <c r="Z27" s="704">
        <v>70.430000000000007</v>
      </c>
      <c r="AA27" s="704">
        <v>71.88</v>
      </c>
      <c r="AB27" s="704">
        <v>74.55</v>
      </c>
      <c r="AC27" s="731">
        <v>72.83</v>
      </c>
      <c r="AD27" s="731">
        <v>73.209999999999994</v>
      </c>
      <c r="AE27" s="731">
        <v>72.55</v>
      </c>
      <c r="AF27" s="731">
        <v>74.11</v>
      </c>
      <c r="AG27" s="731">
        <v>68.63</v>
      </c>
      <c r="AH27" s="731">
        <v>73.41</v>
      </c>
      <c r="AI27" s="731">
        <v>74.47</v>
      </c>
      <c r="AJ27" s="712">
        <v>75.64</v>
      </c>
      <c r="AK27" s="906">
        <v>75.41</v>
      </c>
      <c r="AL27" s="830" t="s">
        <v>1</v>
      </c>
      <c r="AM27" s="902" t="s">
        <v>1</v>
      </c>
      <c r="AN27" s="902" t="s">
        <v>1</v>
      </c>
      <c r="AO27" s="962" t="s">
        <v>1</v>
      </c>
      <c r="AP27" s="902" t="s">
        <v>1</v>
      </c>
      <c r="AQ27" s="1073" t="s">
        <v>1</v>
      </c>
    </row>
    <row r="28" spans="1:43" s="11" customFormat="1">
      <c r="A28" s="730" t="s">
        <v>174</v>
      </c>
      <c r="B28" s="722"/>
      <c r="C28" s="184" t="s">
        <v>4</v>
      </c>
      <c r="D28" s="184">
        <v>72.8</v>
      </c>
      <c r="E28" s="184">
        <v>71</v>
      </c>
      <c r="F28" s="184">
        <v>71.099999999999994</v>
      </c>
      <c r="G28" s="184">
        <v>70.7</v>
      </c>
      <c r="H28" s="184">
        <v>70.900000000000006</v>
      </c>
      <c r="I28" s="184">
        <v>71.099999999999994</v>
      </c>
      <c r="J28" s="184">
        <v>73</v>
      </c>
      <c r="K28" s="184">
        <v>73.569999999999993</v>
      </c>
      <c r="L28" s="184">
        <v>73.47</v>
      </c>
      <c r="M28" s="318">
        <v>73.64</v>
      </c>
      <c r="N28" s="318">
        <v>73.959999999999994</v>
      </c>
      <c r="O28" s="318">
        <v>73.62</v>
      </c>
      <c r="P28" s="318">
        <v>74.19</v>
      </c>
      <c r="Q28" s="318">
        <v>73.819999999999993</v>
      </c>
      <c r="R28" s="318">
        <v>74.97</v>
      </c>
      <c r="S28" s="318">
        <v>75.5</v>
      </c>
      <c r="T28" s="318">
        <v>75.2</v>
      </c>
      <c r="U28" s="704">
        <v>75.760000000000005</v>
      </c>
      <c r="V28" s="704">
        <v>75.489999999999995</v>
      </c>
      <c r="W28" s="704">
        <v>76.19</v>
      </c>
      <c r="X28" s="704">
        <v>76.790000000000006</v>
      </c>
      <c r="Y28" s="704">
        <v>77.78</v>
      </c>
      <c r="Z28" s="704">
        <v>78.319999999999993</v>
      </c>
      <c r="AA28" s="704">
        <v>79.209999999999994</v>
      </c>
      <c r="AB28" s="704">
        <v>79.260000000000005</v>
      </c>
      <c r="AC28" s="731">
        <v>79.34</v>
      </c>
      <c r="AD28" s="731">
        <v>76.03</v>
      </c>
      <c r="AE28" s="731">
        <v>79.25</v>
      </c>
      <c r="AF28" s="731">
        <v>78.08</v>
      </c>
      <c r="AG28" s="732">
        <v>75.180000000000007</v>
      </c>
      <c r="AH28" s="731">
        <v>80.86</v>
      </c>
      <c r="AI28" s="731">
        <v>81.430000000000007</v>
      </c>
      <c r="AJ28" s="712">
        <v>81.819999999999993</v>
      </c>
      <c r="AK28" s="906">
        <v>81.8</v>
      </c>
      <c r="AL28" s="830" t="s">
        <v>1</v>
      </c>
      <c r="AM28" s="902" t="s">
        <v>1</v>
      </c>
      <c r="AN28" s="902" t="s">
        <v>1</v>
      </c>
      <c r="AO28" s="962" t="s">
        <v>1</v>
      </c>
      <c r="AP28" s="902" t="s">
        <v>1</v>
      </c>
      <c r="AQ28" s="1073" t="s">
        <v>1</v>
      </c>
    </row>
    <row r="29" spans="1:43" s="11" customFormat="1">
      <c r="A29" s="703" t="s">
        <v>175</v>
      </c>
      <c r="B29" s="726" t="s">
        <v>183</v>
      </c>
      <c r="C29" s="184"/>
      <c r="D29" s="184"/>
      <c r="E29" s="184"/>
      <c r="F29" s="184"/>
      <c r="G29" s="184"/>
      <c r="H29" s="184"/>
      <c r="I29" s="184"/>
      <c r="J29" s="184"/>
      <c r="K29" s="184"/>
      <c r="L29" s="184"/>
      <c r="M29" s="318"/>
      <c r="N29" s="318"/>
      <c r="O29" s="318"/>
      <c r="P29" s="318"/>
      <c r="Q29" s="318"/>
      <c r="R29" s="318"/>
      <c r="S29" s="318"/>
      <c r="T29" s="318"/>
      <c r="U29" s="733"/>
      <c r="V29" s="733"/>
      <c r="W29" s="733"/>
      <c r="X29" s="733"/>
      <c r="Y29" s="733"/>
      <c r="Z29" s="733"/>
      <c r="AA29" s="733"/>
      <c r="AB29" s="170"/>
      <c r="AC29" s="169"/>
      <c r="AD29" s="170"/>
      <c r="AE29" s="429"/>
      <c r="AF29" s="429"/>
      <c r="AG29" s="429"/>
      <c r="AH29" s="734"/>
      <c r="AI29" s="2"/>
      <c r="AK29" s="812"/>
      <c r="AL29" s="812"/>
      <c r="AM29" s="164"/>
      <c r="AN29" s="164"/>
      <c r="AO29" s="219"/>
      <c r="AP29" s="164"/>
      <c r="AQ29" s="4"/>
    </row>
    <row r="30" spans="1:43" s="11" customFormat="1">
      <c r="A30" s="703" t="s">
        <v>108</v>
      </c>
      <c r="B30" s="722"/>
      <c r="C30" s="184">
        <v>15.7</v>
      </c>
      <c r="D30" s="184">
        <v>14.2</v>
      </c>
      <c r="E30" s="184">
        <v>12</v>
      </c>
      <c r="F30" s="184">
        <v>12</v>
      </c>
      <c r="G30" s="184">
        <v>10.9</v>
      </c>
      <c r="H30" s="184">
        <v>10.4</v>
      </c>
      <c r="I30" s="184">
        <v>10</v>
      </c>
      <c r="J30" s="184">
        <v>10.199999999999999</v>
      </c>
      <c r="K30" s="184">
        <v>11.6</v>
      </c>
      <c r="L30" s="184">
        <v>13.2</v>
      </c>
      <c r="M30" s="318">
        <v>12.2</v>
      </c>
      <c r="N30" s="318">
        <v>14.1</v>
      </c>
      <c r="O30" s="318">
        <v>16.899999999999999</v>
      </c>
      <c r="P30" s="318">
        <v>19.8</v>
      </c>
      <c r="Q30" s="318">
        <v>20.9</v>
      </c>
      <c r="R30" s="318">
        <v>22.2</v>
      </c>
      <c r="S30" s="318">
        <v>22.7</v>
      </c>
      <c r="T30" s="318">
        <v>25.3</v>
      </c>
      <c r="U30" s="735">
        <v>18.29</v>
      </c>
      <c r="V30" s="735">
        <v>18.04</v>
      </c>
      <c r="W30" s="735">
        <v>17.41</v>
      </c>
      <c r="X30" s="735">
        <v>18.149999999999999</v>
      </c>
      <c r="Y30" s="735">
        <v>18.11</v>
      </c>
      <c r="Z30" s="735">
        <v>18.260000000000002</v>
      </c>
      <c r="AA30" s="735">
        <v>18.59</v>
      </c>
      <c r="AB30" s="735">
        <v>18.32</v>
      </c>
      <c r="AC30" s="735">
        <v>17.670000000000002</v>
      </c>
      <c r="AD30" s="735">
        <v>18.13</v>
      </c>
      <c r="AE30" s="735">
        <v>18.13</v>
      </c>
      <c r="AF30" s="735">
        <v>18.21</v>
      </c>
      <c r="AG30" s="735">
        <v>18.84</v>
      </c>
      <c r="AH30" s="736">
        <v>16.940000000000001</v>
      </c>
      <c r="AI30" s="736">
        <v>16.170000000000002</v>
      </c>
      <c r="AJ30" s="737">
        <v>15.2</v>
      </c>
      <c r="AK30" s="895">
        <v>13.91</v>
      </c>
      <c r="AL30" s="803">
        <v>12.28</v>
      </c>
      <c r="AM30" s="903">
        <v>11.94</v>
      </c>
      <c r="AN30" s="903">
        <v>12.33</v>
      </c>
      <c r="AO30" s="963">
        <v>12.48</v>
      </c>
      <c r="AP30" s="955">
        <v>12.26</v>
      </c>
      <c r="AQ30" s="1074">
        <v>12.41</v>
      </c>
    </row>
    <row r="31" spans="1:43" s="11" customFormat="1">
      <c r="A31" s="708" t="s">
        <v>169</v>
      </c>
      <c r="B31" s="722"/>
      <c r="C31" s="184"/>
      <c r="D31" s="184"/>
      <c r="E31" s="184"/>
      <c r="F31" s="184"/>
      <c r="G31" s="184"/>
      <c r="H31" s="184"/>
      <c r="I31" s="184"/>
      <c r="J31" s="184"/>
      <c r="K31" s="184"/>
      <c r="L31" s="184"/>
      <c r="M31" s="318"/>
      <c r="N31" s="318"/>
      <c r="O31" s="318"/>
      <c r="P31" s="318"/>
      <c r="Q31" s="318"/>
      <c r="R31" s="318"/>
      <c r="S31" s="318"/>
      <c r="T31" s="318"/>
      <c r="U31" s="208"/>
      <c r="V31" s="208"/>
      <c r="W31" s="208"/>
      <c r="X31" s="208"/>
      <c r="Y31" s="208"/>
      <c r="Z31" s="208"/>
      <c r="AA31" s="208"/>
      <c r="AB31" s="208"/>
      <c r="AC31" s="208"/>
      <c r="AD31" s="208"/>
      <c r="AE31" s="208"/>
      <c r="AF31" s="208"/>
      <c r="AG31" s="208"/>
      <c r="AH31" s="208"/>
      <c r="AI31" s="208"/>
      <c r="AJ31" s="208"/>
      <c r="AK31" s="771"/>
      <c r="AL31" s="802"/>
      <c r="AM31" s="904"/>
      <c r="AN31" s="904"/>
      <c r="AO31" s="964"/>
      <c r="AP31" s="956"/>
      <c r="AQ31" s="1075"/>
    </row>
    <row r="32" spans="1:43" s="11" customFormat="1">
      <c r="A32" s="710" t="s">
        <v>109</v>
      </c>
      <c r="B32" s="722"/>
      <c r="C32" s="184" t="s">
        <v>1</v>
      </c>
      <c r="D32" s="184" t="s">
        <v>1</v>
      </c>
      <c r="E32" s="184" t="s">
        <v>1</v>
      </c>
      <c r="F32" s="184" t="s">
        <v>1</v>
      </c>
      <c r="G32" s="184" t="s">
        <v>1</v>
      </c>
      <c r="H32" s="184" t="s">
        <v>1</v>
      </c>
      <c r="I32" s="184" t="s">
        <v>1</v>
      </c>
      <c r="J32" s="184" t="s">
        <v>1</v>
      </c>
      <c r="K32" s="184" t="s">
        <v>1</v>
      </c>
      <c r="L32" s="184" t="s">
        <v>1</v>
      </c>
      <c r="M32" s="318" t="s">
        <v>1</v>
      </c>
      <c r="N32" s="318" t="s">
        <v>1</v>
      </c>
      <c r="O32" s="318">
        <v>20.12</v>
      </c>
      <c r="P32" s="318">
        <v>22.23</v>
      </c>
      <c r="Q32" s="318">
        <v>20.64</v>
      </c>
      <c r="R32" s="318">
        <v>21.15</v>
      </c>
      <c r="S32" s="318">
        <v>22.64</v>
      </c>
      <c r="T32" s="318">
        <v>26.51</v>
      </c>
      <c r="U32" s="735">
        <v>14.48</v>
      </c>
      <c r="V32" s="735">
        <v>14.62</v>
      </c>
      <c r="W32" s="735">
        <v>19.649999999999999</v>
      </c>
      <c r="X32" s="735">
        <v>18.63</v>
      </c>
      <c r="Y32" s="735">
        <v>17.25</v>
      </c>
      <c r="Z32" s="735">
        <v>18.510000000000002</v>
      </c>
      <c r="AA32" s="735">
        <v>18.149999999999999</v>
      </c>
      <c r="AB32" s="735">
        <v>17.09</v>
      </c>
      <c r="AC32" s="735">
        <v>15.82</v>
      </c>
      <c r="AD32" s="735">
        <v>16.04</v>
      </c>
      <c r="AE32" s="735">
        <v>14.5</v>
      </c>
      <c r="AF32" s="735">
        <v>15.33</v>
      </c>
      <c r="AG32" s="735">
        <v>15.3</v>
      </c>
      <c r="AH32" s="736">
        <v>12.47</v>
      </c>
      <c r="AI32" s="736">
        <v>11.63</v>
      </c>
      <c r="AJ32" s="737">
        <v>11.28</v>
      </c>
      <c r="AK32" s="895">
        <v>10.33</v>
      </c>
      <c r="AL32" s="803">
        <v>9.4700000000000006</v>
      </c>
      <c r="AM32" s="903">
        <v>8.94</v>
      </c>
      <c r="AN32" s="903">
        <v>9.44</v>
      </c>
      <c r="AO32" s="963">
        <v>9.5399999999999991</v>
      </c>
      <c r="AP32" s="955">
        <v>9.2799999999999994</v>
      </c>
      <c r="AQ32" s="1074">
        <v>9.36</v>
      </c>
    </row>
    <row r="33" spans="1:43" s="11" customFormat="1">
      <c r="A33" s="710" t="s">
        <v>135</v>
      </c>
      <c r="B33" s="722"/>
      <c r="C33" s="184" t="s">
        <v>1</v>
      </c>
      <c r="D33" s="184" t="s">
        <v>1</v>
      </c>
      <c r="E33" s="184" t="s">
        <v>1</v>
      </c>
      <c r="F33" s="184" t="s">
        <v>1</v>
      </c>
      <c r="G33" s="184" t="s">
        <v>1</v>
      </c>
      <c r="H33" s="184" t="s">
        <v>1</v>
      </c>
      <c r="I33" s="184" t="s">
        <v>1</v>
      </c>
      <c r="J33" s="184" t="s">
        <v>1</v>
      </c>
      <c r="K33" s="184" t="s">
        <v>1</v>
      </c>
      <c r="L33" s="184" t="s">
        <v>1</v>
      </c>
      <c r="M33" s="318" t="s">
        <v>1</v>
      </c>
      <c r="N33" s="318" t="s">
        <v>1</v>
      </c>
      <c r="O33" s="318" t="s">
        <v>1</v>
      </c>
      <c r="P33" s="318" t="s">
        <v>1</v>
      </c>
      <c r="Q33" s="318" t="s">
        <v>1</v>
      </c>
      <c r="R33" s="318" t="s">
        <v>1</v>
      </c>
      <c r="S33" s="318" t="s">
        <v>1</v>
      </c>
      <c r="T33" s="318" t="s">
        <v>1</v>
      </c>
      <c r="U33" s="735">
        <v>25.74</v>
      </c>
      <c r="V33" s="735">
        <v>25.58</v>
      </c>
      <c r="W33" s="735">
        <v>9.41</v>
      </c>
      <c r="X33" s="735">
        <v>16.04</v>
      </c>
      <c r="Y33" s="735">
        <v>17.96</v>
      </c>
      <c r="Z33" s="735">
        <v>20.65</v>
      </c>
      <c r="AA33" s="735">
        <v>23.83</v>
      </c>
      <c r="AB33" s="735">
        <v>24.73</v>
      </c>
      <c r="AC33" s="735">
        <v>25</v>
      </c>
      <c r="AD33" s="735">
        <v>26.28</v>
      </c>
      <c r="AE33" s="735">
        <v>27.08</v>
      </c>
      <c r="AF33" s="735">
        <v>27.76</v>
      </c>
      <c r="AG33" s="735">
        <v>28.02</v>
      </c>
      <c r="AH33" s="736">
        <v>25.41</v>
      </c>
      <c r="AI33" s="736">
        <v>24.14</v>
      </c>
      <c r="AJ33" s="737">
        <v>21.79</v>
      </c>
      <c r="AK33" s="895">
        <v>20.2</v>
      </c>
      <c r="AL33" s="803">
        <v>17.96</v>
      </c>
      <c r="AM33" s="903">
        <v>18.03</v>
      </c>
      <c r="AN33" s="903">
        <v>17.79</v>
      </c>
      <c r="AO33" s="963">
        <v>17.8</v>
      </c>
      <c r="AP33" s="955">
        <v>17.52</v>
      </c>
      <c r="AQ33" s="1074">
        <v>17.77</v>
      </c>
    </row>
    <row r="34" spans="1:43" s="11" customFormat="1">
      <c r="A34" s="710" t="s">
        <v>110</v>
      </c>
      <c r="B34" s="722"/>
      <c r="C34" s="184" t="s">
        <v>1</v>
      </c>
      <c r="D34" s="184" t="s">
        <v>1</v>
      </c>
      <c r="E34" s="184" t="s">
        <v>1</v>
      </c>
      <c r="F34" s="184" t="s">
        <v>1</v>
      </c>
      <c r="G34" s="184" t="s">
        <v>1</v>
      </c>
      <c r="H34" s="184" t="s">
        <v>1</v>
      </c>
      <c r="I34" s="184" t="s">
        <v>1</v>
      </c>
      <c r="J34" s="184" t="s">
        <v>1</v>
      </c>
      <c r="K34" s="184" t="s">
        <v>1</v>
      </c>
      <c r="L34" s="184" t="s">
        <v>1</v>
      </c>
      <c r="M34" s="318" t="s">
        <v>1</v>
      </c>
      <c r="N34" s="318" t="s">
        <v>1</v>
      </c>
      <c r="O34" s="318">
        <v>19.489999999999998</v>
      </c>
      <c r="P34" s="318">
        <v>22.16</v>
      </c>
      <c r="Q34" s="318">
        <v>23.24</v>
      </c>
      <c r="R34" s="318">
        <v>27.01</v>
      </c>
      <c r="S34" s="318">
        <v>29.13</v>
      </c>
      <c r="T34" s="318">
        <v>36.93</v>
      </c>
      <c r="U34" s="735">
        <v>19.239999999999998</v>
      </c>
      <c r="V34" s="735">
        <v>19.09</v>
      </c>
      <c r="W34" s="735">
        <v>21.54</v>
      </c>
      <c r="X34" s="735">
        <v>22.78</v>
      </c>
      <c r="Y34" s="735">
        <v>22.18</v>
      </c>
      <c r="Z34" s="735">
        <v>20.61</v>
      </c>
      <c r="AA34" s="735">
        <v>19.5</v>
      </c>
      <c r="AB34" s="735">
        <v>18.940000000000001</v>
      </c>
      <c r="AC34" s="735">
        <v>17.63</v>
      </c>
      <c r="AD34" s="735">
        <v>17.59</v>
      </c>
      <c r="AE34" s="735">
        <v>17.7</v>
      </c>
      <c r="AF34" s="735">
        <v>16.78</v>
      </c>
      <c r="AG34" s="735">
        <v>17.309999999999999</v>
      </c>
      <c r="AH34" s="736">
        <v>15.17</v>
      </c>
      <c r="AI34" s="736">
        <v>13.79</v>
      </c>
      <c r="AJ34" s="737">
        <v>13.54</v>
      </c>
      <c r="AK34" s="895">
        <v>12.03</v>
      </c>
      <c r="AL34" s="803">
        <v>9.9700000000000006</v>
      </c>
      <c r="AM34" s="903">
        <v>9.93</v>
      </c>
      <c r="AN34" s="903">
        <v>10.38</v>
      </c>
      <c r="AO34" s="963">
        <v>10.6</v>
      </c>
      <c r="AP34" s="955">
        <v>10.36</v>
      </c>
      <c r="AQ34" s="1074">
        <v>10.6</v>
      </c>
    </row>
    <row r="35" spans="1:43" s="11" customFormat="1">
      <c r="A35" s="710" t="s">
        <v>111</v>
      </c>
      <c r="B35" s="722"/>
      <c r="C35" s="184" t="s">
        <v>1</v>
      </c>
      <c r="D35" s="184" t="s">
        <v>1</v>
      </c>
      <c r="E35" s="184" t="s">
        <v>1</v>
      </c>
      <c r="F35" s="184" t="s">
        <v>1</v>
      </c>
      <c r="G35" s="184" t="s">
        <v>1</v>
      </c>
      <c r="H35" s="184" t="s">
        <v>1</v>
      </c>
      <c r="I35" s="184" t="s">
        <v>1</v>
      </c>
      <c r="J35" s="184" t="s">
        <v>1</v>
      </c>
      <c r="K35" s="184" t="s">
        <v>1</v>
      </c>
      <c r="L35" s="184" t="s">
        <v>1</v>
      </c>
      <c r="M35" s="318" t="s">
        <v>1</v>
      </c>
      <c r="N35" s="318" t="s">
        <v>1</v>
      </c>
      <c r="O35" s="318">
        <v>15.86</v>
      </c>
      <c r="P35" s="318">
        <v>20.32</v>
      </c>
      <c r="Q35" s="318">
        <v>22.46</v>
      </c>
      <c r="R35" s="318">
        <v>22.86</v>
      </c>
      <c r="S35" s="318">
        <v>19.97</v>
      </c>
      <c r="T35" s="318">
        <v>25.74</v>
      </c>
      <c r="U35" s="735">
        <v>13.93</v>
      </c>
      <c r="V35" s="735">
        <v>13.44</v>
      </c>
      <c r="W35" s="735">
        <v>12.73</v>
      </c>
      <c r="X35" s="735">
        <v>13.8</v>
      </c>
      <c r="Y35" s="735">
        <v>15.25</v>
      </c>
      <c r="Z35" s="735">
        <v>13.82</v>
      </c>
      <c r="AA35" s="735">
        <v>13.31</v>
      </c>
      <c r="AB35" s="735">
        <v>12.71</v>
      </c>
      <c r="AC35" s="735">
        <v>12.61</v>
      </c>
      <c r="AD35" s="735">
        <v>13.29</v>
      </c>
      <c r="AE35" s="735">
        <v>12.18</v>
      </c>
      <c r="AF35" s="735">
        <v>12.42</v>
      </c>
      <c r="AG35" s="735">
        <v>12.8</v>
      </c>
      <c r="AH35" s="736">
        <v>14</v>
      </c>
      <c r="AI35" s="736">
        <v>13.4</v>
      </c>
      <c r="AJ35" s="737">
        <v>12.31</v>
      </c>
      <c r="AK35" s="895">
        <v>11.39</v>
      </c>
      <c r="AL35" s="803">
        <v>10.31</v>
      </c>
      <c r="AM35" s="903">
        <v>9.7200000000000006</v>
      </c>
      <c r="AN35" s="903">
        <v>10.35</v>
      </c>
      <c r="AO35" s="963">
        <v>10.56</v>
      </c>
      <c r="AP35" s="955">
        <v>10.36</v>
      </c>
      <c r="AQ35" s="1074">
        <v>10.44</v>
      </c>
    </row>
    <row r="36" spans="1:43" s="11" customFormat="1">
      <c r="A36" s="710" t="s">
        <v>388</v>
      </c>
      <c r="B36" s="722"/>
      <c r="C36" s="184" t="s">
        <v>1</v>
      </c>
      <c r="D36" s="184" t="s">
        <v>1</v>
      </c>
      <c r="E36" s="184" t="s">
        <v>1</v>
      </c>
      <c r="F36" s="184" t="s">
        <v>1</v>
      </c>
      <c r="G36" s="184" t="s">
        <v>1</v>
      </c>
      <c r="H36" s="184" t="s">
        <v>1</v>
      </c>
      <c r="I36" s="184" t="s">
        <v>1</v>
      </c>
      <c r="J36" s="184" t="s">
        <v>1</v>
      </c>
      <c r="K36" s="184" t="s">
        <v>1</v>
      </c>
      <c r="L36" s="184" t="s">
        <v>1</v>
      </c>
      <c r="M36" s="318" t="s">
        <v>1</v>
      </c>
      <c r="N36" s="318" t="s">
        <v>1</v>
      </c>
      <c r="O36" s="318">
        <v>19.96</v>
      </c>
      <c r="P36" s="318">
        <v>21.35</v>
      </c>
      <c r="Q36" s="318">
        <v>13.49</v>
      </c>
      <c r="R36" s="318">
        <v>12.95</v>
      </c>
      <c r="S36" s="318">
        <v>12.54</v>
      </c>
      <c r="T36" s="318">
        <v>20.98</v>
      </c>
      <c r="U36" s="735">
        <v>20.82</v>
      </c>
      <c r="V36" s="735">
        <v>19.940000000000001</v>
      </c>
      <c r="W36" s="735">
        <v>23.46</v>
      </c>
      <c r="X36" s="735">
        <v>22.38</v>
      </c>
      <c r="Y36" s="735">
        <v>21.62</v>
      </c>
      <c r="Z36" s="735">
        <v>21.03</v>
      </c>
      <c r="AA36" s="735">
        <v>21.58</v>
      </c>
      <c r="AB36" s="735">
        <v>21.06</v>
      </c>
      <c r="AC36" s="735">
        <v>19.7</v>
      </c>
      <c r="AD36" s="735">
        <v>18.53</v>
      </c>
      <c r="AE36" s="735">
        <v>18.82</v>
      </c>
      <c r="AF36" s="735">
        <v>19.350000000000001</v>
      </c>
      <c r="AG36" s="735">
        <v>18.68</v>
      </c>
      <c r="AH36" s="736">
        <v>16.3</v>
      </c>
      <c r="AI36" s="736">
        <v>15.1</v>
      </c>
      <c r="AJ36" s="737">
        <v>13.55</v>
      </c>
      <c r="AK36" s="895">
        <v>12.68</v>
      </c>
      <c r="AL36" s="803">
        <v>11.63</v>
      </c>
      <c r="AM36" s="903">
        <v>11.29</v>
      </c>
      <c r="AN36" s="903">
        <v>11.99</v>
      </c>
      <c r="AO36" s="963">
        <v>12.11</v>
      </c>
      <c r="AP36" s="955">
        <v>11.85</v>
      </c>
      <c r="AQ36" s="1074">
        <v>12.07</v>
      </c>
    </row>
    <row r="37" spans="1:43" s="11" customFormat="1">
      <c r="A37" s="710" t="s">
        <v>136</v>
      </c>
      <c r="B37" s="722"/>
      <c r="C37" s="184" t="s">
        <v>1</v>
      </c>
      <c r="D37" s="184" t="s">
        <v>1</v>
      </c>
      <c r="E37" s="184" t="s">
        <v>1</v>
      </c>
      <c r="F37" s="184" t="s">
        <v>1</v>
      </c>
      <c r="G37" s="184" t="s">
        <v>1</v>
      </c>
      <c r="H37" s="184" t="s">
        <v>1</v>
      </c>
      <c r="I37" s="184" t="s">
        <v>1</v>
      </c>
      <c r="J37" s="184" t="s">
        <v>1</v>
      </c>
      <c r="K37" s="184" t="s">
        <v>1</v>
      </c>
      <c r="L37" s="184" t="s">
        <v>1</v>
      </c>
      <c r="M37" s="318" t="s">
        <v>1</v>
      </c>
      <c r="N37" s="318" t="s">
        <v>1</v>
      </c>
      <c r="O37" s="318">
        <v>10.45</v>
      </c>
      <c r="P37" s="318">
        <v>11.02</v>
      </c>
      <c r="Q37" s="318">
        <v>25.93</v>
      </c>
      <c r="R37" s="318">
        <v>27.2</v>
      </c>
      <c r="S37" s="318">
        <v>27.61</v>
      </c>
      <c r="T37" s="318">
        <v>32.200000000000003</v>
      </c>
      <c r="U37" s="735">
        <v>17.829999999999998</v>
      </c>
      <c r="V37" s="735">
        <v>18.25</v>
      </c>
      <c r="W37" s="735">
        <v>17.87</v>
      </c>
      <c r="X37" s="735">
        <v>16.28</v>
      </c>
      <c r="Y37" s="735">
        <v>16</v>
      </c>
      <c r="Z37" s="735">
        <v>16.829999999999998</v>
      </c>
      <c r="AA37" s="735">
        <v>17.03</v>
      </c>
      <c r="AB37" s="735">
        <v>16.260000000000002</v>
      </c>
      <c r="AC37" s="735">
        <v>14.89</v>
      </c>
      <c r="AD37" s="735">
        <v>15.05</v>
      </c>
      <c r="AE37" s="735">
        <v>15.06</v>
      </c>
      <c r="AF37" s="735">
        <v>14.51</v>
      </c>
      <c r="AG37" s="735">
        <v>15.76</v>
      </c>
      <c r="AH37" s="736">
        <v>13.37</v>
      </c>
      <c r="AI37" s="736">
        <v>12.7</v>
      </c>
      <c r="AJ37" s="737">
        <v>12.35</v>
      </c>
      <c r="AK37" s="895">
        <v>10.78</v>
      </c>
      <c r="AL37" s="803">
        <v>10.119999999999999</v>
      </c>
      <c r="AM37" s="903">
        <v>9.6</v>
      </c>
      <c r="AN37" s="903">
        <v>9.74</v>
      </c>
      <c r="AO37" s="963">
        <v>9.5399999999999991</v>
      </c>
      <c r="AP37" s="955">
        <v>9.32</v>
      </c>
      <c r="AQ37" s="1074">
        <v>9.33</v>
      </c>
    </row>
    <row r="38" spans="1:43" s="11" customFormat="1">
      <c r="A38" s="710" t="s">
        <v>112</v>
      </c>
      <c r="B38" s="722"/>
      <c r="C38" s="184" t="s">
        <v>1</v>
      </c>
      <c r="D38" s="184" t="s">
        <v>1</v>
      </c>
      <c r="E38" s="184" t="s">
        <v>1</v>
      </c>
      <c r="F38" s="184" t="s">
        <v>1</v>
      </c>
      <c r="G38" s="184" t="s">
        <v>1</v>
      </c>
      <c r="H38" s="184" t="s">
        <v>1</v>
      </c>
      <c r="I38" s="184" t="s">
        <v>1</v>
      </c>
      <c r="J38" s="184" t="s">
        <v>1</v>
      </c>
      <c r="K38" s="184" t="s">
        <v>1</v>
      </c>
      <c r="L38" s="184" t="s">
        <v>1</v>
      </c>
      <c r="M38" s="318" t="s">
        <v>1</v>
      </c>
      <c r="N38" s="318" t="s">
        <v>1</v>
      </c>
      <c r="O38" s="318" t="s">
        <v>1</v>
      </c>
      <c r="P38" s="318" t="s">
        <v>1</v>
      </c>
      <c r="Q38" s="318" t="s">
        <v>1</v>
      </c>
      <c r="R38" s="318" t="s">
        <v>1</v>
      </c>
      <c r="S38" s="318" t="s">
        <v>1</v>
      </c>
      <c r="T38" s="318" t="s">
        <v>1</v>
      </c>
      <c r="U38" s="735">
        <v>14.11</v>
      </c>
      <c r="V38" s="735">
        <v>13.76</v>
      </c>
      <c r="W38" s="735">
        <v>13.12</v>
      </c>
      <c r="X38" s="735">
        <v>14.31</v>
      </c>
      <c r="Y38" s="735">
        <v>12.1</v>
      </c>
      <c r="Z38" s="735">
        <v>16.559999999999999</v>
      </c>
      <c r="AA38" s="735">
        <v>20.57</v>
      </c>
      <c r="AB38" s="735">
        <v>26.5</v>
      </c>
      <c r="AC38" s="735">
        <v>26.5</v>
      </c>
      <c r="AD38" s="735">
        <v>28.86</v>
      </c>
      <c r="AE38" s="735">
        <v>28.44</v>
      </c>
      <c r="AF38" s="735">
        <v>28.03</v>
      </c>
      <c r="AG38" s="735">
        <v>31.76</v>
      </c>
      <c r="AH38" s="736">
        <v>22.8</v>
      </c>
      <c r="AI38" s="736">
        <v>23.32</v>
      </c>
      <c r="AJ38" s="737">
        <v>22.33</v>
      </c>
      <c r="AK38" s="895">
        <v>19.920000000000002</v>
      </c>
      <c r="AL38" s="803">
        <v>16.47</v>
      </c>
      <c r="AM38" s="903">
        <v>16</v>
      </c>
      <c r="AN38" s="903">
        <v>16.86</v>
      </c>
      <c r="AO38" s="963">
        <v>17.36</v>
      </c>
      <c r="AP38" s="955">
        <v>17.3</v>
      </c>
      <c r="AQ38" s="1074">
        <v>17.7</v>
      </c>
    </row>
    <row r="39" spans="1:43" s="11" customFormat="1">
      <c r="A39" s="710" t="s">
        <v>113</v>
      </c>
      <c r="B39" s="722"/>
      <c r="C39" s="184" t="s">
        <v>1</v>
      </c>
      <c r="D39" s="184" t="s">
        <v>1</v>
      </c>
      <c r="E39" s="184" t="s">
        <v>1</v>
      </c>
      <c r="F39" s="184" t="s">
        <v>1</v>
      </c>
      <c r="G39" s="184" t="s">
        <v>1</v>
      </c>
      <c r="H39" s="184" t="s">
        <v>1</v>
      </c>
      <c r="I39" s="184" t="s">
        <v>1</v>
      </c>
      <c r="J39" s="184" t="s">
        <v>1</v>
      </c>
      <c r="K39" s="184" t="s">
        <v>1</v>
      </c>
      <c r="L39" s="184" t="s">
        <v>1</v>
      </c>
      <c r="M39" s="318" t="s">
        <v>1</v>
      </c>
      <c r="N39" s="318" t="s">
        <v>1</v>
      </c>
      <c r="O39" s="318">
        <v>11.21</v>
      </c>
      <c r="P39" s="318">
        <v>15.98</v>
      </c>
      <c r="Q39" s="318">
        <v>15.38</v>
      </c>
      <c r="R39" s="318">
        <v>16.55</v>
      </c>
      <c r="S39" s="318">
        <v>18.100000000000001</v>
      </c>
      <c r="T39" s="318">
        <v>20.51</v>
      </c>
      <c r="U39" s="735">
        <v>19.989999999999998</v>
      </c>
      <c r="V39" s="735">
        <v>19.16</v>
      </c>
      <c r="W39" s="735">
        <v>19.329999999999998</v>
      </c>
      <c r="X39" s="735">
        <v>18.55</v>
      </c>
      <c r="Y39" s="735">
        <v>17.98</v>
      </c>
      <c r="Z39" s="735">
        <v>18.52</v>
      </c>
      <c r="AA39" s="735">
        <v>19.27</v>
      </c>
      <c r="AB39" s="735">
        <v>18.190000000000001</v>
      </c>
      <c r="AC39" s="735">
        <v>17.489999999999998</v>
      </c>
      <c r="AD39" s="735">
        <v>17.63</v>
      </c>
      <c r="AE39" s="735">
        <v>18.600000000000001</v>
      </c>
      <c r="AF39" s="735">
        <v>17.899999999999999</v>
      </c>
      <c r="AG39" s="735">
        <v>18.100000000000001</v>
      </c>
      <c r="AH39" s="736">
        <v>15.88</v>
      </c>
      <c r="AI39" s="736">
        <v>15.15</v>
      </c>
      <c r="AJ39" s="737">
        <v>13.89</v>
      </c>
      <c r="AK39" s="895">
        <v>12.73</v>
      </c>
      <c r="AL39" s="803">
        <v>11.55</v>
      </c>
      <c r="AM39" s="903">
        <v>11</v>
      </c>
      <c r="AN39" s="903">
        <v>11.56</v>
      </c>
      <c r="AO39" s="963">
        <v>11.78</v>
      </c>
      <c r="AP39" s="955">
        <v>11.57</v>
      </c>
      <c r="AQ39" s="1074">
        <v>11.7</v>
      </c>
    </row>
    <row r="40" spans="1:43" s="11" customFormat="1">
      <c r="A40" s="703" t="s">
        <v>176</v>
      </c>
      <c r="B40" s="726" t="s">
        <v>183</v>
      </c>
      <c r="C40" s="184"/>
      <c r="D40" s="184"/>
      <c r="E40" s="184"/>
      <c r="F40" s="184"/>
      <c r="G40" s="184"/>
      <c r="H40" s="184"/>
      <c r="I40" s="184"/>
      <c r="J40" s="184"/>
      <c r="K40" s="184"/>
      <c r="L40" s="184"/>
      <c r="M40" s="318"/>
      <c r="N40" s="318"/>
      <c r="O40" s="318"/>
      <c r="P40" s="318"/>
      <c r="Q40" s="318"/>
      <c r="R40" s="318"/>
      <c r="S40" s="318"/>
      <c r="T40" s="318"/>
      <c r="U40" s="318"/>
      <c r="V40" s="318"/>
      <c r="W40" s="318"/>
      <c r="X40" s="318"/>
      <c r="Y40" s="318"/>
      <c r="Z40" s="318"/>
      <c r="AA40" s="318"/>
      <c r="AB40" s="173"/>
      <c r="AC40" s="738"/>
      <c r="AD40" s="173"/>
      <c r="AE40" s="9"/>
      <c r="AF40" s="9"/>
      <c r="AG40" s="9"/>
      <c r="AH40" s="709"/>
      <c r="AI40" s="2"/>
      <c r="AJ40" s="723"/>
      <c r="AK40" s="771"/>
      <c r="AL40" s="812"/>
      <c r="AM40" s="164"/>
      <c r="AN40" s="904"/>
      <c r="AO40" s="219"/>
      <c r="AP40" s="957"/>
      <c r="AQ40" s="4"/>
    </row>
    <row r="41" spans="1:43" s="11" customFormat="1">
      <c r="A41" s="703" t="s">
        <v>108</v>
      </c>
      <c r="B41" s="722"/>
      <c r="C41" s="184">
        <v>9.4</v>
      </c>
      <c r="D41" s="184">
        <v>9.6</v>
      </c>
      <c r="E41" s="184">
        <v>11.4</v>
      </c>
      <c r="F41" s="184">
        <v>11.7</v>
      </c>
      <c r="G41" s="184">
        <v>11.8</v>
      </c>
      <c r="H41" s="184">
        <v>11.3</v>
      </c>
      <c r="I41" s="184">
        <v>10.9</v>
      </c>
      <c r="J41" s="184">
        <v>10.4</v>
      </c>
      <c r="K41" s="184">
        <v>10.5</v>
      </c>
      <c r="L41" s="184">
        <v>10.8</v>
      </c>
      <c r="M41" s="318">
        <v>10.5</v>
      </c>
      <c r="N41" s="318">
        <v>10.4</v>
      </c>
      <c r="O41" s="318">
        <v>10.93</v>
      </c>
      <c r="P41" s="318">
        <v>10.9</v>
      </c>
      <c r="Q41" s="318">
        <v>11</v>
      </c>
      <c r="R41" s="318">
        <v>9.6</v>
      </c>
      <c r="S41" s="318">
        <v>9.1999999999999993</v>
      </c>
      <c r="T41" s="318">
        <v>9.1</v>
      </c>
      <c r="U41" s="739">
        <v>7.96</v>
      </c>
      <c r="V41" s="739">
        <v>8.26</v>
      </c>
      <c r="W41" s="739">
        <v>7.85</v>
      </c>
      <c r="X41" s="739">
        <v>7.56</v>
      </c>
      <c r="Y41" s="739">
        <v>7.14</v>
      </c>
      <c r="Z41" s="739">
        <v>6.81</v>
      </c>
      <c r="AA41" s="739">
        <v>6.33</v>
      </c>
      <c r="AB41" s="739">
        <v>6.28</v>
      </c>
      <c r="AC41" s="739">
        <v>6.18</v>
      </c>
      <c r="AD41" s="739">
        <v>6.35</v>
      </c>
      <c r="AE41" s="739">
        <v>6.44</v>
      </c>
      <c r="AF41" s="740">
        <v>7.38</v>
      </c>
      <c r="AG41" s="739">
        <v>9</v>
      </c>
      <c r="AH41" s="731">
        <v>5.73</v>
      </c>
      <c r="AI41" s="731">
        <v>5.43</v>
      </c>
      <c r="AJ41" s="741">
        <v>5.38</v>
      </c>
      <c r="AK41" s="895">
        <v>5.46</v>
      </c>
      <c r="AL41" s="803">
        <v>4.49</v>
      </c>
      <c r="AM41" s="903">
        <v>4.58</v>
      </c>
      <c r="AN41" s="903">
        <v>4.8</v>
      </c>
      <c r="AO41" s="963">
        <v>4.84</v>
      </c>
      <c r="AP41" s="955">
        <v>4.8899999999999997</v>
      </c>
      <c r="AQ41" s="1074">
        <v>4.99</v>
      </c>
    </row>
    <row r="42" spans="1:43" s="11" customFormat="1">
      <c r="A42" s="708" t="s">
        <v>169</v>
      </c>
      <c r="B42" s="722"/>
      <c r="C42" s="184"/>
      <c r="D42" s="184"/>
      <c r="E42" s="184"/>
      <c r="F42" s="184"/>
      <c r="G42" s="184"/>
      <c r="H42" s="184"/>
      <c r="I42" s="184"/>
      <c r="J42" s="184"/>
      <c r="K42" s="184"/>
      <c r="L42" s="184"/>
      <c r="M42" s="318"/>
      <c r="N42" s="318"/>
      <c r="O42" s="318"/>
      <c r="P42" s="318"/>
      <c r="Q42" s="318"/>
      <c r="R42" s="318"/>
      <c r="S42" s="318"/>
      <c r="T42" s="318"/>
      <c r="U42" s="197"/>
      <c r="V42" s="197"/>
      <c r="W42" s="197"/>
      <c r="X42" s="197"/>
      <c r="Y42" s="197"/>
      <c r="Z42" s="197"/>
      <c r="AA42" s="197"/>
      <c r="AB42" s="197"/>
      <c r="AC42" s="197"/>
      <c r="AD42" s="197"/>
      <c r="AE42" s="197"/>
      <c r="AF42" s="742"/>
      <c r="AG42" s="197"/>
      <c r="AH42" s="197"/>
      <c r="AI42" s="197"/>
      <c r="AK42" s="771"/>
      <c r="AL42" s="802"/>
      <c r="AM42" s="904"/>
      <c r="AN42" s="904"/>
      <c r="AO42" s="964"/>
      <c r="AP42" s="956"/>
      <c r="AQ42" s="4"/>
    </row>
    <row r="43" spans="1:43" s="11" customFormat="1">
      <c r="A43" s="710" t="s">
        <v>109</v>
      </c>
      <c r="B43" s="722"/>
      <c r="C43" s="184" t="s">
        <v>1</v>
      </c>
      <c r="D43" s="184" t="s">
        <v>1</v>
      </c>
      <c r="E43" s="184" t="s">
        <v>1</v>
      </c>
      <c r="F43" s="184" t="s">
        <v>1</v>
      </c>
      <c r="G43" s="184" t="s">
        <v>1</v>
      </c>
      <c r="H43" s="184" t="s">
        <v>1</v>
      </c>
      <c r="I43" s="184" t="s">
        <v>1</v>
      </c>
      <c r="J43" s="184" t="s">
        <v>1</v>
      </c>
      <c r="K43" s="184" t="s">
        <v>1</v>
      </c>
      <c r="L43" s="184" t="s">
        <v>1</v>
      </c>
      <c r="M43" s="318" t="s">
        <v>1</v>
      </c>
      <c r="N43" s="318" t="s">
        <v>1</v>
      </c>
      <c r="O43" s="318">
        <v>13.05</v>
      </c>
      <c r="P43" s="318">
        <v>13.37</v>
      </c>
      <c r="Q43" s="318">
        <v>12.15</v>
      </c>
      <c r="R43" s="318">
        <v>10.01</v>
      </c>
      <c r="S43" s="318">
        <v>9.82</v>
      </c>
      <c r="T43" s="318">
        <v>9.9700000000000006</v>
      </c>
      <c r="U43" s="739">
        <v>8.75</v>
      </c>
      <c r="V43" s="739">
        <v>9.26</v>
      </c>
      <c r="W43" s="739">
        <v>9.64</v>
      </c>
      <c r="X43" s="739">
        <v>9.27</v>
      </c>
      <c r="Y43" s="739">
        <v>8.7899999999999991</v>
      </c>
      <c r="Z43" s="739">
        <v>8.73</v>
      </c>
      <c r="AA43" s="739">
        <v>7.34</v>
      </c>
      <c r="AB43" s="739">
        <v>7.48</v>
      </c>
      <c r="AC43" s="739">
        <v>7.85</v>
      </c>
      <c r="AD43" s="739">
        <v>7.87</v>
      </c>
      <c r="AE43" s="739">
        <v>8.0299999999999994</v>
      </c>
      <c r="AF43" s="740">
        <v>8.89</v>
      </c>
      <c r="AG43" s="739">
        <v>12</v>
      </c>
      <c r="AH43" s="731">
        <v>6.42</v>
      </c>
      <c r="AI43" s="731">
        <v>6.14</v>
      </c>
      <c r="AJ43" s="741">
        <v>6.15</v>
      </c>
      <c r="AK43" s="895">
        <v>6.02</v>
      </c>
      <c r="AL43" s="803">
        <v>4.3899999999999997</v>
      </c>
      <c r="AM43" s="903">
        <v>4.6900000000000004</v>
      </c>
      <c r="AN43" s="903">
        <v>5.0599999999999996</v>
      </c>
      <c r="AO43" s="963">
        <v>5</v>
      </c>
      <c r="AP43" s="955">
        <v>5.07</v>
      </c>
      <c r="AQ43" s="1074">
        <v>5.25</v>
      </c>
    </row>
    <row r="44" spans="1:43" s="11" customFormat="1">
      <c r="A44" s="710" t="s">
        <v>135</v>
      </c>
      <c r="B44" s="722"/>
      <c r="C44" s="184" t="s">
        <v>1</v>
      </c>
      <c r="D44" s="184" t="s">
        <v>1</v>
      </c>
      <c r="E44" s="184" t="s">
        <v>1</v>
      </c>
      <c r="F44" s="184" t="s">
        <v>1</v>
      </c>
      <c r="G44" s="184" t="s">
        <v>1</v>
      </c>
      <c r="H44" s="184" t="s">
        <v>1</v>
      </c>
      <c r="I44" s="184" t="s">
        <v>1</v>
      </c>
      <c r="J44" s="184" t="s">
        <v>1</v>
      </c>
      <c r="K44" s="184" t="s">
        <v>1</v>
      </c>
      <c r="L44" s="184" t="s">
        <v>1</v>
      </c>
      <c r="M44" s="318" t="s">
        <v>1</v>
      </c>
      <c r="N44" s="318" t="s">
        <v>1</v>
      </c>
      <c r="O44" s="318" t="s">
        <v>1</v>
      </c>
      <c r="P44" s="318" t="s">
        <v>1</v>
      </c>
      <c r="Q44" s="318" t="s">
        <v>1</v>
      </c>
      <c r="R44" s="318" t="s">
        <v>1</v>
      </c>
      <c r="S44" s="318" t="s">
        <v>1</v>
      </c>
      <c r="T44" s="318" t="s">
        <v>1</v>
      </c>
      <c r="U44" s="739">
        <v>7.34</v>
      </c>
      <c r="V44" s="739">
        <v>7.27</v>
      </c>
      <c r="W44" s="739">
        <v>3.89</v>
      </c>
      <c r="X44" s="739">
        <v>3.18</v>
      </c>
      <c r="Y44" s="739">
        <v>3.69</v>
      </c>
      <c r="Z44" s="739">
        <v>3.83</v>
      </c>
      <c r="AA44" s="739">
        <v>3.89</v>
      </c>
      <c r="AB44" s="739">
        <v>3.91</v>
      </c>
      <c r="AC44" s="739">
        <v>3.81</v>
      </c>
      <c r="AD44" s="739">
        <v>4.1500000000000004</v>
      </c>
      <c r="AE44" s="739">
        <v>4.13</v>
      </c>
      <c r="AF44" s="740">
        <v>4.91</v>
      </c>
      <c r="AG44" s="740">
        <v>5.19</v>
      </c>
      <c r="AH44" s="731">
        <v>3.71</v>
      </c>
      <c r="AI44" s="731">
        <v>3.85</v>
      </c>
      <c r="AJ44" s="741">
        <v>3.64</v>
      </c>
      <c r="AK44" s="895">
        <v>3.8</v>
      </c>
      <c r="AL44" s="803">
        <v>3.59</v>
      </c>
      <c r="AM44" s="903">
        <v>3.48</v>
      </c>
      <c r="AN44" s="903">
        <v>3.51</v>
      </c>
      <c r="AO44" s="963">
        <v>3.46</v>
      </c>
      <c r="AP44" s="955">
        <v>3.47</v>
      </c>
      <c r="AQ44" s="1074">
        <v>3.54</v>
      </c>
    </row>
    <row r="45" spans="1:43" s="11" customFormat="1">
      <c r="A45" s="710" t="s">
        <v>110</v>
      </c>
      <c r="B45" s="722"/>
      <c r="C45" s="184" t="s">
        <v>1</v>
      </c>
      <c r="D45" s="184" t="s">
        <v>1</v>
      </c>
      <c r="E45" s="184" t="s">
        <v>1</v>
      </c>
      <c r="F45" s="184" t="s">
        <v>1</v>
      </c>
      <c r="G45" s="184" t="s">
        <v>1</v>
      </c>
      <c r="H45" s="184" t="s">
        <v>1</v>
      </c>
      <c r="I45" s="184" t="s">
        <v>1</v>
      </c>
      <c r="J45" s="184" t="s">
        <v>1</v>
      </c>
      <c r="K45" s="184" t="s">
        <v>1</v>
      </c>
      <c r="L45" s="184" t="s">
        <v>1</v>
      </c>
      <c r="M45" s="318" t="s">
        <v>1</v>
      </c>
      <c r="N45" s="318" t="s">
        <v>1</v>
      </c>
      <c r="O45" s="318">
        <v>9.94</v>
      </c>
      <c r="P45" s="318">
        <v>9.6</v>
      </c>
      <c r="Q45" s="318">
        <v>9.9700000000000006</v>
      </c>
      <c r="R45" s="318">
        <v>9.01</v>
      </c>
      <c r="S45" s="318">
        <v>8.65</v>
      </c>
      <c r="T45" s="318">
        <v>10.87</v>
      </c>
      <c r="U45" s="739">
        <v>8.2200000000000006</v>
      </c>
      <c r="V45" s="739">
        <v>8.4700000000000006</v>
      </c>
      <c r="W45" s="739">
        <v>8.3800000000000008</v>
      </c>
      <c r="X45" s="739">
        <v>8.23</v>
      </c>
      <c r="Y45" s="739">
        <v>7.83</v>
      </c>
      <c r="Z45" s="739">
        <v>7.33</v>
      </c>
      <c r="AA45" s="739">
        <v>7.25</v>
      </c>
      <c r="AB45" s="739">
        <v>6.58</v>
      </c>
      <c r="AC45" s="739">
        <v>6.6</v>
      </c>
      <c r="AD45" s="739">
        <v>6.41</v>
      </c>
      <c r="AE45" s="739">
        <v>6.74</v>
      </c>
      <c r="AF45" s="740">
        <v>7.69</v>
      </c>
      <c r="AG45" s="740">
        <v>9.25</v>
      </c>
      <c r="AH45" s="731">
        <v>5.96</v>
      </c>
      <c r="AI45" s="731">
        <v>5.71</v>
      </c>
      <c r="AJ45" s="741">
        <v>5.91</v>
      </c>
      <c r="AK45" s="895">
        <v>5.96</v>
      </c>
      <c r="AL45" s="803">
        <v>5.38</v>
      </c>
      <c r="AM45" s="903">
        <v>5.34</v>
      </c>
      <c r="AN45" s="903">
        <v>5.57</v>
      </c>
      <c r="AO45" s="963">
        <v>5.58</v>
      </c>
      <c r="AP45" s="955">
        <v>5.49</v>
      </c>
      <c r="AQ45" s="1074">
        <v>5.54</v>
      </c>
    </row>
    <row r="46" spans="1:43" s="11" customFormat="1">
      <c r="A46" s="710" t="s">
        <v>111</v>
      </c>
      <c r="B46" s="722"/>
      <c r="C46" s="184" t="s">
        <v>1</v>
      </c>
      <c r="D46" s="184" t="s">
        <v>1</v>
      </c>
      <c r="E46" s="184" t="s">
        <v>1</v>
      </c>
      <c r="F46" s="184" t="s">
        <v>1</v>
      </c>
      <c r="G46" s="184" t="s">
        <v>1</v>
      </c>
      <c r="H46" s="184" t="s">
        <v>1</v>
      </c>
      <c r="I46" s="184" t="s">
        <v>1</v>
      </c>
      <c r="J46" s="184" t="s">
        <v>1</v>
      </c>
      <c r="K46" s="184" t="s">
        <v>1</v>
      </c>
      <c r="L46" s="184" t="s">
        <v>1</v>
      </c>
      <c r="M46" s="318" t="s">
        <v>1</v>
      </c>
      <c r="N46" s="318" t="s">
        <v>1</v>
      </c>
      <c r="O46" s="318">
        <v>8.91</v>
      </c>
      <c r="P46" s="318">
        <v>8.7799999999999994</v>
      </c>
      <c r="Q46" s="318">
        <v>8.52</v>
      </c>
      <c r="R46" s="318">
        <v>7.2</v>
      </c>
      <c r="S46" s="318">
        <v>7.27</v>
      </c>
      <c r="T46" s="318">
        <v>7.68</v>
      </c>
      <c r="U46" s="739">
        <v>6.82</v>
      </c>
      <c r="V46" s="739">
        <v>7.24</v>
      </c>
      <c r="W46" s="739">
        <v>6.71</v>
      </c>
      <c r="X46" s="739">
        <v>6.38</v>
      </c>
      <c r="Y46" s="739">
        <v>6.33</v>
      </c>
      <c r="Z46" s="739">
        <v>6.04</v>
      </c>
      <c r="AA46" s="739">
        <v>5.51</v>
      </c>
      <c r="AB46" s="739">
        <v>5.64</v>
      </c>
      <c r="AC46" s="739">
        <v>5.33</v>
      </c>
      <c r="AD46" s="739">
        <v>5.85</v>
      </c>
      <c r="AE46" s="739">
        <v>5.77</v>
      </c>
      <c r="AF46" s="740">
        <v>6.38</v>
      </c>
      <c r="AG46" s="740">
        <v>8.57</v>
      </c>
      <c r="AH46" s="731">
        <v>6.48</v>
      </c>
      <c r="AI46" s="731">
        <v>5.94</v>
      </c>
      <c r="AJ46" s="741">
        <v>6.07</v>
      </c>
      <c r="AK46" s="895">
        <v>5.86</v>
      </c>
      <c r="AL46" s="803">
        <v>4.41</v>
      </c>
      <c r="AM46" s="903">
        <v>4.8499999999999996</v>
      </c>
      <c r="AN46" s="903">
        <v>5.37</v>
      </c>
      <c r="AO46" s="963">
        <v>5.47</v>
      </c>
      <c r="AP46" s="955">
        <v>5.6</v>
      </c>
      <c r="AQ46" s="1074">
        <v>5.64</v>
      </c>
    </row>
    <row r="47" spans="1:43" s="11" customFormat="1">
      <c r="A47" s="710" t="s">
        <v>388</v>
      </c>
      <c r="B47" s="722"/>
      <c r="C47" s="184" t="s">
        <v>1</v>
      </c>
      <c r="D47" s="184" t="s">
        <v>1</v>
      </c>
      <c r="E47" s="184" t="s">
        <v>1</v>
      </c>
      <c r="F47" s="184" t="s">
        <v>1</v>
      </c>
      <c r="G47" s="184" t="s">
        <v>1</v>
      </c>
      <c r="H47" s="184" t="s">
        <v>1</v>
      </c>
      <c r="I47" s="184" t="s">
        <v>1</v>
      </c>
      <c r="J47" s="184" t="s">
        <v>1</v>
      </c>
      <c r="K47" s="184" t="s">
        <v>1</v>
      </c>
      <c r="L47" s="184" t="s">
        <v>1</v>
      </c>
      <c r="M47" s="318" t="s">
        <v>1</v>
      </c>
      <c r="N47" s="318" t="s">
        <v>1</v>
      </c>
      <c r="O47" s="318">
        <v>11.51</v>
      </c>
      <c r="P47" s="318">
        <v>10.54</v>
      </c>
      <c r="Q47" s="318">
        <v>10.32</v>
      </c>
      <c r="R47" s="318">
        <v>9.1300000000000008</v>
      </c>
      <c r="S47" s="318">
        <v>8.84</v>
      </c>
      <c r="T47" s="318">
        <v>11.73</v>
      </c>
      <c r="U47" s="739">
        <v>8.82</v>
      </c>
      <c r="V47" s="739">
        <v>8.69</v>
      </c>
      <c r="W47" s="739">
        <v>9.41</v>
      </c>
      <c r="X47" s="739">
        <v>9.58</v>
      </c>
      <c r="Y47" s="739">
        <v>8.6199999999999992</v>
      </c>
      <c r="Z47" s="739">
        <v>7.87</v>
      </c>
      <c r="AA47" s="739">
        <v>7.67</v>
      </c>
      <c r="AB47" s="739">
        <v>7.03</v>
      </c>
      <c r="AC47" s="739">
        <v>6.95</v>
      </c>
      <c r="AD47" s="739">
        <v>7.3</v>
      </c>
      <c r="AE47" s="739">
        <v>7.13</v>
      </c>
      <c r="AF47" s="740">
        <v>8.39</v>
      </c>
      <c r="AG47" s="740">
        <v>9.69</v>
      </c>
      <c r="AH47" s="731">
        <v>6.32</v>
      </c>
      <c r="AI47" s="731">
        <v>6.08</v>
      </c>
      <c r="AJ47" s="741">
        <v>5.86</v>
      </c>
      <c r="AK47" s="895">
        <v>6.22</v>
      </c>
      <c r="AL47" s="803">
        <v>5.43</v>
      </c>
      <c r="AM47" s="903">
        <v>5.93</v>
      </c>
      <c r="AN47" s="903">
        <v>5.81</v>
      </c>
      <c r="AO47" s="963">
        <v>5.98</v>
      </c>
      <c r="AP47" s="955">
        <v>5.99</v>
      </c>
      <c r="AQ47" s="1074">
        <v>6.02</v>
      </c>
    </row>
    <row r="48" spans="1:43" s="11" customFormat="1">
      <c r="A48" s="710" t="s">
        <v>136</v>
      </c>
      <c r="B48" s="722"/>
      <c r="C48" s="184" t="s">
        <v>1</v>
      </c>
      <c r="D48" s="184" t="s">
        <v>1</v>
      </c>
      <c r="E48" s="184" t="s">
        <v>1</v>
      </c>
      <c r="F48" s="184" t="s">
        <v>1</v>
      </c>
      <c r="G48" s="184" t="s">
        <v>1</v>
      </c>
      <c r="H48" s="184" t="s">
        <v>1</v>
      </c>
      <c r="I48" s="184" t="s">
        <v>1</v>
      </c>
      <c r="J48" s="184" t="s">
        <v>1</v>
      </c>
      <c r="K48" s="184" t="s">
        <v>1</v>
      </c>
      <c r="L48" s="184" t="s">
        <v>1</v>
      </c>
      <c r="M48" s="318" t="s">
        <v>1</v>
      </c>
      <c r="N48" s="318" t="s">
        <v>1</v>
      </c>
      <c r="O48" s="318">
        <v>11.63</v>
      </c>
      <c r="P48" s="318">
        <v>11.62</v>
      </c>
      <c r="Q48" s="318">
        <v>12.49</v>
      </c>
      <c r="R48" s="318">
        <v>10.85</v>
      </c>
      <c r="S48" s="318">
        <v>9.4700000000000006</v>
      </c>
      <c r="T48" s="318">
        <v>8.9600000000000009</v>
      </c>
      <c r="U48" s="739">
        <v>8.34</v>
      </c>
      <c r="V48" s="739">
        <v>8.7799999999999994</v>
      </c>
      <c r="W48" s="739">
        <v>7.66</v>
      </c>
      <c r="X48" s="739">
        <v>7.69</v>
      </c>
      <c r="Y48" s="739">
        <v>6.96</v>
      </c>
      <c r="Z48" s="739">
        <v>6.56</v>
      </c>
      <c r="AA48" s="739">
        <v>5.38</v>
      </c>
      <c r="AB48" s="739">
        <v>6.55</v>
      </c>
      <c r="AC48" s="739">
        <v>6.44</v>
      </c>
      <c r="AD48" s="739">
        <v>6.13</v>
      </c>
      <c r="AE48" s="739">
        <v>6.78</v>
      </c>
      <c r="AF48" s="740">
        <v>7.91</v>
      </c>
      <c r="AG48" s="740">
        <v>9.7100000000000009</v>
      </c>
      <c r="AH48" s="731">
        <v>5.95</v>
      </c>
      <c r="AI48" s="731">
        <v>5.49</v>
      </c>
      <c r="AJ48" s="741">
        <v>5.36</v>
      </c>
      <c r="AK48" s="895">
        <v>5.59</v>
      </c>
      <c r="AL48" s="803">
        <v>4.1399999999999997</v>
      </c>
      <c r="AM48" s="903">
        <v>4.18</v>
      </c>
      <c r="AN48" s="903">
        <v>4.76</v>
      </c>
      <c r="AO48" s="963">
        <v>4.91</v>
      </c>
      <c r="AP48" s="955">
        <v>5.05</v>
      </c>
      <c r="AQ48" s="1074">
        <v>5.14</v>
      </c>
    </row>
    <row r="49" spans="1:43" s="11" customFormat="1">
      <c r="A49" s="710" t="s">
        <v>112</v>
      </c>
      <c r="B49" s="722"/>
      <c r="C49" s="184" t="s">
        <v>1</v>
      </c>
      <c r="D49" s="184" t="s">
        <v>1</v>
      </c>
      <c r="E49" s="184" t="s">
        <v>1</v>
      </c>
      <c r="F49" s="184" t="s">
        <v>1</v>
      </c>
      <c r="G49" s="184" t="s">
        <v>1</v>
      </c>
      <c r="H49" s="184" t="s">
        <v>1</v>
      </c>
      <c r="I49" s="184" t="s">
        <v>1</v>
      </c>
      <c r="J49" s="184" t="s">
        <v>1</v>
      </c>
      <c r="K49" s="184" t="s">
        <v>1</v>
      </c>
      <c r="L49" s="184" t="s">
        <v>1</v>
      </c>
      <c r="M49" s="318" t="s">
        <v>1</v>
      </c>
      <c r="N49" s="318" t="s">
        <v>1</v>
      </c>
      <c r="O49" s="318" t="s">
        <v>1</v>
      </c>
      <c r="P49" s="318" t="s">
        <v>1</v>
      </c>
      <c r="Q49" s="318" t="s">
        <v>1</v>
      </c>
      <c r="R49" s="318" t="s">
        <v>1</v>
      </c>
      <c r="S49" s="318" t="s">
        <v>1</v>
      </c>
      <c r="T49" s="318" t="s">
        <v>1</v>
      </c>
      <c r="U49" s="739">
        <v>4.29</v>
      </c>
      <c r="V49" s="739">
        <v>4.88</v>
      </c>
      <c r="W49" s="739">
        <v>4.43</v>
      </c>
      <c r="X49" s="739">
        <v>4.72</v>
      </c>
      <c r="Y49" s="739">
        <v>3.95</v>
      </c>
      <c r="Z49" s="739">
        <v>3.86</v>
      </c>
      <c r="AA49" s="739">
        <v>4.79</v>
      </c>
      <c r="AB49" s="739">
        <v>5.39</v>
      </c>
      <c r="AC49" s="739">
        <v>5.29</v>
      </c>
      <c r="AD49" s="739">
        <v>5.68</v>
      </c>
      <c r="AE49" s="739">
        <v>5.74</v>
      </c>
      <c r="AF49" s="740">
        <v>7.11</v>
      </c>
      <c r="AG49" s="740">
        <v>9.65</v>
      </c>
      <c r="AH49" s="731">
        <v>3.91</v>
      </c>
      <c r="AI49" s="731">
        <v>3.59</v>
      </c>
      <c r="AJ49" s="741">
        <v>3.44</v>
      </c>
      <c r="AK49" s="895">
        <v>3.64</v>
      </c>
      <c r="AL49" s="803">
        <v>2.92</v>
      </c>
      <c r="AM49" s="903">
        <v>3.15</v>
      </c>
      <c r="AN49" s="903">
        <v>3.19</v>
      </c>
      <c r="AO49" s="963">
        <v>3.13</v>
      </c>
      <c r="AP49" s="955">
        <v>3.35</v>
      </c>
      <c r="AQ49" s="1074">
        <v>3.4</v>
      </c>
    </row>
    <row r="50" spans="1:43" s="11" customFormat="1">
      <c r="A50" s="710" t="s">
        <v>113</v>
      </c>
      <c r="B50" s="722"/>
      <c r="C50" s="184" t="s">
        <v>1</v>
      </c>
      <c r="D50" s="184" t="s">
        <v>1</v>
      </c>
      <c r="E50" s="184" t="s">
        <v>1</v>
      </c>
      <c r="F50" s="184" t="s">
        <v>1</v>
      </c>
      <c r="G50" s="184" t="s">
        <v>1</v>
      </c>
      <c r="H50" s="184" t="s">
        <v>1</v>
      </c>
      <c r="I50" s="184" t="s">
        <v>1</v>
      </c>
      <c r="J50" s="184" t="s">
        <v>1</v>
      </c>
      <c r="K50" s="184" t="s">
        <v>1</v>
      </c>
      <c r="L50" s="184" t="s">
        <v>1</v>
      </c>
      <c r="M50" s="318" t="s">
        <v>1</v>
      </c>
      <c r="N50" s="318" t="s">
        <v>1</v>
      </c>
      <c r="O50" s="318">
        <v>12.51</v>
      </c>
      <c r="P50" s="318">
        <v>13.03</v>
      </c>
      <c r="Q50" s="318">
        <v>13.96</v>
      </c>
      <c r="R50" s="318">
        <v>12.57</v>
      </c>
      <c r="S50" s="318">
        <v>12</v>
      </c>
      <c r="T50" s="318">
        <v>12.42</v>
      </c>
      <c r="U50" s="739">
        <v>8.9600000000000009</v>
      </c>
      <c r="V50" s="739">
        <v>9.42</v>
      </c>
      <c r="W50" s="739">
        <v>10.51</v>
      </c>
      <c r="X50" s="739">
        <v>9.82</v>
      </c>
      <c r="Y50" s="739">
        <v>8.8000000000000007</v>
      </c>
      <c r="Z50" s="739">
        <v>8.31</v>
      </c>
      <c r="AA50" s="739">
        <v>7.81</v>
      </c>
      <c r="AB50" s="739">
        <v>7.44</v>
      </c>
      <c r="AC50" s="739">
        <v>7.22</v>
      </c>
      <c r="AD50" s="739">
        <v>7.78</v>
      </c>
      <c r="AE50" s="739">
        <v>7.67</v>
      </c>
      <c r="AF50" s="739">
        <v>8.9499999999999993</v>
      </c>
      <c r="AG50" s="740">
        <v>10.18</v>
      </c>
      <c r="AH50" s="731">
        <v>7.15</v>
      </c>
      <c r="AI50" s="731">
        <v>6.73</v>
      </c>
      <c r="AJ50" s="741">
        <v>6.72</v>
      </c>
      <c r="AK50" s="895">
        <v>7</v>
      </c>
      <c r="AL50" s="803">
        <v>6.01</v>
      </c>
      <c r="AM50" s="903">
        <v>5.61</v>
      </c>
      <c r="AN50" s="903">
        <v>5.67</v>
      </c>
      <c r="AO50" s="963">
        <v>5.75</v>
      </c>
      <c r="AP50" s="955">
        <v>5.81</v>
      </c>
      <c r="AQ50" s="1074">
        <v>6.17</v>
      </c>
    </row>
    <row r="51" spans="1:43" s="11" customFormat="1">
      <c r="A51" s="703" t="s">
        <v>177</v>
      </c>
      <c r="B51" s="726" t="s">
        <v>183</v>
      </c>
      <c r="C51" s="184"/>
      <c r="D51" s="184"/>
      <c r="E51" s="184"/>
      <c r="F51" s="184"/>
      <c r="G51" s="184"/>
      <c r="H51" s="184"/>
      <c r="I51" s="184"/>
      <c r="J51" s="184"/>
      <c r="K51" s="184"/>
      <c r="L51" s="184"/>
      <c r="M51" s="318"/>
      <c r="N51" s="318"/>
      <c r="O51" s="318"/>
      <c r="P51" s="318"/>
      <c r="Q51" s="318"/>
      <c r="R51" s="318"/>
      <c r="S51" s="318"/>
      <c r="T51" s="318"/>
      <c r="U51" s="318"/>
      <c r="V51" s="318"/>
      <c r="W51" s="318"/>
      <c r="X51" s="318"/>
      <c r="Y51" s="318"/>
      <c r="Z51" s="318"/>
      <c r="AA51" s="318"/>
      <c r="AB51" s="173"/>
      <c r="AC51" s="738"/>
      <c r="AD51" s="173"/>
      <c r="AE51" s="428"/>
      <c r="AF51" s="9"/>
      <c r="AG51" s="9"/>
      <c r="AH51" s="709"/>
      <c r="AI51" s="2"/>
      <c r="AJ51" s="723"/>
      <c r="AK51" s="771"/>
      <c r="AL51" s="812"/>
      <c r="AM51" s="164"/>
      <c r="AN51" s="904"/>
      <c r="AO51" s="964"/>
      <c r="AP51" s="956"/>
      <c r="AQ51" s="4"/>
    </row>
    <row r="52" spans="1:43" s="11" customFormat="1">
      <c r="A52" s="703" t="s">
        <v>108</v>
      </c>
      <c r="B52" s="722"/>
      <c r="C52" s="184">
        <v>22</v>
      </c>
      <c r="D52" s="184">
        <v>17.899999999999999</v>
      </c>
      <c r="E52" s="184">
        <v>19.7</v>
      </c>
      <c r="F52" s="184">
        <v>17.3</v>
      </c>
      <c r="G52" s="184">
        <v>19.7</v>
      </c>
      <c r="H52" s="184">
        <v>22.1</v>
      </c>
      <c r="I52" s="184">
        <v>22.1</v>
      </c>
      <c r="J52" s="184">
        <v>16.7</v>
      </c>
      <c r="K52" s="184">
        <v>15.9</v>
      </c>
      <c r="L52" s="184">
        <v>13.6</v>
      </c>
      <c r="M52" s="318">
        <v>15.2</v>
      </c>
      <c r="N52" s="318">
        <v>16.899999999999999</v>
      </c>
      <c r="O52" s="318">
        <v>14.8</v>
      </c>
      <c r="P52" s="318">
        <v>12.9</v>
      </c>
      <c r="Q52" s="318">
        <v>14.3</v>
      </c>
      <c r="R52" s="318">
        <v>11.8</v>
      </c>
      <c r="S52" s="318">
        <v>13.2</v>
      </c>
      <c r="T52" s="318">
        <v>19.100000000000001</v>
      </c>
      <c r="U52" s="739">
        <v>16.32</v>
      </c>
      <c r="V52" s="739">
        <v>15.47</v>
      </c>
      <c r="W52" s="739">
        <v>16.850000000000001</v>
      </c>
      <c r="X52" s="739">
        <v>12.5</v>
      </c>
      <c r="Y52" s="739">
        <v>10.35</v>
      </c>
      <c r="Z52" s="739">
        <v>8.2799999999999994</v>
      </c>
      <c r="AA52" s="739">
        <v>9.02</v>
      </c>
      <c r="AB52" s="739">
        <v>7.61</v>
      </c>
      <c r="AC52" s="739">
        <v>7.04</v>
      </c>
      <c r="AD52" s="739">
        <v>8.24</v>
      </c>
      <c r="AE52" s="739">
        <v>7.91</v>
      </c>
      <c r="AF52" s="739">
        <v>7.54</v>
      </c>
      <c r="AG52" s="739">
        <v>10.41</v>
      </c>
      <c r="AH52" s="731">
        <v>5.03</v>
      </c>
      <c r="AI52" s="731">
        <v>5.99</v>
      </c>
      <c r="AJ52" s="741">
        <v>5.41</v>
      </c>
      <c r="AK52" s="895">
        <v>4.84</v>
      </c>
      <c r="AL52" s="803">
        <v>4.8600000000000003</v>
      </c>
      <c r="AM52" s="903">
        <v>4.38</v>
      </c>
      <c r="AN52" s="903">
        <v>4.8600000000000003</v>
      </c>
      <c r="AO52" s="963">
        <v>5.55</v>
      </c>
      <c r="AP52" s="955">
        <v>5.49</v>
      </c>
      <c r="AQ52" s="1074">
        <v>5.61</v>
      </c>
    </row>
    <row r="53" spans="1:43" s="11" customFormat="1">
      <c r="A53" s="708" t="s">
        <v>169</v>
      </c>
      <c r="B53" s="722"/>
      <c r="C53" s="184"/>
      <c r="D53" s="184"/>
      <c r="E53" s="184"/>
      <c r="F53" s="184"/>
      <c r="G53" s="184"/>
      <c r="H53" s="184"/>
      <c r="I53" s="184"/>
      <c r="J53" s="184"/>
      <c r="K53" s="184"/>
      <c r="L53" s="184"/>
      <c r="M53" s="318"/>
      <c r="N53" s="318"/>
      <c r="O53" s="318"/>
      <c r="P53" s="318"/>
      <c r="Q53" s="318"/>
      <c r="R53" s="318"/>
      <c r="S53" s="318"/>
      <c r="T53" s="318"/>
      <c r="AK53" s="771"/>
      <c r="AL53" s="802"/>
      <c r="AM53" s="904"/>
      <c r="AN53" s="904"/>
      <c r="AO53" s="964"/>
      <c r="AP53" s="956"/>
      <c r="AQ53" s="4"/>
    </row>
    <row r="54" spans="1:43" s="11" customFormat="1">
      <c r="A54" s="710" t="s">
        <v>109</v>
      </c>
      <c r="B54" s="722"/>
      <c r="C54" s="184" t="s">
        <v>1</v>
      </c>
      <c r="D54" s="184" t="s">
        <v>1</v>
      </c>
      <c r="E54" s="184" t="s">
        <v>1</v>
      </c>
      <c r="F54" s="184" t="s">
        <v>1</v>
      </c>
      <c r="G54" s="184" t="s">
        <v>1</v>
      </c>
      <c r="H54" s="184" t="s">
        <v>1</v>
      </c>
      <c r="I54" s="184" t="s">
        <v>1</v>
      </c>
      <c r="J54" s="184" t="s">
        <v>1</v>
      </c>
      <c r="K54" s="184" t="s">
        <v>1</v>
      </c>
      <c r="L54" s="184" t="s">
        <v>1</v>
      </c>
      <c r="M54" s="318" t="s">
        <v>1</v>
      </c>
      <c r="N54" s="318" t="s">
        <v>1</v>
      </c>
      <c r="O54" s="318" t="s">
        <v>1</v>
      </c>
      <c r="P54" s="318" t="s">
        <v>1</v>
      </c>
      <c r="Q54" s="318" t="s">
        <v>1</v>
      </c>
      <c r="R54" s="318" t="s">
        <v>1</v>
      </c>
      <c r="S54" s="318" t="s">
        <v>1</v>
      </c>
      <c r="T54" s="318" t="s">
        <v>1</v>
      </c>
      <c r="U54" s="739">
        <v>16.38</v>
      </c>
      <c r="V54" s="739">
        <v>15.7</v>
      </c>
      <c r="W54" s="739">
        <v>13.73</v>
      </c>
      <c r="X54" s="739">
        <v>11.96</v>
      </c>
      <c r="Y54" s="739">
        <v>11.8</v>
      </c>
      <c r="Z54" s="739">
        <v>7.78</v>
      </c>
      <c r="AA54" s="739">
        <v>3.18</v>
      </c>
      <c r="AB54" s="739">
        <v>6.56</v>
      </c>
      <c r="AC54" s="739">
        <v>6.97</v>
      </c>
      <c r="AD54" s="739">
        <v>8.1199999999999992</v>
      </c>
      <c r="AE54" s="739">
        <v>5.97</v>
      </c>
      <c r="AF54" s="739">
        <v>5.66</v>
      </c>
      <c r="AG54" s="739">
        <v>7.39</v>
      </c>
      <c r="AH54" s="731">
        <v>2.73</v>
      </c>
      <c r="AI54" s="731">
        <v>7.05</v>
      </c>
      <c r="AJ54" s="741">
        <v>4.62</v>
      </c>
      <c r="AK54" s="895">
        <v>3.87</v>
      </c>
      <c r="AL54" s="803">
        <v>4.55</v>
      </c>
      <c r="AM54" s="903">
        <v>2.5299999999999998</v>
      </c>
      <c r="AN54" s="903">
        <v>4.72</v>
      </c>
      <c r="AO54" s="963">
        <v>4.67</v>
      </c>
      <c r="AP54" s="955">
        <v>3.81</v>
      </c>
      <c r="AQ54" s="1074">
        <v>3.94</v>
      </c>
    </row>
    <row r="55" spans="1:43" s="11" customFormat="1">
      <c r="A55" s="710" t="s">
        <v>135</v>
      </c>
      <c r="B55" s="722"/>
      <c r="C55" s="184" t="s">
        <v>1</v>
      </c>
      <c r="D55" s="184" t="s">
        <v>1</v>
      </c>
      <c r="E55" s="184" t="s">
        <v>1</v>
      </c>
      <c r="F55" s="184" t="s">
        <v>1</v>
      </c>
      <c r="G55" s="184" t="s">
        <v>1</v>
      </c>
      <c r="H55" s="184" t="s">
        <v>1</v>
      </c>
      <c r="I55" s="184" t="s">
        <v>1</v>
      </c>
      <c r="J55" s="184" t="s">
        <v>1</v>
      </c>
      <c r="K55" s="184" t="s">
        <v>1</v>
      </c>
      <c r="L55" s="184" t="s">
        <v>1</v>
      </c>
      <c r="M55" s="318" t="s">
        <v>1</v>
      </c>
      <c r="N55" s="318" t="s">
        <v>1</v>
      </c>
      <c r="O55" s="318" t="s">
        <v>1</v>
      </c>
      <c r="P55" s="318" t="s">
        <v>1</v>
      </c>
      <c r="Q55" s="318" t="s">
        <v>1</v>
      </c>
      <c r="R55" s="318" t="s">
        <v>1</v>
      </c>
      <c r="S55" s="318" t="s">
        <v>1</v>
      </c>
      <c r="T55" s="318" t="s">
        <v>1</v>
      </c>
      <c r="U55" s="739">
        <v>44.97</v>
      </c>
      <c r="V55" s="739">
        <v>14.27</v>
      </c>
      <c r="W55" s="739">
        <v>39.71</v>
      </c>
      <c r="X55" s="739">
        <v>15.39</v>
      </c>
      <c r="Y55" s="739">
        <v>10.29</v>
      </c>
      <c r="Z55" s="739">
        <v>7.2</v>
      </c>
      <c r="AA55" s="739">
        <v>5.37</v>
      </c>
      <c r="AB55" s="739">
        <v>7.67</v>
      </c>
      <c r="AC55" s="739">
        <v>7.61</v>
      </c>
      <c r="AD55" s="739">
        <v>8.16</v>
      </c>
      <c r="AE55" s="739">
        <v>6.09</v>
      </c>
      <c r="AF55" s="739">
        <v>4.87</v>
      </c>
      <c r="AG55" s="739">
        <v>2.0699999999999998</v>
      </c>
      <c r="AH55" s="731">
        <v>4.32</v>
      </c>
      <c r="AI55" s="731">
        <v>5.71</v>
      </c>
      <c r="AJ55" s="741">
        <v>5.78</v>
      </c>
      <c r="AK55" s="895">
        <v>4.26</v>
      </c>
      <c r="AL55" s="803">
        <v>1.62</v>
      </c>
      <c r="AM55" s="903">
        <v>2.5499999999999998</v>
      </c>
      <c r="AN55" s="903">
        <v>5.65</v>
      </c>
      <c r="AO55" s="963">
        <v>7.19</v>
      </c>
      <c r="AP55" s="955">
        <v>6.15</v>
      </c>
      <c r="AQ55" s="1074">
        <v>5.34</v>
      </c>
    </row>
    <row r="56" spans="1:43" s="11" customFormat="1">
      <c r="A56" s="710" t="s">
        <v>110</v>
      </c>
      <c r="B56" s="722"/>
      <c r="C56" s="184" t="s">
        <v>1</v>
      </c>
      <c r="D56" s="184" t="s">
        <v>1</v>
      </c>
      <c r="E56" s="184" t="s">
        <v>1</v>
      </c>
      <c r="F56" s="184" t="s">
        <v>1</v>
      </c>
      <c r="G56" s="184" t="s">
        <v>1</v>
      </c>
      <c r="H56" s="184" t="s">
        <v>1</v>
      </c>
      <c r="I56" s="184" t="s">
        <v>1</v>
      </c>
      <c r="J56" s="184" t="s">
        <v>1</v>
      </c>
      <c r="K56" s="184" t="s">
        <v>1</v>
      </c>
      <c r="L56" s="184" t="s">
        <v>1</v>
      </c>
      <c r="M56" s="318" t="s">
        <v>1</v>
      </c>
      <c r="N56" s="318" t="s">
        <v>1</v>
      </c>
      <c r="O56" s="318" t="s">
        <v>1</v>
      </c>
      <c r="P56" s="318" t="s">
        <v>1</v>
      </c>
      <c r="Q56" s="318" t="s">
        <v>1</v>
      </c>
      <c r="R56" s="318" t="s">
        <v>1</v>
      </c>
      <c r="S56" s="318" t="s">
        <v>1</v>
      </c>
      <c r="T56" s="318" t="s">
        <v>1</v>
      </c>
      <c r="U56" s="739">
        <v>20.59</v>
      </c>
      <c r="V56" s="739">
        <v>18.059999999999999</v>
      </c>
      <c r="W56" s="739">
        <v>14.82</v>
      </c>
      <c r="X56" s="739">
        <v>12.11</v>
      </c>
      <c r="Y56" s="739">
        <v>12.15</v>
      </c>
      <c r="Z56" s="739">
        <v>8.0299999999999994</v>
      </c>
      <c r="AA56" s="739">
        <v>11.52</v>
      </c>
      <c r="AB56" s="739">
        <v>9.1</v>
      </c>
      <c r="AC56" s="739">
        <v>7.9</v>
      </c>
      <c r="AD56" s="739">
        <v>10.28</v>
      </c>
      <c r="AE56" s="739">
        <v>8.5299999999999994</v>
      </c>
      <c r="AF56" s="739">
        <v>6.01</v>
      </c>
      <c r="AG56" s="739">
        <v>22.28</v>
      </c>
      <c r="AH56" s="731">
        <v>5.47</v>
      </c>
      <c r="AI56" s="731">
        <v>5.04</v>
      </c>
      <c r="AJ56" s="741">
        <v>4.93</v>
      </c>
      <c r="AK56" s="895">
        <v>7.4</v>
      </c>
      <c r="AL56" s="803">
        <v>9.8000000000000007</v>
      </c>
      <c r="AM56" s="903">
        <v>6.9</v>
      </c>
      <c r="AN56" s="903">
        <v>5.41</v>
      </c>
      <c r="AO56" s="963">
        <v>4.7699999999999996</v>
      </c>
      <c r="AP56" s="955">
        <v>5.81</v>
      </c>
      <c r="AQ56" s="1074">
        <v>6.32</v>
      </c>
    </row>
    <row r="57" spans="1:43" s="11" customFormat="1">
      <c r="A57" s="710" t="s">
        <v>111</v>
      </c>
      <c r="B57" s="722"/>
      <c r="C57" s="184" t="s">
        <v>1</v>
      </c>
      <c r="D57" s="184" t="s">
        <v>1</v>
      </c>
      <c r="E57" s="184" t="s">
        <v>1</v>
      </c>
      <c r="F57" s="184" t="s">
        <v>1</v>
      </c>
      <c r="G57" s="184" t="s">
        <v>1</v>
      </c>
      <c r="H57" s="184" t="s">
        <v>1</v>
      </c>
      <c r="I57" s="184" t="s">
        <v>1</v>
      </c>
      <c r="J57" s="184" t="s">
        <v>1</v>
      </c>
      <c r="K57" s="184" t="s">
        <v>1</v>
      </c>
      <c r="L57" s="184" t="s">
        <v>1</v>
      </c>
      <c r="M57" s="318" t="s">
        <v>1</v>
      </c>
      <c r="N57" s="318" t="s">
        <v>1</v>
      </c>
      <c r="O57" s="318" t="s">
        <v>1</v>
      </c>
      <c r="P57" s="318" t="s">
        <v>1</v>
      </c>
      <c r="Q57" s="318" t="s">
        <v>1</v>
      </c>
      <c r="R57" s="318" t="s">
        <v>1</v>
      </c>
      <c r="S57" s="318" t="s">
        <v>1</v>
      </c>
      <c r="T57" s="318" t="s">
        <v>1</v>
      </c>
      <c r="U57" s="739">
        <v>20.07</v>
      </c>
      <c r="V57" s="739">
        <v>14</v>
      </c>
      <c r="W57" s="739">
        <v>15.55</v>
      </c>
      <c r="X57" s="739">
        <v>12.32</v>
      </c>
      <c r="Y57" s="739">
        <v>11.57</v>
      </c>
      <c r="Z57" s="739">
        <v>13.08</v>
      </c>
      <c r="AA57" s="739">
        <v>17.649999999999999</v>
      </c>
      <c r="AB57" s="739">
        <v>9.9600000000000009</v>
      </c>
      <c r="AC57" s="739">
        <v>4.9800000000000004</v>
      </c>
      <c r="AD57" s="739">
        <v>6.89</v>
      </c>
      <c r="AE57" s="739">
        <v>9.15</v>
      </c>
      <c r="AF57" s="739">
        <v>12.53</v>
      </c>
      <c r="AG57" s="739">
        <v>26.04</v>
      </c>
      <c r="AH57" s="731">
        <v>7.46</v>
      </c>
      <c r="AI57" s="731">
        <v>8.5</v>
      </c>
      <c r="AJ57" s="741">
        <v>3.9</v>
      </c>
      <c r="AK57" s="895">
        <v>3.56</v>
      </c>
      <c r="AL57" s="803">
        <v>6.54</v>
      </c>
      <c r="AM57" s="903">
        <v>9.11</v>
      </c>
      <c r="AN57" s="903">
        <v>10.09</v>
      </c>
      <c r="AO57" s="963">
        <v>9.07</v>
      </c>
      <c r="AP57" s="955">
        <v>8.68</v>
      </c>
      <c r="AQ57" s="1074">
        <v>9.4</v>
      </c>
    </row>
    <row r="58" spans="1:43" s="11" customFormat="1">
      <c r="A58" s="710" t="s">
        <v>388</v>
      </c>
      <c r="B58" s="722"/>
      <c r="C58" s="184" t="s">
        <v>1</v>
      </c>
      <c r="D58" s="184" t="s">
        <v>1</v>
      </c>
      <c r="E58" s="184" t="s">
        <v>1</v>
      </c>
      <c r="F58" s="184" t="s">
        <v>1</v>
      </c>
      <c r="G58" s="184" t="s">
        <v>1</v>
      </c>
      <c r="H58" s="184" t="s">
        <v>1</v>
      </c>
      <c r="I58" s="184" t="s">
        <v>1</v>
      </c>
      <c r="J58" s="184" t="s">
        <v>1</v>
      </c>
      <c r="K58" s="184" t="s">
        <v>1</v>
      </c>
      <c r="L58" s="184" t="s">
        <v>1</v>
      </c>
      <c r="M58" s="318" t="s">
        <v>1</v>
      </c>
      <c r="N58" s="318" t="s">
        <v>1</v>
      </c>
      <c r="O58" s="318" t="s">
        <v>1</v>
      </c>
      <c r="P58" s="318" t="s">
        <v>1</v>
      </c>
      <c r="Q58" s="318" t="s">
        <v>1</v>
      </c>
      <c r="R58" s="318" t="s">
        <v>1</v>
      </c>
      <c r="S58" s="318" t="s">
        <v>1</v>
      </c>
      <c r="T58" s="318" t="s">
        <v>1</v>
      </c>
      <c r="U58" s="739">
        <v>15.49</v>
      </c>
      <c r="V58" s="739">
        <v>16.73</v>
      </c>
      <c r="W58" s="739">
        <v>17.41</v>
      </c>
      <c r="X58" s="739">
        <v>13.06</v>
      </c>
      <c r="Y58" s="739">
        <v>8.64</v>
      </c>
      <c r="Z58" s="739">
        <v>6.66</v>
      </c>
      <c r="AA58" s="739">
        <v>6.44</v>
      </c>
      <c r="AB58" s="739">
        <v>6.2</v>
      </c>
      <c r="AC58" s="739">
        <v>6.17</v>
      </c>
      <c r="AD58" s="739">
        <v>6.48</v>
      </c>
      <c r="AE58" s="739">
        <v>8.2200000000000006</v>
      </c>
      <c r="AF58" s="739">
        <v>5.14</v>
      </c>
      <c r="AG58" s="739">
        <v>3.68</v>
      </c>
      <c r="AH58" s="731">
        <v>3.77</v>
      </c>
      <c r="AI58" s="731">
        <v>5.96</v>
      </c>
      <c r="AJ58" s="741">
        <v>5.05</v>
      </c>
      <c r="AK58" s="895">
        <v>5.01</v>
      </c>
      <c r="AL58" s="803">
        <v>10.15</v>
      </c>
      <c r="AM58" s="903">
        <v>5.49</v>
      </c>
      <c r="AN58" s="903">
        <v>3.39</v>
      </c>
      <c r="AO58" s="963">
        <v>7.56</v>
      </c>
      <c r="AP58" s="955">
        <v>6.13</v>
      </c>
      <c r="AQ58" s="1074">
        <v>5.03</v>
      </c>
    </row>
    <row r="59" spans="1:43" s="11" customFormat="1">
      <c r="A59" s="710" t="s">
        <v>136</v>
      </c>
      <c r="B59" s="722"/>
      <c r="C59" s="184" t="s">
        <v>1</v>
      </c>
      <c r="D59" s="184" t="s">
        <v>1</v>
      </c>
      <c r="E59" s="184" t="s">
        <v>1</v>
      </c>
      <c r="F59" s="184" t="s">
        <v>1</v>
      </c>
      <c r="G59" s="184" t="s">
        <v>1</v>
      </c>
      <c r="H59" s="184" t="s">
        <v>1</v>
      </c>
      <c r="I59" s="184" t="s">
        <v>1</v>
      </c>
      <c r="J59" s="184" t="s">
        <v>1</v>
      </c>
      <c r="K59" s="184" t="s">
        <v>1</v>
      </c>
      <c r="L59" s="184" t="s">
        <v>1</v>
      </c>
      <c r="M59" s="318" t="s">
        <v>1</v>
      </c>
      <c r="N59" s="318" t="s">
        <v>1</v>
      </c>
      <c r="O59" s="318" t="s">
        <v>1</v>
      </c>
      <c r="P59" s="318" t="s">
        <v>1</v>
      </c>
      <c r="Q59" s="318" t="s">
        <v>1</v>
      </c>
      <c r="R59" s="318" t="s">
        <v>1</v>
      </c>
      <c r="S59" s="318" t="s">
        <v>1</v>
      </c>
      <c r="T59" s="318" t="s">
        <v>1</v>
      </c>
      <c r="U59" s="739">
        <v>13.28</v>
      </c>
      <c r="V59" s="739">
        <v>17.04</v>
      </c>
      <c r="W59" s="739">
        <v>18.21</v>
      </c>
      <c r="X59" s="739">
        <v>15.9</v>
      </c>
      <c r="Y59" s="739">
        <v>8.99</v>
      </c>
      <c r="Z59" s="739">
        <v>6.43</v>
      </c>
      <c r="AA59" s="739">
        <v>9.83</v>
      </c>
      <c r="AB59" s="739">
        <v>7.44</v>
      </c>
      <c r="AC59" s="739">
        <v>6.24</v>
      </c>
      <c r="AD59" s="739">
        <v>7.39</v>
      </c>
      <c r="AE59" s="739">
        <v>8.7899999999999991</v>
      </c>
      <c r="AF59" s="739">
        <v>12.41</v>
      </c>
      <c r="AG59" s="739">
        <v>12.44</v>
      </c>
      <c r="AH59" s="731">
        <v>4.3099999999999996</v>
      </c>
      <c r="AI59" s="731">
        <v>4.49</v>
      </c>
      <c r="AJ59" s="741">
        <v>8.43</v>
      </c>
      <c r="AK59" s="895">
        <v>5.04</v>
      </c>
      <c r="AL59" s="803" t="s">
        <v>1</v>
      </c>
      <c r="AM59" s="903" t="s">
        <v>1</v>
      </c>
      <c r="AN59" s="903" t="s">
        <v>1</v>
      </c>
      <c r="AO59" s="963" t="s">
        <v>1</v>
      </c>
      <c r="AP59" s="955" t="s">
        <v>1</v>
      </c>
      <c r="AQ59" s="1074">
        <v>0.85</v>
      </c>
    </row>
    <row r="60" spans="1:43" s="11" customFormat="1">
      <c r="A60" s="710" t="s">
        <v>112</v>
      </c>
      <c r="B60" s="722"/>
      <c r="C60" s="184" t="s">
        <v>1</v>
      </c>
      <c r="D60" s="184" t="s">
        <v>1</v>
      </c>
      <c r="E60" s="184" t="s">
        <v>1</v>
      </c>
      <c r="F60" s="184" t="s">
        <v>1</v>
      </c>
      <c r="G60" s="184" t="s">
        <v>1</v>
      </c>
      <c r="H60" s="184" t="s">
        <v>1</v>
      </c>
      <c r="I60" s="184" t="s">
        <v>1</v>
      </c>
      <c r="J60" s="184" t="s">
        <v>1</v>
      </c>
      <c r="K60" s="184" t="s">
        <v>1</v>
      </c>
      <c r="L60" s="184" t="s">
        <v>1</v>
      </c>
      <c r="M60" s="318" t="s">
        <v>1</v>
      </c>
      <c r="N60" s="318" t="s">
        <v>1</v>
      </c>
      <c r="O60" s="318" t="s">
        <v>1</v>
      </c>
      <c r="P60" s="318" t="s">
        <v>1</v>
      </c>
      <c r="Q60" s="318" t="s">
        <v>1</v>
      </c>
      <c r="R60" s="318" t="s">
        <v>1</v>
      </c>
      <c r="S60" s="318" t="s">
        <v>1</v>
      </c>
      <c r="T60" s="318" t="s">
        <v>1</v>
      </c>
      <c r="U60" s="739">
        <v>12.72</v>
      </c>
      <c r="V60" s="739">
        <v>11.33</v>
      </c>
      <c r="W60" s="739">
        <v>11.5</v>
      </c>
      <c r="X60" s="739">
        <v>13.06</v>
      </c>
      <c r="Y60" s="739">
        <v>6.42</v>
      </c>
      <c r="Z60" s="739">
        <v>7.57</v>
      </c>
      <c r="AA60" s="739">
        <v>6.2</v>
      </c>
      <c r="AB60" s="739">
        <v>8.06</v>
      </c>
      <c r="AC60" s="739">
        <v>10.4</v>
      </c>
      <c r="AD60" s="739">
        <v>10.58</v>
      </c>
      <c r="AE60" s="739">
        <v>8.65</v>
      </c>
      <c r="AF60" s="739">
        <v>10.8</v>
      </c>
      <c r="AG60" s="739">
        <v>3.59</v>
      </c>
      <c r="AH60" s="731">
        <v>5.82</v>
      </c>
      <c r="AI60" s="731">
        <v>4.29</v>
      </c>
      <c r="AJ60" s="741">
        <v>5.19</v>
      </c>
      <c r="AK60" s="895">
        <v>4.54</v>
      </c>
      <c r="AL60" s="803">
        <v>5.92</v>
      </c>
      <c r="AM60" s="903">
        <v>4.8</v>
      </c>
      <c r="AN60" s="903">
        <v>3.98</v>
      </c>
      <c r="AO60" s="963">
        <v>4.3499999999999996</v>
      </c>
      <c r="AP60" s="955">
        <v>6.94</v>
      </c>
      <c r="AQ60" s="1074">
        <v>7.54</v>
      </c>
    </row>
    <row r="61" spans="1:43" s="11" customFormat="1">
      <c r="A61" s="710" t="s">
        <v>113</v>
      </c>
      <c r="B61" s="722"/>
      <c r="C61" s="184" t="s">
        <v>1</v>
      </c>
      <c r="D61" s="184" t="s">
        <v>1</v>
      </c>
      <c r="E61" s="184" t="s">
        <v>1</v>
      </c>
      <c r="F61" s="184" t="s">
        <v>1</v>
      </c>
      <c r="G61" s="184" t="s">
        <v>1</v>
      </c>
      <c r="H61" s="184" t="s">
        <v>1</v>
      </c>
      <c r="I61" s="184" t="s">
        <v>1</v>
      </c>
      <c r="J61" s="184" t="s">
        <v>1</v>
      </c>
      <c r="K61" s="184" t="s">
        <v>1</v>
      </c>
      <c r="L61" s="184" t="s">
        <v>1</v>
      </c>
      <c r="M61" s="318" t="s">
        <v>1</v>
      </c>
      <c r="N61" s="318" t="s">
        <v>1</v>
      </c>
      <c r="O61" s="318" t="s">
        <v>1</v>
      </c>
      <c r="P61" s="318" t="s">
        <v>1</v>
      </c>
      <c r="Q61" s="318" t="s">
        <v>1</v>
      </c>
      <c r="R61" s="318" t="s">
        <v>1</v>
      </c>
      <c r="S61" s="318" t="s">
        <v>1</v>
      </c>
      <c r="T61" s="318" t="s">
        <v>1</v>
      </c>
      <c r="U61" s="739">
        <v>10.3</v>
      </c>
      <c r="V61" s="739">
        <v>12.7</v>
      </c>
      <c r="W61" s="739">
        <v>13.4</v>
      </c>
      <c r="X61" s="739">
        <v>9.02</v>
      </c>
      <c r="Y61" s="739">
        <v>7.45</v>
      </c>
      <c r="Z61" s="739">
        <v>7.86</v>
      </c>
      <c r="AA61" s="739">
        <v>8.06</v>
      </c>
      <c r="AB61" s="739">
        <v>4.97</v>
      </c>
      <c r="AC61" s="739">
        <v>7.05</v>
      </c>
      <c r="AD61" s="739">
        <v>7.58</v>
      </c>
      <c r="AE61" s="739">
        <v>9.09</v>
      </c>
      <c r="AF61" s="739">
        <v>7.1</v>
      </c>
      <c r="AG61" s="739">
        <v>5.64</v>
      </c>
      <c r="AH61" s="731">
        <v>5.91</v>
      </c>
      <c r="AI61" s="731">
        <v>7.2</v>
      </c>
      <c r="AJ61" s="741">
        <v>5.64</v>
      </c>
      <c r="AK61" s="895">
        <v>5.24</v>
      </c>
      <c r="AL61" s="803">
        <v>3.75</v>
      </c>
      <c r="AM61" s="903">
        <v>4.13</v>
      </c>
      <c r="AN61" s="903">
        <v>2.58</v>
      </c>
      <c r="AO61" s="963">
        <v>3.79</v>
      </c>
      <c r="AP61" s="955">
        <v>3.07</v>
      </c>
      <c r="AQ61" s="1074">
        <v>3.8</v>
      </c>
    </row>
    <row r="62" spans="1:43" s="11" customFormat="1" ht="15">
      <c r="A62" s="703" t="s">
        <v>402</v>
      </c>
      <c r="B62" s="726" t="s">
        <v>183</v>
      </c>
      <c r="C62" s="184">
        <v>79.599999999999994</v>
      </c>
      <c r="D62" s="184">
        <v>108.3</v>
      </c>
      <c r="E62" s="184">
        <v>49.8</v>
      </c>
      <c r="F62" s="184">
        <v>80.3</v>
      </c>
      <c r="G62" s="184">
        <v>99.8</v>
      </c>
      <c r="H62" s="184">
        <v>134</v>
      </c>
      <c r="I62" s="184">
        <v>141</v>
      </c>
      <c r="J62" s="184">
        <v>53.9</v>
      </c>
      <c r="K62" s="184">
        <v>24.6</v>
      </c>
      <c r="L62" s="184">
        <v>66.400000000000006</v>
      </c>
      <c r="M62" s="318">
        <v>27.6</v>
      </c>
      <c r="N62" s="318">
        <v>64.8</v>
      </c>
      <c r="O62" s="318">
        <v>28.3</v>
      </c>
      <c r="P62" s="318">
        <v>25</v>
      </c>
      <c r="Q62" s="318">
        <v>31.5</v>
      </c>
      <c r="R62" s="318">
        <v>34.6</v>
      </c>
      <c r="S62" s="318">
        <v>30.9</v>
      </c>
      <c r="T62" s="318">
        <v>11.1</v>
      </c>
      <c r="U62" s="318">
        <v>31.7</v>
      </c>
      <c r="V62" s="318">
        <v>27.6</v>
      </c>
      <c r="W62" s="318">
        <v>11</v>
      </c>
      <c r="X62" s="318">
        <v>18.2</v>
      </c>
      <c r="Y62" s="318">
        <v>10.199999999999999</v>
      </c>
      <c r="Z62" s="318">
        <v>4.8</v>
      </c>
      <c r="AA62" s="318">
        <v>2.4</v>
      </c>
      <c r="AB62" s="12">
        <v>7.9</v>
      </c>
      <c r="AC62" s="743">
        <v>10.5</v>
      </c>
      <c r="AD62" s="744">
        <v>8.9</v>
      </c>
      <c r="AE62" s="745">
        <v>15.4</v>
      </c>
      <c r="AF62" s="314" t="s">
        <v>88</v>
      </c>
      <c r="AG62" s="12">
        <v>53.8</v>
      </c>
      <c r="AH62" s="746">
        <v>12</v>
      </c>
      <c r="AI62" s="12"/>
      <c r="AJ62" s="12"/>
      <c r="AK62" s="896"/>
      <c r="AL62" s="812"/>
      <c r="AM62" s="218"/>
      <c r="AN62" s="903"/>
      <c r="AO62" s="963"/>
      <c r="AP62" s="955" t="s">
        <v>1</v>
      </c>
      <c r="AQ62" s="4"/>
    </row>
    <row r="63" spans="1:43" s="11" customFormat="1">
      <c r="A63" s="703" t="s">
        <v>178</v>
      </c>
      <c r="B63" s="726" t="s">
        <v>184</v>
      </c>
      <c r="C63" s="184"/>
      <c r="D63" s="184"/>
      <c r="E63" s="184"/>
      <c r="F63" s="184"/>
      <c r="G63" s="184"/>
      <c r="H63" s="184"/>
      <c r="I63" s="184"/>
      <c r="J63" s="184"/>
      <c r="K63" s="184"/>
      <c r="L63" s="184"/>
      <c r="M63" s="318"/>
      <c r="N63" s="318"/>
      <c r="O63" s="318" t="s">
        <v>0</v>
      </c>
      <c r="P63" s="318"/>
      <c r="Q63" s="318"/>
      <c r="R63" s="318"/>
      <c r="S63" s="318"/>
      <c r="T63" s="318"/>
      <c r="U63" s="318"/>
      <c r="V63" s="318"/>
      <c r="W63" s="318"/>
      <c r="X63" s="318"/>
      <c r="Y63" s="318"/>
      <c r="Z63" s="318"/>
      <c r="AA63" s="318"/>
      <c r="AB63" s="173"/>
      <c r="AC63" s="688"/>
      <c r="AD63" s="173"/>
      <c r="AE63" s="9"/>
      <c r="AF63" s="9"/>
      <c r="AG63" s="9"/>
      <c r="AH63" s="709"/>
      <c r="AI63" s="2"/>
      <c r="AJ63" s="9"/>
      <c r="AK63" s="825"/>
      <c r="AL63" s="812"/>
      <c r="AM63" s="164"/>
      <c r="AN63" s="164"/>
      <c r="AO63" s="219"/>
      <c r="AP63" s="957"/>
      <c r="AQ63" s="4"/>
    </row>
    <row r="64" spans="1:43" s="11" customFormat="1">
      <c r="A64" s="703" t="s">
        <v>108</v>
      </c>
      <c r="B64" s="722"/>
      <c r="C64" s="674">
        <v>7163</v>
      </c>
      <c r="D64" s="674">
        <v>5172</v>
      </c>
      <c r="E64" s="674">
        <v>693</v>
      </c>
      <c r="F64" s="674">
        <v>302</v>
      </c>
      <c r="G64" s="674">
        <v>13</v>
      </c>
      <c r="H64" s="674">
        <v>-1045</v>
      </c>
      <c r="I64" s="674">
        <v>-980</v>
      </c>
      <c r="J64" s="674">
        <v>-227</v>
      </c>
      <c r="K64" s="674">
        <v>1197</v>
      </c>
      <c r="L64" s="674">
        <v>2717</v>
      </c>
      <c r="M64" s="122">
        <v>1867</v>
      </c>
      <c r="N64" s="122">
        <v>4195</v>
      </c>
      <c r="O64" s="122">
        <v>6768</v>
      </c>
      <c r="P64" s="122">
        <v>10591</v>
      </c>
      <c r="Q64" s="122">
        <v>12202</v>
      </c>
      <c r="R64" s="122">
        <v>16120</v>
      </c>
      <c r="S64" s="122">
        <v>17577</v>
      </c>
      <c r="T64" s="122">
        <v>21815</v>
      </c>
      <c r="U64" s="747">
        <v>15108</v>
      </c>
      <c r="V64" s="747">
        <v>14578</v>
      </c>
      <c r="W64" s="747">
        <v>14549</v>
      </c>
      <c r="X64" s="747">
        <v>16490</v>
      </c>
      <c r="Y64" s="747">
        <v>17432</v>
      </c>
      <c r="Z64" s="747">
        <v>18615</v>
      </c>
      <c r="AA64" s="747">
        <v>20553</v>
      </c>
      <c r="AB64" s="747">
        <v>20864</v>
      </c>
      <c r="AC64" s="747">
        <v>20477</v>
      </c>
      <c r="AD64" s="747">
        <v>21597</v>
      </c>
      <c r="AE64" s="747">
        <v>22113</v>
      </c>
      <c r="AF64" s="747">
        <v>21143</v>
      </c>
      <c r="AG64" s="747">
        <v>19690</v>
      </c>
      <c r="AH64" s="748">
        <v>23889</v>
      </c>
      <c r="AI64" s="748">
        <v>23565</v>
      </c>
      <c r="AJ64" s="749">
        <v>22196</v>
      </c>
      <c r="AK64" s="897">
        <v>19611</v>
      </c>
      <c r="AL64" s="804">
        <v>1568</v>
      </c>
      <c r="AM64" s="66">
        <v>2817</v>
      </c>
      <c r="AN64" s="66">
        <v>4402</v>
      </c>
      <c r="AO64" s="74">
        <v>5955</v>
      </c>
      <c r="AP64" s="958">
        <v>7218</v>
      </c>
      <c r="AQ64" s="1076">
        <v>8736</v>
      </c>
    </row>
    <row r="65" spans="1:43" s="11" customFormat="1">
      <c r="A65" s="708" t="s">
        <v>169</v>
      </c>
      <c r="B65" s="722"/>
      <c r="C65" s="674"/>
      <c r="D65" s="674"/>
      <c r="E65" s="674"/>
      <c r="F65" s="674"/>
      <c r="G65" s="674"/>
      <c r="H65" s="674"/>
      <c r="I65" s="674"/>
      <c r="J65" s="674"/>
      <c r="K65" s="674"/>
      <c r="L65" s="674"/>
      <c r="M65" s="122"/>
      <c r="N65" s="122"/>
      <c r="O65" s="122"/>
      <c r="P65" s="122"/>
      <c r="Q65" s="122"/>
      <c r="R65" s="122"/>
      <c r="S65" s="122"/>
      <c r="T65" s="122"/>
      <c r="AK65" s="196"/>
      <c r="AL65" s="812"/>
      <c r="AM65" s="164"/>
      <c r="AN65" s="164"/>
      <c r="AO65" s="219"/>
      <c r="AP65" s="957"/>
      <c r="AQ65" s="4"/>
    </row>
    <row r="66" spans="1:43" s="11" customFormat="1">
      <c r="A66" s="710" t="s">
        <v>109</v>
      </c>
      <c r="B66" s="722"/>
      <c r="C66" s="184" t="s">
        <v>1</v>
      </c>
      <c r="D66" s="184" t="s">
        <v>1</v>
      </c>
      <c r="E66" s="184" t="s">
        <v>1</v>
      </c>
      <c r="F66" s="184" t="s">
        <v>1</v>
      </c>
      <c r="G66" s="184" t="s">
        <v>1</v>
      </c>
      <c r="H66" s="184" t="s">
        <v>1</v>
      </c>
      <c r="I66" s="184" t="s">
        <v>1</v>
      </c>
      <c r="J66" s="184" t="s">
        <v>1</v>
      </c>
      <c r="K66" s="184" t="s">
        <v>1</v>
      </c>
      <c r="L66" s="184" t="s">
        <v>1</v>
      </c>
      <c r="M66" s="318" t="s">
        <v>1</v>
      </c>
      <c r="N66" s="318" t="s">
        <v>1</v>
      </c>
      <c r="O66" s="122">
        <v>1219</v>
      </c>
      <c r="P66" s="122">
        <v>1548</v>
      </c>
      <c r="Q66" s="122">
        <v>1510</v>
      </c>
      <c r="R66" s="122">
        <v>1989</v>
      </c>
      <c r="S66" s="122">
        <v>2349</v>
      </c>
      <c r="T66" s="122">
        <v>3123</v>
      </c>
      <c r="U66" s="747">
        <v>1079</v>
      </c>
      <c r="V66" s="747">
        <v>1003</v>
      </c>
      <c r="W66" s="747">
        <v>1909</v>
      </c>
      <c r="X66" s="747">
        <v>1845</v>
      </c>
      <c r="Y66" s="747">
        <v>1691</v>
      </c>
      <c r="Z66" s="747">
        <v>1980</v>
      </c>
      <c r="AA66" s="747">
        <v>2251</v>
      </c>
      <c r="AB66" s="747">
        <v>2050</v>
      </c>
      <c r="AC66" s="747">
        <v>1717</v>
      </c>
      <c r="AD66" s="747">
        <v>1762</v>
      </c>
      <c r="AE66" s="747">
        <v>1400</v>
      </c>
      <c r="AF66" s="747">
        <v>1410</v>
      </c>
      <c r="AG66" s="747">
        <v>730</v>
      </c>
      <c r="AH66" s="748">
        <v>1575</v>
      </c>
      <c r="AI66" s="748">
        <v>1451</v>
      </c>
      <c r="AJ66" s="749">
        <v>1375</v>
      </c>
      <c r="AK66" s="897">
        <v>1170</v>
      </c>
      <c r="AL66" s="804">
        <v>118</v>
      </c>
      <c r="AM66" s="66">
        <v>188</v>
      </c>
      <c r="AN66" s="66">
        <v>295</v>
      </c>
      <c r="AO66" s="74">
        <v>408</v>
      </c>
      <c r="AP66" s="958">
        <v>476</v>
      </c>
      <c r="AQ66" s="1076">
        <v>556</v>
      </c>
    </row>
    <row r="67" spans="1:43" s="11" customFormat="1">
      <c r="A67" s="710" t="s">
        <v>135</v>
      </c>
      <c r="B67" s="722"/>
      <c r="C67" s="184" t="s">
        <v>1</v>
      </c>
      <c r="D67" s="184" t="s">
        <v>1</v>
      </c>
      <c r="E67" s="184" t="s">
        <v>1</v>
      </c>
      <c r="F67" s="184" t="s">
        <v>1</v>
      </c>
      <c r="G67" s="184" t="s">
        <v>1</v>
      </c>
      <c r="H67" s="184" t="s">
        <v>1</v>
      </c>
      <c r="I67" s="184" t="s">
        <v>1</v>
      </c>
      <c r="J67" s="184" t="s">
        <v>1</v>
      </c>
      <c r="K67" s="184" t="s">
        <v>1</v>
      </c>
      <c r="L67" s="184" t="s">
        <v>1</v>
      </c>
      <c r="M67" s="318" t="s">
        <v>1</v>
      </c>
      <c r="N67" s="318" t="s">
        <v>1</v>
      </c>
      <c r="O67" s="122" t="s">
        <v>1</v>
      </c>
      <c r="P67" s="122" t="s">
        <v>1</v>
      </c>
      <c r="Q67" s="122" t="s">
        <v>1</v>
      </c>
      <c r="R67" s="122" t="s">
        <v>1</v>
      </c>
      <c r="S67" s="122" t="s">
        <v>1</v>
      </c>
      <c r="T67" s="122" t="s">
        <v>1</v>
      </c>
      <c r="U67" s="747">
        <v>3109</v>
      </c>
      <c r="V67" s="747">
        <v>3211</v>
      </c>
      <c r="W67" s="747">
        <v>1003</v>
      </c>
      <c r="X67" s="747">
        <v>2429</v>
      </c>
      <c r="Y67" s="747">
        <v>2773</v>
      </c>
      <c r="Z67" s="747">
        <v>3316</v>
      </c>
      <c r="AA67" s="747">
        <v>4085</v>
      </c>
      <c r="AB67" s="747">
        <v>4574</v>
      </c>
      <c r="AC67" s="747">
        <v>5038</v>
      </c>
      <c r="AD67" s="747">
        <v>5654</v>
      </c>
      <c r="AE67" s="747">
        <v>6280</v>
      </c>
      <c r="AF67" s="747">
        <v>6725</v>
      </c>
      <c r="AG67" s="747">
        <v>7144</v>
      </c>
      <c r="AH67" s="748">
        <v>7516</v>
      </c>
      <c r="AI67" s="748">
        <v>7354</v>
      </c>
      <c r="AJ67" s="749">
        <v>6852</v>
      </c>
      <c r="AK67" s="897">
        <v>6446</v>
      </c>
      <c r="AL67" s="804">
        <v>493</v>
      </c>
      <c r="AM67" s="66">
        <v>950</v>
      </c>
      <c r="AN67" s="66">
        <v>1421</v>
      </c>
      <c r="AO67" s="74">
        <v>1904</v>
      </c>
      <c r="AP67" s="958">
        <v>2347</v>
      </c>
      <c r="AQ67" s="1076">
        <v>2850</v>
      </c>
    </row>
    <row r="68" spans="1:43" s="11" customFormat="1">
      <c r="A68" s="710" t="s">
        <v>110</v>
      </c>
      <c r="B68" s="722"/>
      <c r="C68" s="184" t="s">
        <v>1</v>
      </c>
      <c r="D68" s="184" t="s">
        <v>1</v>
      </c>
      <c r="E68" s="184" t="s">
        <v>1</v>
      </c>
      <c r="F68" s="184" t="s">
        <v>1</v>
      </c>
      <c r="G68" s="184" t="s">
        <v>1</v>
      </c>
      <c r="H68" s="184" t="s">
        <v>1</v>
      </c>
      <c r="I68" s="184" t="s">
        <v>1</v>
      </c>
      <c r="J68" s="184" t="s">
        <v>1</v>
      </c>
      <c r="K68" s="184" t="s">
        <v>1</v>
      </c>
      <c r="L68" s="184" t="s">
        <v>1</v>
      </c>
      <c r="M68" s="318" t="s">
        <v>1</v>
      </c>
      <c r="N68" s="318" t="s">
        <v>1</v>
      </c>
      <c r="O68" s="122">
        <v>2850</v>
      </c>
      <c r="P68" s="122">
        <v>3835</v>
      </c>
      <c r="Q68" s="122">
        <v>4196</v>
      </c>
      <c r="R68" s="122">
        <v>5925</v>
      </c>
      <c r="S68" s="122">
        <v>7011</v>
      </c>
      <c r="T68" s="122">
        <v>7544</v>
      </c>
      <c r="U68" s="747">
        <v>3188</v>
      </c>
      <c r="V68" s="747">
        <v>3111</v>
      </c>
      <c r="W68" s="747">
        <v>3899</v>
      </c>
      <c r="X68" s="747">
        <v>4356</v>
      </c>
      <c r="Y68" s="747">
        <v>4361</v>
      </c>
      <c r="Z68" s="747">
        <v>4148</v>
      </c>
      <c r="AA68" s="747">
        <v>3918</v>
      </c>
      <c r="AB68" s="747">
        <v>4012</v>
      </c>
      <c r="AC68" s="747">
        <v>3612</v>
      </c>
      <c r="AD68" s="747">
        <v>3712</v>
      </c>
      <c r="AE68" s="747">
        <v>3716</v>
      </c>
      <c r="AF68" s="747">
        <v>3136</v>
      </c>
      <c r="AG68" s="747">
        <v>2814</v>
      </c>
      <c r="AH68" s="748">
        <v>3251</v>
      </c>
      <c r="AI68" s="748">
        <v>2881</v>
      </c>
      <c r="AJ68" s="749">
        <v>2737</v>
      </c>
      <c r="AK68" s="897">
        <v>2183</v>
      </c>
      <c r="AL68" s="804">
        <v>141</v>
      </c>
      <c r="AM68" s="66">
        <v>268</v>
      </c>
      <c r="AN68" s="66">
        <v>429</v>
      </c>
      <c r="AO68" s="74">
        <v>596</v>
      </c>
      <c r="AP68" s="958">
        <v>728</v>
      </c>
      <c r="AQ68" s="1076">
        <v>908</v>
      </c>
    </row>
    <row r="69" spans="1:43" s="11" customFormat="1">
      <c r="A69" s="710" t="s">
        <v>111</v>
      </c>
      <c r="B69" s="722"/>
      <c r="C69" s="184" t="s">
        <v>1</v>
      </c>
      <c r="D69" s="184" t="s">
        <v>1</v>
      </c>
      <c r="E69" s="184" t="s">
        <v>1</v>
      </c>
      <c r="F69" s="184" t="s">
        <v>1</v>
      </c>
      <c r="G69" s="184" t="s">
        <v>1</v>
      </c>
      <c r="H69" s="184" t="s">
        <v>1</v>
      </c>
      <c r="I69" s="184" t="s">
        <v>1</v>
      </c>
      <c r="J69" s="184" t="s">
        <v>1</v>
      </c>
      <c r="K69" s="184" t="s">
        <v>1</v>
      </c>
      <c r="L69" s="184" t="s">
        <v>1</v>
      </c>
      <c r="M69" s="318" t="s">
        <v>1</v>
      </c>
      <c r="N69" s="318" t="s">
        <v>1</v>
      </c>
      <c r="O69" s="122">
        <v>1776</v>
      </c>
      <c r="P69" s="122">
        <v>3072</v>
      </c>
      <c r="Q69" s="122">
        <v>3854</v>
      </c>
      <c r="R69" s="122">
        <v>4472</v>
      </c>
      <c r="S69" s="122">
        <v>3706</v>
      </c>
      <c r="T69" s="122">
        <v>4811</v>
      </c>
      <c r="U69" s="747">
        <v>2005</v>
      </c>
      <c r="V69" s="747">
        <v>1777</v>
      </c>
      <c r="W69" s="747">
        <v>1755</v>
      </c>
      <c r="X69" s="747">
        <v>2201</v>
      </c>
      <c r="Y69" s="747">
        <v>2709</v>
      </c>
      <c r="Z69" s="747">
        <v>2429</v>
      </c>
      <c r="AA69" s="747">
        <v>2524</v>
      </c>
      <c r="AB69" s="747">
        <v>2343</v>
      </c>
      <c r="AC69" s="747">
        <v>2437</v>
      </c>
      <c r="AD69" s="747">
        <v>2536</v>
      </c>
      <c r="AE69" s="747">
        <v>2229</v>
      </c>
      <c r="AF69" s="747">
        <v>2144</v>
      </c>
      <c r="AG69" s="747">
        <v>1530</v>
      </c>
      <c r="AH69" s="748">
        <v>2368</v>
      </c>
      <c r="AI69" s="748">
        <v>2417</v>
      </c>
      <c r="AJ69" s="749">
        <v>2079</v>
      </c>
      <c r="AK69" s="897">
        <v>1900</v>
      </c>
      <c r="AL69" s="804">
        <v>175</v>
      </c>
      <c r="AM69" s="66">
        <v>275</v>
      </c>
      <c r="AN69" s="66">
        <v>429</v>
      </c>
      <c r="AO69" s="74">
        <v>585</v>
      </c>
      <c r="AP69" s="958">
        <v>688</v>
      </c>
      <c r="AQ69" s="1076">
        <v>831</v>
      </c>
    </row>
    <row r="70" spans="1:43" s="11" customFormat="1">
      <c r="A70" s="710" t="s">
        <v>388</v>
      </c>
      <c r="B70" s="722"/>
      <c r="C70" s="184" t="s">
        <v>1</v>
      </c>
      <c r="D70" s="184" t="s">
        <v>1</v>
      </c>
      <c r="E70" s="184" t="s">
        <v>1</v>
      </c>
      <c r="F70" s="184" t="s">
        <v>1</v>
      </c>
      <c r="G70" s="184" t="s">
        <v>1</v>
      </c>
      <c r="H70" s="184" t="s">
        <v>1</v>
      </c>
      <c r="I70" s="184" t="s">
        <v>1</v>
      </c>
      <c r="J70" s="184" t="s">
        <v>1</v>
      </c>
      <c r="K70" s="184" t="s">
        <v>1</v>
      </c>
      <c r="L70" s="184" t="s">
        <v>1</v>
      </c>
      <c r="M70" s="318" t="s">
        <v>1</v>
      </c>
      <c r="N70" s="318" t="s">
        <v>1</v>
      </c>
      <c r="O70" s="122">
        <v>1292</v>
      </c>
      <c r="P70" s="122">
        <v>1715</v>
      </c>
      <c r="Q70" s="122">
        <v>515</v>
      </c>
      <c r="R70" s="122">
        <v>638</v>
      </c>
      <c r="S70" s="122">
        <v>628</v>
      </c>
      <c r="T70" s="122">
        <v>1207</v>
      </c>
      <c r="U70" s="747">
        <v>1712</v>
      </c>
      <c r="V70" s="747">
        <v>1652</v>
      </c>
      <c r="W70" s="747">
        <v>2120</v>
      </c>
      <c r="X70" s="747">
        <v>1962</v>
      </c>
      <c r="Y70" s="747">
        <v>2009</v>
      </c>
      <c r="Z70" s="747">
        <v>2066</v>
      </c>
      <c r="AA70" s="747">
        <v>2216</v>
      </c>
      <c r="AB70" s="747">
        <v>2256</v>
      </c>
      <c r="AC70" s="747">
        <v>2075</v>
      </c>
      <c r="AD70" s="747">
        <v>1854</v>
      </c>
      <c r="AE70" s="747">
        <v>1970</v>
      </c>
      <c r="AF70" s="747">
        <v>1883</v>
      </c>
      <c r="AG70" s="747">
        <v>1559</v>
      </c>
      <c r="AH70" s="748">
        <v>1942</v>
      </c>
      <c r="AI70" s="748">
        <v>1779</v>
      </c>
      <c r="AJ70" s="749">
        <v>1532</v>
      </c>
      <c r="AK70" s="897">
        <v>1289</v>
      </c>
      <c r="AL70" s="804">
        <v>105</v>
      </c>
      <c r="AM70" s="66">
        <v>173</v>
      </c>
      <c r="AN70" s="66">
        <v>304</v>
      </c>
      <c r="AO70" s="74">
        <v>402</v>
      </c>
      <c r="AP70" s="958">
        <v>484</v>
      </c>
      <c r="AQ70" s="1076">
        <v>598</v>
      </c>
    </row>
    <row r="71" spans="1:43" s="11" customFormat="1">
      <c r="A71" s="710" t="s">
        <v>136</v>
      </c>
      <c r="B71" s="722"/>
      <c r="C71" s="184" t="s">
        <v>1</v>
      </c>
      <c r="D71" s="184" t="s">
        <v>1</v>
      </c>
      <c r="E71" s="184" t="s">
        <v>1</v>
      </c>
      <c r="F71" s="184" t="s">
        <v>1</v>
      </c>
      <c r="G71" s="184" t="s">
        <v>1</v>
      </c>
      <c r="H71" s="184" t="s">
        <v>1</v>
      </c>
      <c r="I71" s="184" t="s">
        <v>1</v>
      </c>
      <c r="J71" s="184" t="s">
        <v>1</v>
      </c>
      <c r="K71" s="184" t="s">
        <v>1</v>
      </c>
      <c r="L71" s="184" t="s">
        <v>1</v>
      </c>
      <c r="M71" s="318" t="s">
        <v>1</v>
      </c>
      <c r="N71" s="318" t="s">
        <v>1</v>
      </c>
      <c r="O71" s="122">
        <v>-155</v>
      </c>
      <c r="P71" s="122">
        <v>-81</v>
      </c>
      <c r="Q71" s="122">
        <v>1875</v>
      </c>
      <c r="R71" s="122">
        <v>2377</v>
      </c>
      <c r="S71" s="122">
        <v>2748</v>
      </c>
      <c r="T71" s="122">
        <v>3703</v>
      </c>
      <c r="U71" s="747">
        <v>1551</v>
      </c>
      <c r="V71" s="747">
        <v>1584</v>
      </c>
      <c r="W71" s="747">
        <v>1759</v>
      </c>
      <c r="X71" s="747">
        <v>1520</v>
      </c>
      <c r="Y71" s="747">
        <v>1636</v>
      </c>
      <c r="Z71" s="747">
        <v>1912</v>
      </c>
      <c r="AA71" s="747">
        <v>2242</v>
      </c>
      <c r="AB71" s="747">
        <v>1925</v>
      </c>
      <c r="AC71" s="747">
        <v>1718</v>
      </c>
      <c r="AD71" s="747">
        <v>1852</v>
      </c>
      <c r="AE71" s="747">
        <v>1755</v>
      </c>
      <c r="AF71" s="747">
        <v>1428</v>
      </c>
      <c r="AG71" s="747">
        <v>1341</v>
      </c>
      <c r="AH71" s="748">
        <v>1768</v>
      </c>
      <c r="AI71" s="748">
        <v>1762</v>
      </c>
      <c r="AJ71" s="749">
        <v>1744</v>
      </c>
      <c r="AK71" s="897">
        <v>1317</v>
      </c>
      <c r="AL71" s="804">
        <v>130</v>
      </c>
      <c r="AM71" s="66">
        <v>224</v>
      </c>
      <c r="AN71" s="66">
        <v>314</v>
      </c>
      <c r="AO71" s="74">
        <v>389</v>
      </c>
      <c r="AP71" s="958">
        <v>452</v>
      </c>
      <c r="AQ71" s="1076">
        <v>532</v>
      </c>
    </row>
    <row r="72" spans="1:43" s="11" customFormat="1">
      <c r="A72" s="710" t="s">
        <v>112</v>
      </c>
      <c r="B72" s="722"/>
      <c r="C72" s="184" t="s">
        <v>1</v>
      </c>
      <c r="D72" s="184" t="s">
        <v>1</v>
      </c>
      <c r="E72" s="184" t="s">
        <v>1</v>
      </c>
      <c r="F72" s="184" t="s">
        <v>1</v>
      </c>
      <c r="G72" s="184" t="s">
        <v>1</v>
      </c>
      <c r="H72" s="184" t="s">
        <v>1</v>
      </c>
      <c r="I72" s="184" t="s">
        <v>1</v>
      </c>
      <c r="J72" s="184" t="s">
        <v>1</v>
      </c>
      <c r="K72" s="184" t="s">
        <v>1</v>
      </c>
      <c r="L72" s="184" t="s">
        <v>1</v>
      </c>
      <c r="M72" s="318" t="s">
        <v>1</v>
      </c>
      <c r="N72" s="318" t="s">
        <v>1</v>
      </c>
      <c r="O72" s="122" t="s">
        <v>1</v>
      </c>
      <c r="P72" s="122" t="s">
        <v>1</v>
      </c>
      <c r="Q72" s="122" t="s">
        <v>1</v>
      </c>
      <c r="R72" s="122" t="s">
        <v>1</v>
      </c>
      <c r="S72" s="122" t="s">
        <v>1</v>
      </c>
      <c r="T72" s="122" t="s">
        <v>1</v>
      </c>
      <c r="U72" s="747">
        <v>430</v>
      </c>
      <c r="V72" s="747">
        <v>399</v>
      </c>
      <c r="W72" s="747">
        <v>402</v>
      </c>
      <c r="X72" s="747">
        <v>462</v>
      </c>
      <c r="Y72" s="747">
        <v>407</v>
      </c>
      <c r="Z72" s="747">
        <v>648</v>
      </c>
      <c r="AA72" s="747">
        <v>866</v>
      </c>
      <c r="AB72" s="747">
        <v>1332</v>
      </c>
      <c r="AC72" s="747">
        <v>1552</v>
      </c>
      <c r="AD72" s="747">
        <v>1935</v>
      </c>
      <c r="AE72" s="747">
        <v>2157</v>
      </c>
      <c r="AF72" s="747">
        <v>2241</v>
      </c>
      <c r="AG72" s="747">
        <v>2622</v>
      </c>
      <c r="AH72" s="748">
        <v>3287</v>
      </c>
      <c r="AI72" s="748">
        <v>3767</v>
      </c>
      <c r="AJ72" s="749">
        <v>3993</v>
      </c>
      <c r="AK72" s="897">
        <v>3765</v>
      </c>
      <c r="AL72" s="804">
        <v>278</v>
      </c>
      <c r="AM72" s="66">
        <v>502</v>
      </c>
      <c r="AN72" s="66">
        <v>815</v>
      </c>
      <c r="AO72" s="74">
        <v>1131</v>
      </c>
      <c r="AP72" s="958">
        <v>1395</v>
      </c>
      <c r="AQ72" s="1076">
        <v>1714</v>
      </c>
    </row>
    <row r="73" spans="1:43" s="11" customFormat="1">
      <c r="A73" s="710" t="s">
        <v>113</v>
      </c>
      <c r="B73" s="722"/>
      <c r="C73" s="184" t="s">
        <v>1</v>
      </c>
      <c r="D73" s="184" t="s">
        <v>1</v>
      </c>
      <c r="E73" s="184" t="s">
        <v>1</v>
      </c>
      <c r="F73" s="184" t="s">
        <v>1</v>
      </c>
      <c r="G73" s="184" t="s">
        <v>1</v>
      </c>
      <c r="H73" s="184" t="s">
        <v>1</v>
      </c>
      <c r="I73" s="184" t="s">
        <v>1</v>
      </c>
      <c r="J73" s="184" t="s">
        <v>1</v>
      </c>
      <c r="K73" s="184" t="s">
        <v>1</v>
      </c>
      <c r="L73" s="184" t="s">
        <v>1</v>
      </c>
      <c r="M73" s="318" t="s">
        <v>1</v>
      </c>
      <c r="N73" s="318" t="s">
        <v>1</v>
      </c>
      <c r="O73" s="122">
        <v>-214</v>
      </c>
      <c r="P73" s="122">
        <v>502</v>
      </c>
      <c r="Q73" s="122">
        <v>252</v>
      </c>
      <c r="R73" s="122">
        <v>719</v>
      </c>
      <c r="S73" s="122">
        <v>1135</v>
      </c>
      <c r="T73" s="122">
        <v>1427</v>
      </c>
      <c r="U73" s="747">
        <v>2034</v>
      </c>
      <c r="V73" s="747">
        <v>1841</v>
      </c>
      <c r="W73" s="747">
        <v>1702</v>
      </c>
      <c r="X73" s="747">
        <v>1715</v>
      </c>
      <c r="Y73" s="747">
        <v>1846</v>
      </c>
      <c r="Z73" s="747">
        <v>2116</v>
      </c>
      <c r="AA73" s="747">
        <v>2451</v>
      </c>
      <c r="AB73" s="747">
        <v>2372</v>
      </c>
      <c r="AC73" s="747">
        <v>2328</v>
      </c>
      <c r="AD73" s="747">
        <v>2292</v>
      </c>
      <c r="AE73" s="747">
        <v>2606</v>
      </c>
      <c r="AF73" s="747">
        <v>2176</v>
      </c>
      <c r="AG73" s="747">
        <v>1950</v>
      </c>
      <c r="AH73" s="748">
        <v>2182</v>
      </c>
      <c r="AI73" s="748">
        <v>2154</v>
      </c>
      <c r="AJ73" s="749">
        <v>1884</v>
      </c>
      <c r="AK73" s="897">
        <v>1541</v>
      </c>
      <c r="AL73" s="804">
        <v>128</v>
      </c>
      <c r="AM73" s="66">
        <v>237</v>
      </c>
      <c r="AN73" s="66">
        <v>395</v>
      </c>
      <c r="AO73" s="74">
        <v>540</v>
      </c>
      <c r="AP73" s="958">
        <v>648</v>
      </c>
      <c r="AQ73" s="1076">
        <v>747</v>
      </c>
    </row>
    <row r="74" spans="1:43" s="11" customFormat="1">
      <c r="A74" s="750" t="s">
        <v>183</v>
      </c>
      <c r="B74" s="711" t="s">
        <v>74</v>
      </c>
      <c r="C74" s="184"/>
      <c r="D74" s="184"/>
      <c r="E74" s="184"/>
      <c r="F74" s="184"/>
      <c r="G74" s="184"/>
      <c r="H74" s="184"/>
      <c r="I74" s="184"/>
      <c r="J74" s="184"/>
      <c r="K74" s="184"/>
      <c r="L74" s="184"/>
      <c r="M74" s="318"/>
      <c r="N74" s="318"/>
      <c r="O74" s="318"/>
      <c r="P74" s="318"/>
      <c r="Q74" s="318"/>
      <c r="R74" s="318"/>
      <c r="S74" s="318"/>
      <c r="T74" s="318"/>
      <c r="U74" s="318"/>
      <c r="V74" s="318"/>
      <c r="W74" s="318"/>
      <c r="X74" s="318"/>
      <c r="Y74" s="318"/>
      <c r="Z74" s="318"/>
      <c r="AA74" s="318"/>
      <c r="AB74" s="173"/>
      <c r="AC74" s="688"/>
      <c r="AD74" s="173"/>
      <c r="AE74" s="428"/>
      <c r="AF74" s="9"/>
      <c r="AG74" s="9"/>
      <c r="AH74" s="709"/>
      <c r="AI74" s="2"/>
      <c r="AJ74" s="9"/>
      <c r="AK74" s="825"/>
      <c r="AL74" s="812"/>
      <c r="AM74" s="164"/>
      <c r="AN74" s="164"/>
      <c r="AO74" s="219"/>
      <c r="AP74" s="957"/>
      <c r="AQ74" s="4"/>
    </row>
    <row r="75" spans="1:43" s="11" customFormat="1">
      <c r="A75" s="703" t="s">
        <v>108</v>
      </c>
      <c r="B75" s="722"/>
      <c r="C75" s="184">
        <v>6.3</v>
      </c>
      <c r="D75" s="184">
        <v>4.5999999999999996</v>
      </c>
      <c r="E75" s="184">
        <v>0.6</v>
      </c>
      <c r="F75" s="184">
        <v>0.3</v>
      </c>
      <c r="G75" s="184">
        <v>-0.9</v>
      </c>
      <c r="H75" s="184">
        <v>-0.9</v>
      </c>
      <c r="I75" s="184">
        <v>-0.9</v>
      </c>
      <c r="J75" s="184">
        <v>-0.2</v>
      </c>
      <c r="K75" s="184">
        <v>1.1000000000000001</v>
      </c>
      <c r="L75" s="184">
        <v>2.4</v>
      </c>
      <c r="M75" s="318">
        <v>1.7</v>
      </c>
      <c r="N75" s="318">
        <v>3.7</v>
      </c>
      <c r="O75" s="318">
        <v>5.8</v>
      </c>
      <c r="P75" s="318">
        <v>8.9</v>
      </c>
      <c r="Q75" s="318">
        <v>9.9</v>
      </c>
      <c r="R75" s="318">
        <v>12.61</v>
      </c>
      <c r="S75" s="318">
        <v>13.5</v>
      </c>
      <c r="T75" s="318">
        <v>16.2</v>
      </c>
      <c r="U75" s="739">
        <v>10.33</v>
      </c>
      <c r="V75" s="739">
        <v>9.7799999999999994</v>
      </c>
      <c r="W75" s="739">
        <v>9.56</v>
      </c>
      <c r="X75" s="739">
        <v>10.59</v>
      </c>
      <c r="Y75" s="739">
        <v>10.98</v>
      </c>
      <c r="Z75" s="739">
        <v>11.45</v>
      </c>
      <c r="AA75" s="739">
        <v>12.26</v>
      </c>
      <c r="AB75" s="739">
        <v>12.05</v>
      </c>
      <c r="AC75" s="739">
        <v>11.5</v>
      </c>
      <c r="AD75" s="739">
        <v>11.78</v>
      </c>
      <c r="AE75" s="739">
        <v>11.7</v>
      </c>
      <c r="AF75" s="739">
        <v>10.83</v>
      </c>
      <c r="AG75" s="739">
        <v>9.82</v>
      </c>
      <c r="AH75" s="704">
        <v>11.21</v>
      </c>
      <c r="AI75" s="704">
        <v>10.73</v>
      </c>
      <c r="AJ75" s="741">
        <v>9.82</v>
      </c>
      <c r="AK75" s="895">
        <v>8.4499999999999993</v>
      </c>
      <c r="AL75" s="803">
        <v>7.79</v>
      </c>
      <c r="AM75" s="903">
        <v>7.36</v>
      </c>
      <c r="AN75" s="903">
        <v>7.53</v>
      </c>
      <c r="AO75" s="963">
        <v>7.64</v>
      </c>
      <c r="AP75" s="955">
        <v>7.37</v>
      </c>
      <c r="AQ75" s="1074">
        <v>7.42</v>
      </c>
    </row>
    <row r="76" spans="1:43" s="11" customFormat="1">
      <c r="A76" s="708" t="s">
        <v>169</v>
      </c>
      <c r="B76" s="722"/>
      <c r="C76" s="184"/>
      <c r="D76" s="184"/>
      <c r="E76" s="184"/>
      <c r="F76" s="184"/>
      <c r="G76" s="184"/>
      <c r="H76" s="184"/>
      <c r="I76" s="184"/>
      <c r="J76" s="184"/>
      <c r="K76" s="184"/>
      <c r="L76" s="184"/>
      <c r="M76" s="318"/>
      <c r="N76" s="318"/>
      <c r="O76" s="318"/>
      <c r="P76" s="318"/>
      <c r="Q76" s="318"/>
      <c r="R76" s="318"/>
      <c r="S76" s="318"/>
      <c r="T76" s="318"/>
      <c r="U76" s="197"/>
      <c r="V76" s="197"/>
      <c r="W76" s="197"/>
      <c r="X76" s="197"/>
      <c r="Y76" s="197"/>
      <c r="Z76" s="197"/>
      <c r="AA76" s="197"/>
      <c r="AB76" s="197"/>
      <c r="AC76" s="197"/>
      <c r="AD76" s="197"/>
      <c r="AE76" s="197"/>
      <c r="AF76" s="197"/>
      <c r="AG76" s="197"/>
      <c r="AH76" s="197"/>
      <c r="AI76" s="197"/>
      <c r="AJ76" s="197"/>
      <c r="AK76" s="771"/>
      <c r="AL76" s="802"/>
      <c r="AM76" s="904"/>
      <c r="AN76" s="904"/>
      <c r="AO76" s="905"/>
      <c r="AP76" s="957"/>
      <c r="AQ76" s="1075"/>
    </row>
    <row r="77" spans="1:43" s="11" customFormat="1">
      <c r="A77" s="710" t="s">
        <v>109</v>
      </c>
      <c r="B77" s="722"/>
      <c r="C77" s="184" t="s">
        <v>1</v>
      </c>
      <c r="D77" s="184" t="s">
        <v>1</v>
      </c>
      <c r="E77" s="184" t="s">
        <v>1</v>
      </c>
      <c r="F77" s="184" t="s">
        <v>1</v>
      </c>
      <c r="G77" s="184" t="s">
        <v>1</v>
      </c>
      <c r="H77" s="184" t="s">
        <v>1</v>
      </c>
      <c r="I77" s="184" t="s">
        <v>1</v>
      </c>
      <c r="J77" s="184" t="s">
        <v>1</v>
      </c>
      <c r="K77" s="184" t="s">
        <v>1</v>
      </c>
      <c r="L77" s="184" t="s">
        <v>1</v>
      </c>
      <c r="M77" s="318" t="s">
        <v>1</v>
      </c>
      <c r="N77" s="318" t="s">
        <v>1</v>
      </c>
      <c r="O77" s="318">
        <v>7.07</v>
      </c>
      <c r="P77" s="318">
        <v>8.86</v>
      </c>
      <c r="Q77" s="318">
        <v>8.5</v>
      </c>
      <c r="R77" s="318">
        <v>11.11</v>
      </c>
      <c r="S77" s="318">
        <v>12.83</v>
      </c>
      <c r="T77" s="318">
        <v>16.54</v>
      </c>
      <c r="U77" s="739">
        <v>5.73</v>
      </c>
      <c r="V77" s="739">
        <v>5.35</v>
      </c>
      <c r="W77" s="739">
        <v>10.01</v>
      </c>
      <c r="X77" s="739">
        <v>9.36</v>
      </c>
      <c r="Y77" s="739">
        <v>8.4600000000000009</v>
      </c>
      <c r="Z77" s="739">
        <v>9.7799999999999994</v>
      </c>
      <c r="AA77" s="739">
        <v>10.82</v>
      </c>
      <c r="AB77" s="739">
        <v>9.61</v>
      </c>
      <c r="AC77" s="739">
        <v>7.97</v>
      </c>
      <c r="AD77" s="739">
        <v>8.17</v>
      </c>
      <c r="AE77" s="739">
        <v>6.48</v>
      </c>
      <c r="AF77" s="739">
        <v>6.44</v>
      </c>
      <c r="AG77" s="739">
        <v>3.29</v>
      </c>
      <c r="AH77" s="704">
        <v>6.05</v>
      </c>
      <c r="AI77" s="704">
        <v>5.49</v>
      </c>
      <c r="AJ77" s="741">
        <v>5.13</v>
      </c>
      <c r="AK77" s="895">
        <v>4.32</v>
      </c>
      <c r="AL77" s="803">
        <v>5.08</v>
      </c>
      <c r="AM77" s="903">
        <v>4.25</v>
      </c>
      <c r="AN77" s="903">
        <v>4.38</v>
      </c>
      <c r="AO77" s="963">
        <v>4.54</v>
      </c>
      <c r="AP77" s="955">
        <v>4.21</v>
      </c>
      <c r="AQ77" s="1074">
        <v>4.1100000000000003</v>
      </c>
    </row>
    <row r="78" spans="1:43" s="11" customFormat="1">
      <c r="A78" s="710" t="s">
        <v>135</v>
      </c>
      <c r="B78" s="722"/>
      <c r="C78" s="184" t="s">
        <v>1</v>
      </c>
      <c r="D78" s="184" t="s">
        <v>1</v>
      </c>
      <c r="E78" s="184" t="s">
        <v>1</v>
      </c>
      <c r="F78" s="184" t="s">
        <v>1</v>
      </c>
      <c r="G78" s="184" t="s">
        <v>1</v>
      </c>
      <c r="H78" s="184" t="s">
        <v>1</v>
      </c>
      <c r="I78" s="184" t="s">
        <v>1</v>
      </c>
      <c r="J78" s="184" t="s">
        <v>1</v>
      </c>
      <c r="K78" s="184" t="s">
        <v>1</v>
      </c>
      <c r="L78" s="184" t="s">
        <v>1</v>
      </c>
      <c r="M78" s="318" t="s">
        <v>1</v>
      </c>
      <c r="N78" s="318" t="s">
        <v>1</v>
      </c>
      <c r="O78" s="318" t="s">
        <v>1</v>
      </c>
      <c r="P78" s="318" t="s">
        <v>1</v>
      </c>
      <c r="Q78" s="318" t="s">
        <v>1</v>
      </c>
      <c r="R78" s="318" t="s">
        <v>1</v>
      </c>
      <c r="S78" s="318" t="s">
        <v>1</v>
      </c>
      <c r="T78" s="318" t="s">
        <v>1</v>
      </c>
      <c r="U78" s="739">
        <v>18.399999999999999</v>
      </c>
      <c r="V78" s="739">
        <v>18.309999999999999</v>
      </c>
      <c r="W78" s="739">
        <v>5.52</v>
      </c>
      <c r="X78" s="739">
        <v>12.86</v>
      </c>
      <c r="Y78" s="739">
        <v>14.27</v>
      </c>
      <c r="Z78" s="739">
        <v>16.809999999999999</v>
      </c>
      <c r="AA78" s="739">
        <v>19.940000000000001</v>
      </c>
      <c r="AB78" s="739">
        <v>20.83</v>
      </c>
      <c r="AC78" s="739">
        <v>21.19</v>
      </c>
      <c r="AD78" s="739">
        <v>22.13</v>
      </c>
      <c r="AE78" s="739">
        <v>22.95</v>
      </c>
      <c r="AF78" s="739">
        <v>22.86</v>
      </c>
      <c r="AG78" s="739">
        <v>22.84</v>
      </c>
      <c r="AH78" s="704">
        <v>21.7</v>
      </c>
      <c r="AI78" s="704">
        <v>20.29</v>
      </c>
      <c r="AJ78" s="741">
        <v>18.149999999999999</v>
      </c>
      <c r="AK78" s="895">
        <v>16.41</v>
      </c>
      <c r="AL78" s="803">
        <v>14.37</v>
      </c>
      <c r="AM78" s="903">
        <v>14.55</v>
      </c>
      <c r="AN78" s="903">
        <v>14.28</v>
      </c>
      <c r="AO78" s="963">
        <v>14.34</v>
      </c>
      <c r="AP78" s="955">
        <v>14.05</v>
      </c>
      <c r="AQ78" s="1074">
        <v>14.23</v>
      </c>
    </row>
    <row r="79" spans="1:43" s="11" customFormat="1">
      <c r="A79" s="710" t="s">
        <v>110</v>
      </c>
      <c r="B79" s="722"/>
      <c r="C79" s="184" t="s">
        <v>1</v>
      </c>
      <c r="D79" s="184" t="s">
        <v>1</v>
      </c>
      <c r="E79" s="184" t="s">
        <v>1</v>
      </c>
      <c r="F79" s="184" t="s">
        <v>1</v>
      </c>
      <c r="G79" s="184" t="s">
        <v>1</v>
      </c>
      <c r="H79" s="184" t="s">
        <v>1</v>
      </c>
      <c r="I79" s="184" t="s">
        <v>1</v>
      </c>
      <c r="J79" s="184" t="s">
        <v>1</v>
      </c>
      <c r="K79" s="184" t="s">
        <v>1</v>
      </c>
      <c r="L79" s="184" t="s">
        <v>1</v>
      </c>
      <c r="M79" s="318" t="s">
        <v>1</v>
      </c>
      <c r="N79" s="318" t="s">
        <v>1</v>
      </c>
      <c r="O79" s="318">
        <v>9.56</v>
      </c>
      <c r="P79" s="318">
        <v>12.55</v>
      </c>
      <c r="Q79" s="318">
        <v>13.27</v>
      </c>
      <c r="R79" s="318">
        <v>18</v>
      </c>
      <c r="S79" s="318">
        <v>20.47</v>
      </c>
      <c r="T79" s="318">
        <v>26.6</v>
      </c>
      <c r="U79" s="739">
        <v>11.02</v>
      </c>
      <c r="V79" s="739">
        <v>10.62</v>
      </c>
      <c r="W79" s="739">
        <v>13.16</v>
      </c>
      <c r="X79" s="739">
        <v>14.55</v>
      </c>
      <c r="Y79" s="739">
        <v>14.35</v>
      </c>
      <c r="Z79" s="739">
        <v>13.28</v>
      </c>
      <c r="AA79" s="739">
        <v>12.25</v>
      </c>
      <c r="AB79" s="739">
        <v>12.37</v>
      </c>
      <c r="AC79" s="739">
        <v>11.03</v>
      </c>
      <c r="AD79" s="739">
        <v>11.18</v>
      </c>
      <c r="AE79" s="739">
        <v>10.97</v>
      </c>
      <c r="AF79" s="739">
        <v>9.08</v>
      </c>
      <c r="AG79" s="739">
        <v>8.06</v>
      </c>
      <c r="AH79" s="704">
        <v>9.2100000000000009</v>
      </c>
      <c r="AI79" s="704">
        <v>8.08</v>
      </c>
      <c r="AJ79" s="741">
        <v>7.64</v>
      </c>
      <c r="AK79" s="895">
        <v>6.07</v>
      </c>
      <c r="AL79" s="803">
        <v>4.59</v>
      </c>
      <c r="AM79" s="903">
        <v>4.59</v>
      </c>
      <c r="AN79" s="903">
        <v>4.8099999999999996</v>
      </c>
      <c r="AO79" s="963">
        <v>5.0199999999999996</v>
      </c>
      <c r="AP79" s="955">
        <v>4.87</v>
      </c>
      <c r="AQ79" s="1074">
        <v>5.0599999999999996</v>
      </c>
    </row>
    <row r="80" spans="1:43" s="11" customFormat="1">
      <c r="A80" s="710" t="s">
        <v>111</v>
      </c>
      <c r="B80" s="722"/>
      <c r="C80" s="184" t="s">
        <v>1</v>
      </c>
      <c r="D80" s="184" t="s">
        <v>1</v>
      </c>
      <c r="E80" s="184" t="s">
        <v>1</v>
      </c>
      <c r="F80" s="184" t="s">
        <v>1</v>
      </c>
      <c r="G80" s="184" t="s">
        <v>1</v>
      </c>
      <c r="H80" s="184" t="s">
        <v>1</v>
      </c>
      <c r="I80" s="184" t="s">
        <v>1</v>
      </c>
      <c r="J80" s="184" t="s">
        <v>1</v>
      </c>
      <c r="K80" s="184" t="s">
        <v>1</v>
      </c>
      <c r="L80" s="184" t="s">
        <v>1</v>
      </c>
      <c r="M80" s="318" t="s">
        <v>1</v>
      </c>
      <c r="N80" s="318" t="s">
        <v>1</v>
      </c>
      <c r="O80" s="318">
        <v>6.95</v>
      </c>
      <c r="P80" s="318">
        <v>11.54</v>
      </c>
      <c r="Q80" s="318">
        <v>13.94</v>
      </c>
      <c r="R80" s="318">
        <v>15.66</v>
      </c>
      <c r="S80" s="318">
        <v>12.71</v>
      </c>
      <c r="T80" s="318">
        <v>18.059999999999999</v>
      </c>
      <c r="U80" s="739">
        <v>7.11</v>
      </c>
      <c r="V80" s="739">
        <v>6.19</v>
      </c>
      <c r="W80" s="739">
        <v>6.02</v>
      </c>
      <c r="X80" s="739">
        <v>7.43</v>
      </c>
      <c r="Y80" s="739">
        <v>8.93</v>
      </c>
      <c r="Z80" s="739">
        <v>7.77</v>
      </c>
      <c r="AA80" s="739">
        <v>7.8</v>
      </c>
      <c r="AB80" s="739">
        <v>7.07</v>
      </c>
      <c r="AC80" s="739">
        <v>7.28</v>
      </c>
      <c r="AD80" s="739">
        <v>7.44</v>
      </c>
      <c r="AE80" s="739">
        <v>6.41</v>
      </c>
      <c r="AF80" s="739">
        <v>6.04</v>
      </c>
      <c r="AG80" s="739">
        <v>4.2300000000000004</v>
      </c>
      <c r="AH80" s="704">
        <v>7.52</v>
      </c>
      <c r="AI80" s="704">
        <v>7.46</v>
      </c>
      <c r="AJ80" s="741">
        <v>6.23</v>
      </c>
      <c r="AK80" s="895">
        <v>5.53</v>
      </c>
      <c r="AL80" s="803">
        <v>5.9</v>
      </c>
      <c r="AM80" s="903">
        <v>4.87</v>
      </c>
      <c r="AN80" s="903">
        <v>4.9800000000000004</v>
      </c>
      <c r="AO80" s="963">
        <v>5.09</v>
      </c>
      <c r="AP80" s="955">
        <v>4.76</v>
      </c>
      <c r="AQ80" s="1074">
        <v>4.8</v>
      </c>
    </row>
    <row r="81" spans="1:43" s="11" customFormat="1">
      <c r="A81" s="710" t="s">
        <v>388</v>
      </c>
      <c r="B81" s="722"/>
      <c r="C81" s="184" t="s">
        <v>1</v>
      </c>
      <c r="D81" s="184" t="s">
        <v>1</v>
      </c>
      <c r="E81" s="184" t="s">
        <v>1</v>
      </c>
      <c r="F81" s="184" t="s">
        <v>1</v>
      </c>
      <c r="G81" s="184" t="s">
        <v>1</v>
      </c>
      <c r="H81" s="184" t="s">
        <v>1</v>
      </c>
      <c r="I81" s="184" t="s">
        <v>1</v>
      </c>
      <c r="J81" s="184" t="s">
        <v>1</v>
      </c>
      <c r="K81" s="184" t="s">
        <v>1</v>
      </c>
      <c r="L81" s="184" t="s">
        <v>1</v>
      </c>
      <c r="M81" s="318" t="s">
        <v>1</v>
      </c>
      <c r="N81" s="318" t="s">
        <v>1</v>
      </c>
      <c r="O81" s="318">
        <v>8.4600000000000009</v>
      </c>
      <c r="P81" s="318">
        <v>10.81</v>
      </c>
      <c r="Q81" s="318">
        <v>3.16</v>
      </c>
      <c r="R81" s="318">
        <v>3.81</v>
      </c>
      <c r="S81" s="318">
        <v>3.7</v>
      </c>
      <c r="T81" s="318">
        <v>9.25</v>
      </c>
      <c r="U81" s="739">
        <v>12</v>
      </c>
      <c r="V81" s="739">
        <v>11.25</v>
      </c>
      <c r="W81" s="739">
        <v>14.06</v>
      </c>
      <c r="X81" s="739">
        <v>12.8</v>
      </c>
      <c r="Y81" s="739">
        <v>13</v>
      </c>
      <c r="Z81" s="739">
        <v>13.17</v>
      </c>
      <c r="AA81" s="739">
        <v>13.91</v>
      </c>
      <c r="AB81" s="739">
        <v>14.02</v>
      </c>
      <c r="AC81" s="739">
        <v>12.75</v>
      </c>
      <c r="AD81" s="739">
        <v>11.23</v>
      </c>
      <c r="AE81" s="739">
        <v>11.68</v>
      </c>
      <c r="AF81" s="739">
        <v>10.96</v>
      </c>
      <c r="AG81" s="739">
        <v>8.99</v>
      </c>
      <c r="AH81" s="704">
        <v>9.98</v>
      </c>
      <c r="AI81" s="704">
        <v>9.02</v>
      </c>
      <c r="AJ81" s="741">
        <v>7.69</v>
      </c>
      <c r="AK81" s="895">
        <v>6.46</v>
      </c>
      <c r="AL81" s="803">
        <v>6.2</v>
      </c>
      <c r="AM81" s="903">
        <v>5.36</v>
      </c>
      <c r="AN81" s="903">
        <v>6.18</v>
      </c>
      <c r="AO81" s="963">
        <v>6.13</v>
      </c>
      <c r="AP81" s="955">
        <v>5.86</v>
      </c>
      <c r="AQ81" s="1074">
        <v>6.05</v>
      </c>
    </row>
    <row r="82" spans="1:43" s="11" customFormat="1">
      <c r="A82" s="710" t="s">
        <v>136</v>
      </c>
      <c r="B82" s="722"/>
      <c r="C82" s="184" t="s">
        <v>1</v>
      </c>
      <c r="D82" s="184" t="s">
        <v>1</v>
      </c>
      <c r="E82" s="184" t="s">
        <v>1</v>
      </c>
      <c r="F82" s="184" t="s">
        <v>1</v>
      </c>
      <c r="G82" s="184" t="s">
        <v>1</v>
      </c>
      <c r="H82" s="184" t="s">
        <v>1</v>
      </c>
      <c r="I82" s="184" t="s">
        <v>1</v>
      </c>
      <c r="J82" s="184" t="s">
        <v>1</v>
      </c>
      <c r="K82" s="184" t="s">
        <v>1</v>
      </c>
      <c r="L82" s="184" t="s">
        <v>1</v>
      </c>
      <c r="M82" s="318" t="s">
        <v>1</v>
      </c>
      <c r="N82" s="318" t="s">
        <v>1</v>
      </c>
      <c r="O82" s="318">
        <v>-1.18</v>
      </c>
      <c r="P82" s="318">
        <v>-0.6</v>
      </c>
      <c r="Q82" s="318">
        <v>13.44</v>
      </c>
      <c r="R82" s="318">
        <v>16.350000000000001</v>
      </c>
      <c r="S82" s="318">
        <v>18.14</v>
      </c>
      <c r="T82" s="318">
        <v>23.24</v>
      </c>
      <c r="U82" s="739">
        <v>9.5</v>
      </c>
      <c r="V82" s="739">
        <v>9.4700000000000006</v>
      </c>
      <c r="W82" s="739">
        <v>10.220000000000001</v>
      </c>
      <c r="X82" s="739">
        <v>8.59</v>
      </c>
      <c r="Y82" s="739">
        <v>9.0399999999999991</v>
      </c>
      <c r="Z82" s="739">
        <v>10.27</v>
      </c>
      <c r="AA82" s="739">
        <v>11.65</v>
      </c>
      <c r="AB82" s="739">
        <v>9.7100000000000009</v>
      </c>
      <c r="AC82" s="739">
        <v>8.4499999999999993</v>
      </c>
      <c r="AD82" s="739">
        <v>8.91</v>
      </c>
      <c r="AE82" s="739">
        <v>8.2799999999999994</v>
      </c>
      <c r="AF82" s="739">
        <v>6.6</v>
      </c>
      <c r="AG82" s="739">
        <v>6.05</v>
      </c>
      <c r="AH82" s="704">
        <v>7.42</v>
      </c>
      <c r="AI82" s="704">
        <v>7.21</v>
      </c>
      <c r="AJ82" s="741">
        <v>6.99</v>
      </c>
      <c r="AK82" s="895">
        <v>5.2</v>
      </c>
      <c r="AL82" s="803">
        <v>5.98</v>
      </c>
      <c r="AM82" s="903">
        <v>5.42</v>
      </c>
      <c r="AN82" s="903">
        <v>4.9800000000000004</v>
      </c>
      <c r="AO82" s="963">
        <v>4.63</v>
      </c>
      <c r="AP82" s="955">
        <v>4.2699999999999996</v>
      </c>
      <c r="AQ82" s="1074">
        <v>4.1900000000000004</v>
      </c>
    </row>
    <row r="83" spans="1:43" s="11" customFormat="1">
      <c r="A83" s="710" t="s">
        <v>112</v>
      </c>
      <c r="B83" s="722"/>
      <c r="C83" s="184" t="s">
        <v>1</v>
      </c>
      <c r="D83" s="184" t="s">
        <v>1</v>
      </c>
      <c r="E83" s="184" t="s">
        <v>1</v>
      </c>
      <c r="F83" s="184" t="s">
        <v>1</v>
      </c>
      <c r="G83" s="184" t="s">
        <v>1</v>
      </c>
      <c r="H83" s="184" t="s">
        <v>1</v>
      </c>
      <c r="I83" s="184" t="s">
        <v>1</v>
      </c>
      <c r="J83" s="184" t="s">
        <v>1</v>
      </c>
      <c r="K83" s="184" t="s">
        <v>1</v>
      </c>
      <c r="L83" s="184" t="s">
        <v>1</v>
      </c>
      <c r="M83" s="318" t="s">
        <v>1</v>
      </c>
      <c r="N83" s="318" t="s">
        <v>1</v>
      </c>
      <c r="O83" s="318" t="s">
        <v>1</v>
      </c>
      <c r="P83" s="318" t="s">
        <v>1</v>
      </c>
      <c r="Q83" s="318" t="s">
        <v>1</v>
      </c>
      <c r="R83" s="318" t="s">
        <v>1</v>
      </c>
      <c r="S83" s="318" t="s">
        <v>1</v>
      </c>
      <c r="T83" s="318" t="s">
        <v>1</v>
      </c>
      <c r="U83" s="739">
        <v>9.81</v>
      </c>
      <c r="V83" s="739">
        <v>8.8800000000000008</v>
      </c>
      <c r="W83" s="739">
        <v>8.69</v>
      </c>
      <c r="X83" s="739">
        <v>9.6</v>
      </c>
      <c r="Y83" s="739">
        <v>8.16</v>
      </c>
      <c r="Z83" s="739">
        <v>12.7</v>
      </c>
      <c r="AA83" s="739">
        <v>15.78</v>
      </c>
      <c r="AB83" s="739">
        <v>21.11</v>
      </c>
      <c r="AC83" s="739">
        <v>21.21</v>
      </c>
      <c r="AD83" s="739">
        <v>23.18</v>
      </c>
      <c r="AE83" s="739">
        <v>22.7</v>
      </c>
      <c r="AF83" s="739">
        <v>20.92</v>
      </c>
      <c r="AG83" s="739">
        <v>22.11</v>
      </c>
      <c r="AH83" s="704">
        <v>18.89</v>
      </c>
      <c r="AI83" s="704">
        <v>19.73</v>
      </c>
      <c r="AJ83" s="741">
        <v>18.89</v>
      </c>
      <c r="AK83" s="895">
        <v>16.29</v>
      </c>
      <c r="AL83" s="803">
        <v>13.55</v>
      </c>
      <c r="AM83" s="903">
        <v>12.85</v>
      </c>
      <c r="AN83" s="903">
        <v>13.67</v>
      </c>
      <c r="AO83" s="963">
        <v>14.23</v>
      </c>
      <c r="AP83" s="955">
        <v>13.95</v>
      </c>
      <c r="AQ83" s="1074">
        <v>14.3</v>
      </c>
    </row>
    <row r="84" spans="1:43" s="11" customFormat="1">
      <c r="A84" s="710" t="s">
        <v>113</v>
      </c>
      <c r="B84" s="722"/>
      <c r="C84" s="184" t="s">
        <v>1</v>
      </c>
      <c r="D84" s="184" t="s">
        <v>1</v>
      </c>
      <c r="E84" s="184" t="s">
        <v>1</v>
      </c>
      <c r="F84" s="184" t="s">
        <v>1</v>
      </c>
      <c r="G84" s="184" t="s">
        <v>1</v>
      </c>
      <c r="H84" s="184" t="s">
        <v>1</v>
      </c>
      <c r="I84" s="184" t="s">
        <v>1</v>
      </c>
      <c r="J84" s="184" t="s">
        <v>1</v>
      </c>
      <c r="K84" s="184" t="s">
        <v>1</v>
      </c>
      <c r="L84" s="184" t="s">
        <v>1</v>
      </c>
      <c r="M84" s="318" t="s">
        <v>1</v>
      </c>
      <c r="N84" s="318" t="s">
        <v>1</v>
      </c>
      <c r="O84" s="318">
        <v>-1.3</v>
      </c>
      <c r="P84" s="318">
        <v>2.95</v>
      </c>
      <c r="Q84" s="318">
        <v>1.44</v>
      </c>
      <c r="R84" s="318">
        <v>3.98</v>
      </c>
      <c r="S84" s="318">
        <v>6.1</v>
      </c>
      <c r="T84" s="318">
        <v>8.09</v>
      </c>
      <c r="U84" s="739">
        <v>11.03</v>
      </c>
      <c r="V84" s="739">
        <v>9.74</v>
      </c>
      <c r="W84" s="739">
        <v>8.82</v>
      </c>
      <c r="X84" s="739">
        <v>8.73</v>
      </c>
      <c r="Y84" s="739">
        <v>9.17</v>
      </c>
      <c r="Z84" s="739">
        <v>10.210000000000001</v>
      </c>
      <c r="AA84" s="739">
        <v>11.46</v>
      </c>
      <c r="AB84" s="739">
        <v>10.75</v>
      </c>
      <c r="AC84" s="739">
        <v>10.27</v>
      </c>
      <c r="AD84" s="739">
        <v>9.85</v>
      </c>
      <c r="AE84" s="739">
        <v>10.93</v>
      </c>
      <c r="AF84" s="739">
        <v>8.9499999999999993</v>
      </c>
      <c r="AG84" s="739">
        <v>7.91</v>
      </c>
      <c r="AH84" s="704">
        <v>8.73</v>
      </c>
      <c r="AI84" s="704">
        <v>8.42</v>
      </c>
      <c r="AJ84" s="741">
        <v>7.17</v>
      </c>
      <c r="AK84" s="895">
        <v>5.73</v>
      </c>
      <c r="AL84" s="803">
        <v>5.54</v>
      </c>
      <c r="AM84" s="903">
        <v>5.39</v>
      </c>
      <c r="AN84" s="903">
        <v>5.89</v>
      </c>
      <c r="AO84" s="963">
        <v>6.03</v>
      </c>
      <c r="AP84" s="955">
        <v>5.76</v>
      </c>
      <c r="AQ84" s="1074">
        <v>5.53</v>
      </c>
    </row>
    <row r="85" spans="1:43" s="11" customFormat="1">
      <c r="A85" s="703" t="s">
        <v>179</v>
      </c>
      <c r="B85" s="711" t="s">
        <v>74</v>
      </c>
      <c r="C85" s="184"/>
      <c r="D85" s="184"/>
      <c r="E85" s="184"/>
      <c r="F85" s="184"/>
      <c r="G85" s="184"/>
      <c r="H85" s="184"/>
      <c r="I85" s="184"/>
      <c r="J85" s="184"/>
      <c r="K85" s="184"/>
      <c r="L85" s="184"/>
      <c r="M85" s="318"/>
      <c r="N85" s="318"/>
      <c r="O85" s="318"/>
      <c r="P85" s="318"/>
      <c r="Q85" s="318"/>
      <c r="R85" s="318"/>
      <c r="S85" s="318"/>
      <c r="T85" s="318"/>
      <c r="U85" s="751"/>
      <c r="V85" s="751"/>
      <c r="W85" s="751"/>
      <c r="X85" s="751"/>
      <c r="Y85" s="751"/>
      <c r="Z85" s="751"/>
      <c r="AA85" s="751"/>
      <c r="AB85" s="752"/>
      <c r="AC85" s="753"/>
      <c r="AD85" s="754"/>
      <c r="AE85" s="755"/>
      <c r="AF85" s="755"/>
      <c r="AG85" s="755"/>
      <c r="AH85" s="756"/>
      <c r="AK85" s="771"/>
      <c r="AL85" s="812"/>
      <c r="AM85" s="164"/>
      <c r="AN85" s="905"/>
      <c r="AO85" s="964"/>
      <c r="AP85" s="957"/>
      <c r="AQ85" s="4"/>
    </row>
    <row r="86" spans="1:43" s="11" customFormat="1">
      <c r="A86" s="703" t="s">
        <v>108</v>
      </c>
      <c r="B86" s="722"/>
      <c r="C86" s="184">
        <v>11.3</v>
      </c>
      <c r="D86" s="184">
        <v>9.5</v>
      </c>
      <c r="E86" s="184">
        <v>8.9</v>
      </c>
      <c r="F86" s="184">
        <v>8.1</v>
      </c>
      <c r="G86" s="184">
        <v>8.6</v>
      </c>
      <c r="H86" s="184">
        <v>7.5</v>
      </c>
      <c r="I86" s="184">
        <v>7.7</v>
      </c>
      <c r="J86" s="184">
        <v>7.3</v>
      </c>
      <c r="K86" s="184">
        <v>6.9</v>
      </c>
      <c r="L86" s="184">
        <v>7</v>
      </c>
      <c r="M86" s="318">
        <v>7.4</v>
      </c>
      <c r="N86" s="318">
        <v>8.1999999999999993</v>
      </c>
      <c r="O86" s="318">
        <v>9.0500000000000007</v>
      </c>
      <c r="P86" s="318">
        <v>9.07</v>
      </c>
      <c r="Q86" s="318">
        <v>9.6999999999999993</v>
      </c>
      <c r="R86" s="318">
        <v>10.199999999999999</v>
      </c>
      <c r="S86" s="318">
        <v>10.6</v>
      </c>
      <c r="T86" s="318">
        <v>9.4</v>
      </c>
      <c r="U86" s="739">
        <v>9.16</v>
      </c>
      <c r="V86" s="739">
        <v>9.27</v>
      </c>
      <c r="W86" s="739">
        <v>9.59</v>
      </c>
      <c r="X86" s="739">
        <v>10.050000000000001</v>
      </c>
      <c r="Y86" s="739">
        <v>10.68</v>
      </c>
      <c r="Z86" s="739">
        <v>10.63</v>
      </c>
      <c r="AA86" s="739">
        <v>10.31</v>
      </c>
      <c r="AB86" s="739">
        <v>9.6199999999999992</v>
      </c>
      <c r="AC86" s="739">
        <v>9.64</v>
      </c>
      <c r="AD86" s="739">
        <v>9.25</v>
      </c>
      <c r="AE86" s="739">
        <v>9.43</v>
      </c>
      <c r="AF86" s="739">
        <v>8.11</v>
      </c>
      <c r="AG86" s="739">
        <v>9.3800000000000008</v>
      </c>
      <c r="AH86" s="704">
        <v>6.38</v>
      </c>
      <c r="AI86" s="704">
        <v>5.96</v>
      </c>
      <c r="AJ86" s="741">
        <v>6.08</v>
      </c>
      <c r="AK86" s="895">
        <v>5.53</v>
      </c>
      <c r="AL86" s="803">
        <v>3.44</v>
      </c>
      <c r="AM86" s="903">
        <v>3.89</v>
      </c>
      <c r="AN86" s="903">
        <v>3.98</v>
      </c>
      <c r="AO86" s="963">
        <v>4.24</v>
      </c>
      <c r="AP86" s="955">
        <v>4.12</v>
      </c>
      <c r="AQ86" s="1074">
        <v>4.96</v>
      </c>
    </row>
    <row r="87" spans="1:43" s="11" customFormat="1">
      <c r="A87" s="708" t="s">
        <v>169</v>
      </c>
      <c r="B87" s="722"/>
      <c r="C87" s="184"/>
      <c r="D87" s="184"/>
      <c r="E87" s="184"/>
      <c r="F87" s="184"/>
      <c r="G87" s="184"/>
      <c r="H87" s="184"/>
      <c r="I87" s="184"/>
      <c r="J87" s="184"/>
      <c r="K87" s="184"/>
      <c r="L87" s="184"/>
      <c r="M87" s="318"/>
      <c r="N87" s="318"/>
      <c r="O87" s="318"/>
      <c r="P87" s="318"/>
      <c r="Q87" s="318"/>
      <c r="R87" s="318"/>
      <c r="S87" s="318"/>
      <c r="T87" s="318"/>
      <c r="U87" s="197"/>
      <c r="V87" s="197"/>
      <c r="W87" s="197"/>
      <c r="X87" s="197"/>
      <c r="Y87" s="197"/>
      <c r="Z87" s="197"/>
      <c r="AA87" s="197"/>
      <c r="AB87" s="197"/>
      <c r="AC87" s="197"/>
      <c r="AD87" s="197"/>
      <c r="AE87" s="197"/>
      <c r="AF87" s="197"/>
      <c r="AG87" s="197"/>
      <c r="AH87" s="197"/>
      <c r="AI87" s="197"/>
      <c r="AJ87" s="197"/>
      <c r="AK87" s="771"/>
      <c r="AL87" s="802"/>
      <c r="AM87" s="905"/>
      <c r="AN87" s="904"/>
      <c r="AO87" s="963"/>
      <c r="AP87" s="956"/>
      <c r="AQ87" s="1075"/>
    </row>
    <row r="88" spans="1:43" s="11" customFormat="1">
      <c r="A88" s="710" t="s">
        <v>109</v>
      </c>
      <c r="B88" s="722"/>
      <c r="C88" s="184" t="s">
        <v>1</v>
      </c>
      <c r="D88" s="184" t="s">
        <v>1</v>
      </c>
      <c r="E88" s="184" t="s">
        <v>1</v>
      </c>
      <c r="F88" s="184" t="s">
        <v>1</v>
      </c>
      <c r="G88" s="184" t="s">
        <v>1</v>
      </c>
      <c r="H88" s="184" t="s">
        <v>1</v>
      </c>
      <c r="I88" s="184" t="s">
        <v>1</v>
      </c>
      <c r="J88" s="184" t="s">
        <v>1</v>
      </c>
      <c r="K88" s="184" t="s">
        <v>1</v>
      </c>
      <c r="L88" s="184" t="s">
        <v>1</v>
      </c>
      <c r="M88" s="318" t="s">
        <v>1</v>
      </c>
      <c r="N88" s="318" t="s">
        <v>1</v>
      </c>
      <c r="O88" s="318">
        <v>9.19</v>
      </c>
      <c r="P88" s="318">
        <v>8.9600000000000009</v>
      </c>
      <c r="Q88" s="318">
        <v>8.36</v>
      </c>
      <c r="R88" s="318">
        <v>10.76</v>
      </c>
      <c r="S88" s="318">
        <v>11.54</v>
      </c>
      <c r="T88" s="318">
        <v>10.56</v>
      </c>
      <c r="U88" s="739">
        <v>10.94</v>
      </c>
      <c r="V88" s="739">
        <v>11.62</v>
      </c>
      <c r="W88" s="739">
        <v>11.36</v>
      </c>
      <c r="X88" s="739">
        <v>12.58</v>
      </c>
      <c r="Y88" s="739">
        <v>14.01</v>
      </c>
      <c r="Z88" s="739">
        <v>14.71</v>
      </c>
      <c r="AA88" s="739">
        <v>13.22</v>
      </c>
      <c r="AB88" s="739">
        <v>10.28</v>
      </c>
      <c r="AC88" s="739">
        <v>10.94</v>
      </c>
      <c r="AD88" s="739">
        <v>9.57</v>
      </c>
      <c r="AE88" s="739">
        <v>9.4700000000000006</v>
      </c>
      <c r="AF88" s="739">
        <v>8.51</v>
      </c>
      <c r="AG88" s="739">
        <v>9.25</v>
      </c>
      <c r="AH88" s="318">
        <v>5.65</v>
      </c>
      <c r="AI88" s="318">
        <v>5.22</v>
      </c>
      <c r="AJ88" s="741">
        <v>5.26</v>
      </c>
      <c r="AK88" s="895">
        <v>4.8899999999999997</v>
      </c>
      <c r="AL88" s="803">
        <v>2.84</v>
      </c>
      <c r="AM88" s="903">
        <v>3.49</v>
      </c>
      <c r="AN88" s="903">
        <v>3.56</v>
      </c>
      <c r="AO88" s="963">
        <v>3.81</v>
      </c>
      <c r="AP88" s="955">
        <v>3.62</v>
      </c>
      <c r="AQ88" s="1074">
        <v>4.49</v>
      </c>
    </row>
    <row r="89" spans="1:43" s="11" customFormat="1">
      <c r="A89" s="710" t="s">
        <v>135</v>
      </c>
      <c r="B89" s="722"/>
      <c r="C89" s="184" t="s">
        <v>1</v>
      </c>
      <c r="D89" s="184" t="s">
        <v>1</v>
      </c>
      <c r="E89" s="184" t="s">
        <v>1</v>
      </c>
      <c r="F89" s="184" t="s">
        <v>1</v>
      </c>
      <c r="G89" s="184" t="s">
        <v>1</v>
      </c>
      <c r="H89" s="184" t="s">
        <v>1</v>
      </c>
      <c r="I89" s="184" t="s">
        <v>1</v>
      </c>
      <c r="J89" s="184" t="s">
        <v>1</v>
      </c>
      <c r="K89" s="184" t="s">
        <v>1</v>
      </c>
      <c r="L89" s="184" t="s">
        <v>1</v>
      </c>
      <c r="M89" s="318" t="s">
        <v>1</v>
      </c>
      <c r="N89" s="318" t="s">
        <v>1</v>
      </c>
      <c r="O89" s="318" t="s">
        <v>1</v>
      </c>
      <c r="P89" s="318" t="s">
        <v>1</v>
      </c>
      <c r="Q89" s="318" t="s">
        <v>1</v>
      </c>
      <c r="R89" s="318" t="s">
        <v>1</v>
      </c>
      <c r="S89" s="318" t="s">
        <v>1</v>
      </c>
      <c r="T89" s="318" t="s">
        <v>1</v>
      </c>
      <c r="U89" s="739">
        <v>0.5</v>
      </c>
      <c r="V89" s="739">
        <v>1.23</v>
      </c>
      <c r="W89" s="739">
        <v>6.83</v>
      </c>
      <c r="X89" s="739">
        <v>7.81</v>
      </c>
      <c r="Y89" s="739">
        <v>8.5299999999999994</v>
      </c>
      <c r="Z89" s="739">
        <v>10.029999999999999</v>
      </c>
      <c r="AA89" s="739">
        <v>10.119999999999999</v>
      </c>
      <c r="AB89" s="739">
        <v>9.65</v>
      </c>
      <c r="AC89" s="739">
        <v>8.77</v>
      </c>
      <c r="AD89" s="739">
        <v>8.1</v>
      </c>
      <c r="AE89" s="739">
        <v>8.14</v>
      </c>
      <c r="AF89" s="739">
        <v>6.9</v>
      </c>
      <c r="AG89" s="739">
        <v>8.3000000000000007</v>
      </c>
      <c r="AH89" s="704">
        <v>7.01</v>
      </c>
      <c r="AI89" s="704">
        <v>6.09</v>
      </c>
      <c r="AJ89" s="741">
        <v>6.59</v>
      </c>
      <c r="AK89" s="895">
        <v>5.78</v>
      </c>
      <c r="AL89" s="803">
        <v>3.85</v>
      </c>
      <c r="AM89" s="903">
        <v>4.3</v>
      </c>
      <c r="AN89" s="903">
        <v>4.2</v>
      </c>
      <c r="AO89" s="963">
        <v>4.4800000000000004</v>
      </c>
      <c r="AP89" s="955">
        <v>4.46</v>
      </c>
      <c r="AQ89" s="1074">
        <v>5.15</v>
      </c>
    </row>
    <row r="90" spans="1:43" s="11" customFormat="1">
      <c r="A90" s="710" t="s">
        <v>110</v>
      </c>
      <c r="B90" s="722"/>
      <c r="C90" s="184" t="s">
        <v>1</v>
      </c>
      <c r="D90" s="184" t="s">
        <v>1</v>
      </c>
      <c r="E90" s="184" t="s">
        <v>1</v>
      </c>
      <c r="F90" s="184" t="s">
        <v>1</v>
      </c>
      <c r="G90" s="184" t="s">
        <v>1</v>
      </c>
      <c r="H90" s="184" t="s">
        <v>1</v>
      </c>
      <c r="I90" s="184" t="s">
        <v>1</v>
      </c>
      <c r="J90" s="184" t="s">
        <v>1</v>
      </c>
      <c r="K90" s="184" t="s">
        <v>1</v>
      </c>
      <c r="L90" s="184" t="s">
        <v>1</v>
      </c>
      <c r="M90" s="318" t="s">
        <v>1</v>
      </c>
      <c r="N90" s="318" t="s">
        <v>1</v>
      </c>
      <c r="O90" s="318">
        <v>9.11</v>
      </c>
      <c r="P90" s="318">
        <v>9.66</v>
      </c>
      <c r="Q90" s="318">
        <v>10.3</v>
      </c>
      <c r="R90" s="318">
        <v>10.64</v>
      </c>
      <c r="S90" s="318">
        <v>10.95</v>
      </c>
      <c r="T90" s="318">
        <v>12.28</v>
      </c>
      <c r="U90" s="739">
        <v>12.89</v>
      </c>
      <c r="V90" s="739">
        <v>12.49</v>
      </c>
      <c r="W90" s="739">
        <v>11.46</v>
      </c>
      <c r="X90" s="739">
        <v>12.42</v>
      </c>
      <c r="Y90" s="739">
        <v>13.48</v>
      </c>
      <c r="Z90" s="739">
        <v>12</v>
      </c>
      <c r="AA90" s="739">
        <v>11.99</v>
      </c>
      <c r="AB90" s="739">
        <v>11.71</v>
      </c>
      <c r="AC90" s="739">
        <v>11.09</v>
      </c>
      <c r="AD90" s="739">
        <v>10.51</v>
      </c>
      <c r="AE90" s="739">
        <v>10.65</v>
      </c>
      <c r="AF90" s="739">
        <v>8.06</v>
      </c>
      <c r="AG90" s="739">
        <v>9.01</v>
      </c>
      <c r="AH90" s="318">
        <v>5.79</v>
      </c>
      <c r="AI90" s="318">
        <v>5.5</v>
      </c>
      <c r="AJ90" s="741">
        <v>5.64</v>
      </c>
      <c r="AK90" s="895">
        <v>5.45</v>
      </c>
      <c r="AL90" s="803">
        <v>2.84</v>
      </c>
      <c r="AM90" s="903">
        <v>3.43</v>
      </c>
      <c r="AN90" s="903">
        <v>3.65</v>
      </c>
      <c r="AO90" s="963">
        <v>4.1500000000000004</v>
      </c>
      <c r="AP90" s="955">
        <v>4</v>
      </c>
      <c r="AQ90" s="1074">
        <v>4.87</v>
      </c>
    </row>
    <row r="91" spans="1:43" s="11" customFormat="1">
      <c r="A91" s="710" t="s">
        <v>111</v>
      </c>
      <c r="B91" s="722"/>
      <c r="C91" s="184" t="s">
        <v>1</v>
      </c>
      <c r="D91" s="184" t="s">
        <v>1</v>
      </c>
      <c r="E91" s="184" t="s">
        <v>1</v>
      </c>
      <c r="F91" s="184" t="s">
        <v>1</v>
      </c>
      <c r="G91" s="184" t="s">
        <v>1</v>
      </c>
      <c r="H91" s="184" t="s">
        <v>1</v>
      </c>
      <c r="I91" s="184" t="s">
        <v>1</v>
      </c>
      <c r="J91" s="184" t="s">
        <v>1</v>
      </c>
      <c r="K91" s="184" t="s">
        <v>1</v>
      </c>
      <c r="L91" s="184" t="s">
        <v>1</v>
      </c>
      <c r="M91" s="318" t="s">
        <v>1</v>
      </c>
      <c r="N91" s="318" t="s">
        <v>1</v>
      </c>
      <c r="O91" s="318">
        <v>9.0500000000000007</v>
      </c>
      <c r="P91" s="318">
        <v>8.86</v>
      </c>
      <c r="Q91" s="318">
        <v>9.7200000000000006</v>
      </c>
      <c r="R91" s="318">
        <v>8.69</v>
      </c>
      <c r="S91" s="318">
        <v>8.6199999999999992</v>
      </c>
      <c r="T91" s="318">
        <v>7.23</v>
      </c>
      <c r="U91" s="739">
        <v>7.04</v>
      </c>
      <c r="V91" s="739">
        <v>7.15</v>
      </c>
      <c r="W91" s="739">
        <v>7.37</v>
      </c>
      <c r="X91" s="739">
        <v>7.63</v>
      </c>
      <c r="Y91" s="739">
        <v>8</v>
      </c>
      <c r="Z91" s="739">
        <v>7.88</v>
      </c>
      <c r="AA91" s="739">
        <v>7.62</v>
      </c>
      <c r="AB91" s="739">
        <v>7</v>
      </c>
      <c r="AC91" s="739">
        <v>7.19</v>
      </c>
      <c r="AD91" s="739">
        <v>7.03</v>
      </c>
      <c r="AE91" s="739">
        <v>6.75</v>
      </c>
      <c r="AF91" s="739">
        <v>6.78</v>
      </c>
      <c r="AG91" s="739">
        <v>7.73</v>
      </c>
      <c r="AH91" s="318">
        <v>6.4</v>
      </c>
      <c r="AI91" s="318">
        <v>6.07</v>
      </c>
      <c r="AJ91" s="741">
        <v>5.92</v>
      </c>
      <c r="AK91" s="895">
        <v>5.64</v>
      </c>
      <c r="AL91" s="803">
        <v>3.23</v>
      </c>
      <c r="AM91" s="903">
        <v>3.7</v>
      </c>
      <c r="AN91" s="903">
        <v>3.88</v>
      </c>
      <c r="AO91" s="963">
        <v>4.04</v>
      </c>
      <c r="AP91" s="955">
        <v>3.88</v>
      </c>
      <c r="AQ91" s="1074">
        <v>4.8099999999999996</v>
      </c>
    </row>
    <row r="92" spans="1:43" s="11" customFormat="1">
      <c r="A92" s="710" t="s">
        <v>388</v>
      </c>
      <c r="B92" s="722"/>
      <c r="C92" s="184" t="s">
        <v>1</v>
      </c>
      <c r="D92" s="184" t="s">
        <v>1</v>
      </c>
      <c r="E92" s="184" t="s">
        <v>1</v>
      </c>
      <c r="F92" s="184" t="s">
        <v>1</v>
      </c>
      <c r="G92" s="184" t="s">
        <v>1</v>
      </c>
      <c r="H92" s="184" t="s">
        <v>1</v>
      </c>
      <c r="I92" s="184" t="s">
        <v>1</v>
      </c>
      <c r="J92" s="184" t="s">
        <v>1</v>
      </c>
      <c r="K92" s="184" t="s">
        <v>1</v>
      </c>
      <c r="L92" s="184" t="s">
        <v>1</v>
      </c>
      <c r="M92" s="318" t="s">
        <v>1</v>
      </c>
      <c r="N92" s="318" t="s">
        <v>1</v>
      </c>
      <c r="O92" s="318">
        <v>9.18</v>
      </c>
      <c r="P92" s="318">
        <v>9.73</v>
      </c>
      <c r="Q92" s="318">
        <v>9.34</v>
      </c>
      <c r="R92" s="318">
        <v>9.43</v>
      </c>
      <c r="S92" s="318">
        <v>9.14</v>
      </c>
      <c r="T92" s="318">
        <v>12.53</v>
      </c>
      <c r="U92" s="739">
        <v>12.2</v>
      </c>
      <c r="V92" s="739">
        <v>12.93</v>
      </c>
      <c r="W92" s="739">
        <v>10.83</v>
      </c>
      <c r="X92" s="739">
        <v>10.88</v>
      </c>
      <c r="Y92" s="739">
        <v>12.85</v>
      </c>
      <c r="Z92" s="739">
        <v>10.1</v>
      </c>
      <c r="AA92" s="739">
        <v>8.41</v>
      </c>
      <c r="AB92" s="739">
        <v>6.98</v>
      </c>
      <c r="AC92" s="739">
        <v>7.93</v>
      </c>
      <c r="AD92" s="739">
        <v>8.31</v>
      </c>
      <c r="AE92" s="739">
        <v>8.75</v>
      </c>
      <c r="AF92" s="739">
        <v>6.67</v>
      </c>
      <c r="AG92" s="739">
        <v>8.5299999999999994</v>
      </c>
      <c r="AH92" s="318">
        <v>5.94</v>
      </c>
      <c r="AI92" s="318">
        <v>5.17</v>
      </c>
      <c r="AJ92" s="741">
        <v>5.42</v>
      </c>
      <c r="AK92" s="895">
        <v>4.83</v>
      </c>
      <c r="AL92" s="803">
        <v>2.95</v>
      </c>
      <c r="AM92" s="903">
        <v>3.16</v>
      </c>
      <c r="AN92" s="903">
        <v>3.42</v>
      </c>
      <c r="AO92" s="963">
        <v>3.6</v>
      </c>
      <c r="AP92" s="955">
        <v>3.51</v>
      </c>
      <c r="AQ92" s="1074">
        <v>4.3099999999999996</v>
      </c>
    </row>
    <row r="93" spans="1:43" s="11" customFormat="1">
      <c r="A93" s="710" t="s">
        <v>136</v>
      </c>
      <c r="B93" s="722"/>
      <c r="C93" s="184" t="s">
        <v>1</v>
      </c>
      <c r="D93" s="184" t="s">
        <v>1</v>
      </c>
      <c r="E93" s="184" t="s">
        <v>1</v>
      </c>
      <c r="F93" s="184" t="s">
        <v>1</v>
      </c>
      <c r="G93" s="184" t="s">
        <v>1</v>
      </c>
      <c r="H93" s="184" t="s">
        <v>1</v>
      </c>
      <c r="I93" s="184" t="s">
        <v>1</v>
      </c>
      <c r="J93" s="184" t="s">
        <v>1</v>
      </c>
      <c r="K93" s="184" t="s">
        <v>1</v>
      </c>
      <c r="L93" s="184" t="s">
        <v>1</v>
      </c>
      <c r="M93" s="318" t="s">
        <v>1</v>
      </c>
      <c r="N93" s="318" t="s">
        <v>1</v>
      </c>
      <c r="O93" s="318">
        <v>10.17</v>
      </c>
      <c r="P93" s="318">
        <v>8.66</v>
      </c>
      <c r="Q93" s="318">
        <v>9.1</v>
      </c>
      <c r="R93" s="318">
        <v>9.74</v>
      </c>
      <c r="S93" s="318">
        <v>11.24</v>
      </c>
      <c r="T93" s="318">
        <v>9.5299999999999994</v>
      </c>
      <c r="U93" s="739">
        <v>9.4600000000000009</v>
      </c>
      <c r="V93" s="739">
        <v>9.2200000000000006</v>
      </c>
      <c r="W93" s="739">
        <v>8.8699999999999992</v>
      </c>
      <c r="X93" s="739">
        <v>8.73</v>
      </c>
      <c r="Y93" s="739">
        <v>9.51</v>
      </c>
      <c r="Z93" s="739">
        <v>10.68</v>
      </c>
      <c r="AA93" s="739">
        <v>10.42</v>
      </c>
      <c r="AB93" s="739">
        <v>10.24</v>
      </c>
      <c r="AC93" s="739">
        <v>10.25</v>
      </c>
      <c r="AD93" s="739">
        <v>10.68</v>
      </c>
      <c r="AE93" s="739">
        <v>11.65</v>
      </c>
      <c r="AF93" s="739">
        <v>11.58</v>
      </c>
      <c r="AG93" s="739">
        <v>12.43</v>
      </c>
      <c r="AH93" s="318">
        <v>6.81</v>
      </c>
      <c r="AI93" s="318">
        <v>6.83</v>
      </c>
      <c r="AJ93" s="741">
        <v>6.77</v>
      </c>
      <c r="AK93" s="895">
        <v>5.88</v>
      </c>
      <c r="AL93" s="803">
        <v>3.54</v>
      </c>
      <c r="AM93" s="903">
        <v>4.28</v>
      </c>
      <c r="AN93" s="903">
        <v>4.3499999999999996</v>
      </c>
      <c r="AO93" s="963">
        <v>4.6500000000000004</v>
      </c>
      <c r="AP93" s="955">
        <v>4.6100000000000003</v>
      </c>
      <c r="AQ93" s="1074">
        <v>5.58</v>
      </c>
    </row>
    <row r="94" spans="1:43" s="11" customFormat="1">
      <c r="A94" s="710" t="s">
        <v>112</v>
      </c>
      <c r="B94" s="722"/>
      <c r="C94" s="184" t="s">
        <v>1</v>
      </c>
      <c r="D94" s="184" t="s">
        <v>1</v>
      </c>
      <c r="E94" s="184" t="s">
        <v>1</v>
      </c>
      <c r="F94" s="184" t="s">
        <v>1</v>
      </c>
      <c r="G94" s="184" t="s">
        <v>1</v>
      </c>
      <c r="H94" s="184" t="s">
        <v>1</v>
      </c>
      <c r="I94" s="184" t="s">
        <v>1</v>
      </c>
      <c r="J94" s="184" t="s">
        <v>1</v>
      </c>
      <c r="K94" s="184" t="s">
        <v>1</v>
      </c>
      <c r="L94" s="184" t="s">
        <v>1</v>
      </c>
      <c r="M94" s="318" t="s">
        <v>1</v>
      </c>
      <c r="N94" s="318" t="s">
        <v>1</v>
      </c>
      <c r="O94" s="318" t="s">
        <v>1</v>
      </c>
      <c r="P94" s="318" t="s">
        <v>1</v>
      </c>
      <c r="Q94" s="318" t="s">
        <v>1</v>
      </c>
      <c r="R94" s="318" t="s">
        <v>1</v>
      </c>
      <c r="S94" s="318" t="s">
        <v>1</v>
      </c>
      <c r="T94" s="318" t="s">
        <v>1</v>
      </c>
      <c r="U94" s="739">
        <v>5.59</v>
      </c>
      <c r="V94" s="739">
        <v>5.23</v>
      </c>
      <c r="W94" s="739">
        <v>5.68</v>
      </c>
      <c r="X94" s="739">
        <v>4.99</v>
      </c>
      <c r="Y94" s="739">
        <v>4.2300000000000004</v>
      </c>
      <c r="Z94" s="739">
        <v>5.88</v>
      </c>
      <c r="AA94" s="739">
        <v>5.67</v>
      </c>
      <c r="AB94" s="739">
        <v>8.3699999999999992</v>
      </c>
      <c r="AC94" s="739">
        <v>9.25</v>
      </c>
      <c r="AD94" s="739">
        <v>10.6</v>
      </c>
      <c r="AE94" s="739">
        <v>10.67</v>
      </c>
      <c r="AF94" s="739">
        <v>8.94</v>
      </c>
      <c r="AG94" s="739">
        <v>10.43</v>
      </c>
      <c r="AH94" s="318">
        <v>6.56</v>
      </c>
      <c r="AI94" s="318">
        <v>6.19</v>
      </c>
      <c r="AJ94" s="741">
        <v>6.62</v>
      </c>
      <c r="AK94" s="895">
        <v>5.87</v>
      </c>
      <c r="AL94" s="803">
        <v>3.85</v>
      </c>
      <c r="AM94" s="903">
        <v>3.97</v>
      </c>
      <c r="AN94" s="903">
        <v>4.04</v>
      </c>
      <c r="AO94" s="963">
        <v>4.3499999999999996</v>
      </c>
      <c r="AP94" s="955">
        <v>4.3499999999999996</v>
      </c>
      <c r="AQ94" s="1074">
        <v>5.0599999999999996</v>
      </c>
    </row>
    <row r="95" spans="1:43" s="11" customFormat="1">
      <c r="A95" s="710" t="s">
        <v>113</v>
      </c>
      <c r="B95" s="722"/>
      <c r="C95" s="184" t="s">
        <v>1</v>
      </c>
      <c r="D95" s="184" t="s">
        <v>1</v>
      </c>
      <c r="E95" s="184" t="s">
        <v>1</v>
      </c>
      <c r="F95" s="184" t="s">
        <v>1</v>
      </c>
      <c r="G95" s="184" t="s">
        <v>1</v>
      </c>
      <c r="H95" s="184" t="s">
        <v>1</v>
      </c>
      <c r="I95" s="184" t="s">
        <v>1</v>
      </c>
      <c r="J95" s="184" t="s">
        <v>1</v>
      </c>
      <c r="K95" s="184" t="s">
        <v>1</v>
      </c>
      <c r="L95" s="184" t="s">
        <v>1</v>
      </c>
      <c r="M95" s="318" t="s">
        <v>1</v>
      </c>
      <c r="N95" s="318" t="s">
        <v>1</v>
      </c>
      <c r="O95" s="318">
        <v>1.72</v>
      </c>
      <c r="P95" s="318">
        <v>8.1300000000000008</v>
      </c>
      <c r="Q95" s="318">
        <v>9.6199999999999992</v>
      </c>
      <c r="R95" s="318">
        <v>10.95</v>
      </c>
      <c r="S95" s="318">
        <v>12.17</v>
      </c>
      <c r="T95" s="318">
        <v>11.48</v>
      </c>
      <c r="U95" s="739">
        <v>10.87</v>
      </c>
      <c r="V95" s="739">
        <v>10.77</v>
      </c>
      <c r="W95" s="739">
        <v>11.5</v>
      </c>
      <c r="X95" s="739">
        <v>11.49</v>
      </c>
      <c r="Y95" s="739">
        <v>10.26</v>
      </c>
      <c r="Z95" s="739">
        <v>10.82</v>
      </c>
      <c r="AA95" s="739">
        <v>11.71</v>
      </c>
      <c r="AB95" s="739">
        <v>11.5</v>
      </c>
      <c r="AC95" s="739">
        <v>11.67</v>
      </c>
      <c r="AD95" s="739">
        <v>10.55</v>
      </c>
      <c r="AE95" s="739">
        <v>11.08</v>
      </c>
      <c r="AF95" s="739">
        <v>8.82</v>
      </c>
      <c r="AG95" s="739">
        <v>11.17</v>
      </c>
      <c r="AH95" s="318">
        <v>6.89</v>
      </c>
      <c r="AI95" s="318">
        <v>6.59</v>
      </c>
      <c r="AJ95" s="741">
        <v>6.34</v>
      </c>
      <c r="AK95" s="895">
        <v>5.69</v>
      </c>
      <c r="AL95" s="803">
        <v>4.5</v>
      </c>
      <c r="AM95" s="903">
        <v>4.79</v>
      </c>
      <c r="AN95" s="903">
        <v>4.87</v>
      </c>
      <c r="AO95" s="963">
        <v>4.88</v>
      </c>
      <c r="AP95" s="955">
        <v>4.6100000000000003</v>
      </c>
      <c r="AQ95" s="1074">
        <v>5.58</v>
      </c>
    </row>
    <row r="96" spans="1:43" s="11" customFormat="1" ht="15">
      <c r="A96" s="703" t="s">
        <v>403</v>
      </c>
      <c r="B96" s="711" t="s">
        <v>74</v>
      </c>
      <c r="C96" s="184"/>
      <c r="D96" s="184"/>
      <c r="E96" s="184"/>
      <c r="F96" s="184"/>
      <c r="G96" s="184"/>
      <c r="H96" s="184"/>
      <c r="I96" s="184"/>
      <c r="J96" s="184"/>
      <c r="K96" s="184"/>
      <c r="L96" s="184"/>
      <c r="M96" s="318"/>
      <c r="N96" s="318"/>
      <c r="O96" s="318"/>
      <c r="P96" s="318"/>
      <c r="Q96" s="318"/>
      <c r="R96" s="318"/>
      <c r="S96" s="318"/>
      <c r="T96" s="318"/>
      <c r="U96" s="318"/>
      <c r="V96" s="318"/>
      <c r="W96" s="318"/>
      <c r="X96" s="318"/>
      <c r="Y96" s="318"/>
      <c r="Z96" s="318"/>
      <c r="AA96" s="318"/>
      <c r="AB96" s="173"/>
      <c r="AC96" s="738"/>
      <c r="AD96" s="173"/>
      <c r="AE96" s="428"/>
      <c r="AF96" s="9"/>
      <c r="AG96" s="9"/>
      <c r="AH96" s="709"/>
      <c r="AI96" s="2"/>
      <c r="AJ96" s="2"/>
      <c r="AK96" s="771"/>
      <c r="AL96" s="812"/>
      <c r="AM96" s="164"/>
      <c r="AN96" s="904"/>
      <c r="AO96" s="964"/>
      <c r="AP96" s="957"/>
      <c r="AQ96" s="4"/>
    </row>
    <row r="97" spans="1:43" s="11" customFormat="1">
      <c r="A97" s="703" t="s">
        <v>108</v>
      </c>
      <c r="B97" s="722"/>
      <c r="C97" s="184">
        <v>5.6</v>
      </c>
      <c r="D97" s="184">
        <v>5.3</v>
      </c>
      <c r="E97" s="184">
        <v>4.8</v>
      </c>
      <c r="F97" s="184">
        <v>4.7</v>
      </c>
      <c r="G97" s="184">
        <v>4.5</v>
      </c>
      <c r="H97" s="184">
        <v>4.4000000000000004</v>
      </c>
      <c r="I97" s="184">
        <v>4</v>
      </c>
      <c r="J97" s="184">
        <v>3.7</v>
      </c>
      <c r="K97" s="184">
        <v>2.9</v>
      </c>
      <c r="L97" s="184">
        <v>3.2</v>
      </c>
      <c r="M97" s="318">
        <v>3.5</v>
      </c>
      <c r="N97" s="318">
        <v>3.5</v>
      </c>
      <c r="O97" s="318">
        <v>3.43</v>
      </c>
      <c r="P97" s="318">
        <v>3.49</v>
      </c>
      <c r="Q97" s="318">
        <v>3.5</v>
      </c>
      <c r="R97" s="318">
        <v>3.38</v>
      </c>
      <c r="S97" s="318">
        <v>3.3</v>
      </c>
      <c r="T97" s="318">
        <v>3.5</v>
      </c>
      <c r="U97" s="739">
        <v>3.47</v>
      </c>
      <c r="V97" s="739">
        <v>3.53</v>
      </c>
      <c r="W97" s="739">
        <v>3.72</v>
      </c>
      <c r="X97" s="739">
        <v>3.72</v>
      </c>
      <c r="Y97" s="739">
        <v>3.67</v>
      </c>
      <c r="Z97" s="739">
        <v>3.61</v>
      </c>
      <c r="AA97" s="739">
        <v>3.7</v>
      </c>
      <c r="AB97" s="739">
        <v>3.44</v>
      </c>
      <c r="AC97" s="739">
        <v>3.79</v>
      </c>
      <c r="AD97" s="739">
        <v>3.79</v>
      </c>
      <c r="AE97" s="739">
        <v>3.86</v>
      </c>
      <c r="AF97" s="739">
        <v>2.71</v>
      </c>
      <c r="AG97" s="739">
        <v>2.63</v>
      </c>
      <c r="AH97" s="741">
        <v>2.67</v>
      </c>
      <c r="AI97" s="741">
        <v>2.17</v>
      </c>
      <c r="AJ97" s="741">
        <v>1.75</v>
      </c>
      <c r="AK97" s="895">
        <v>2.16</v>
      </c>
      <c r="AL97" s="803">
        <v>2.42</v>
      </c>
      <c r="AM97" s="903">
        <v>2.17</v>
      </c>
      <c r="AN97" s="903">
        <v>2.11</v>
      </c>
      <c r="AO97" s="963">
        <v>2.12</v>
      </c>
      <c r="AP97" s="955">
        <v>2.2000000000000002</v>
      </c>
      <c r="AQ97" s="1074">
        <v>2.14</v>
      </c>
    </row>
    <row r="98" spans="1:43" s="11" customFormat="1">
      <c r="A98" s="708" t="s">
        <v>169</v>
      </c>
      <c r="B98" s="722"/>
      <c r="C98" s="184"/>
      <c r="D98" s="184"/>
      <c r="E98" s="184"/>
      <c r="F98" s="184"/>
      <c r="G98" s="184"/>
      <c r="H98" s="184"/>
      <c r="I98" s="184"/>
      <c r="J98" s="184"/>
      <c r="K98" s="184"/>
      <c r="L98" s="184"/>
      <c r="M98" s="318"/>
      <c r="N98" s="318"/>
      <c r="O98" s="318"/>
      <c r="P98" s="318"/>
      <c r="Q98" s="318"/>
      <c r="R98" s="318"/>
      <c r="S98" s="318"/>
      <c r="T98" s="318"/>
      <c r="U98" s="197"/>
      <c r="V98" s="197"/>
      <c r="W98" s="197"/>
      <c r="X98" s="197"/>
      <c r="Y98" s="197"/>
      <c r="Z98" s="197"/>
      <c r="AA98" s="197"/>
      <c r="AB98" s="197"/>
      <c r="AC98" s="197"/>
      <c r="AD98" s="197"/>
      <c r="AE98" s="197"/>
      <c r="AF98" s="197"/>
      <c r="AG98" s="197"/>
      <c r="AH98" s="197"/>
      <c r="AI98" s="197"/>
      <c r="AJ98" s="197"/>
      <c r="AK98" s="771"/>
      <c r="AL98" s="802"/>
      <c r="AM98" s="904"/>
      <c r="AN98" s="904"/>
      <c r="AO98" s="964"/>
      <c r="AP98" s="956"/>
      <c r="AQ98" s="1075"/>
    </row>
    <row r="99" spans="1:43" s="11" customFormat="1">
      <c r="A99" s="710" t="s">
        <v>109</v>
      </c>
      <c r="B99" s="722"/>
      <c r="C99" s="184" t="s">
        <v>1</v>
      </c>
      <c r="D99" s="184" t="s">
        <v>1</v>
      </c>
      <c r="E99" s="184" t="s">
        <v>1</v>
      </c>
      <c r="F99" s="184" t="s">
        <v>1</v>
      </c>
      <c r="G99" s="184" t="s">
        <v>1</v>
      </c>
      <c r="H99" s="184" t="s">
        <v>1</v>
      </c>
      <c r="I99" s="184" t="s">
        <v>1</v>
      </c>
      <c r="J99" s="184" t="s">
        <v>1</v>
      </c>
      <c r="K99" s="184" t="s">
        <v>1</v>
      </c>
      <c r="L99" s="184" t="s">
        <v>1</v>
      </c>
      <c r="M99" s="318" t="s">
        <v>1</v>
      </c>
      <c r="N99" s="318" t="s">
        <v>1</v>
      </c>
      <c r="O99" s="318">
        <v>3.86</v>
      </c>
      <c r="P99" s="318">
        <v>4.0599999999999996</v>
      </c>
      <c r="Q99" s="318">
        <v>3.42</v>
      </c>
      <c r="R99" s="318">
        <v>3.65</v>
      </c>
      <c r="S99" s="318">
        <v>3.94</v>
      </c>
      <c r="T99" s="318">
        <v>3.75</v>
      </c>
      <c r="U99" s="739">
        <v>4.22</v>
      </c>
      <c r="V99" s="739">
        <v>4.33</v>
      </c>
      <c r="W99" s="739">
        <v>4.41</v>
      </c>
      <c r="X99" s="739">
        <v>4.3499999999999996</v>
      </c>
      <c r="Y99" s="739">
        <v>4.37</v>
      </c>
      <c r="Z99" s="739">
        <v>4.41</v>
      </c>
      <c r="AA99" s="739">
        <v>4.33</v>
      </c>
      <c r="AB99" s="739">
        <v>4</v>
      </c>
      <c r="AC99" s="739">
        <v>4.0599999999999996</v>
      </c>
      <c r="AD99" s="739">
        <v>4.16</v>
      </c>
      <c r="AE99" s="739">
        <v>4.0999999999999996</v>
      </c>
      <c r="AF99" s="739">
        <v>3.33</v>
      </c>
      <c r="AG99" s="739">
        <v>3</v>
      </c>
      <c r="AH99" s="741">
        <v>2.35</v>
      </c>
      <c r="AI99" s="741">
        <v>2.19</v>
      </c>
      <c r="AJ99" s="741">
        <v>1.64</v>
      </c>
      <c r="AK99" s="895">
        <v>2.15</v>
      </c>
      <c r="AL99" s="803">
        <v>2.58</v>
      </c>
      <c r="AM99" s="903">
        <v>2.1</v>
      </c>
      <c r="AN99" s="903">
        <v>2.0299999999999998</v>
      </c>
      <c r="AO99" s="963">
        <v>2.08</v>
      </c>
      <c r="AP99" s="955">
        <v>2.1800000000000002</v>
      </c>
      <c r="AQ99" s="1074">
        <v>2.15</v>
      </c>
    </row>
    <row r="100" spans="1:43" s="11" customFormat="1">
      <c r="A100" s="710" t="s">
        <v>135</v>
      </c>
      <c r="B100" s="722"/>
      <c r="C100" s="184" t="s">
        <v>1</v>
      </c>
      <c r="D100" s="184" t="s">
        <v>1</v>
      </c>
      <c r="E100" s="184" t="s">
        <v>1</v>
      </c>
      <c r="F100" s="184" t="s">
        <v>1</v>
      </c>
      <c r="G100" s="184" t="s">
        <v>1</v>
      </c>
      <c r="H100" s="184" t="s">
        <v>1</v>
      </c>
      <c r="I100" s="184" t="s">
        <v>1</v>
      </c>
      <c r="J100" s="184" t="s">
        <v>1</v>
      </c>
      <c r="K100" s="184" t="s">
        <v>1</v>
      </c>
      <c r="L100" s="184" t="s">
        <v>1</v>
      </c>
      <c r="M100" s="318" t="s">
        <v>1</v>
      </c>
      <c r="N100" s="318" t="s">
        <v>1</v>
      </c>
      <c r="O100" s="318" t="s">
        <v>1</v>
      </c>
      <c r="P100" s="318" t="s">
        <v>1</v>
      </c>
      <c r="Q100" s="318" t="s">
        <v>1</v>
      </c>
      <c r="R100" s="318" t="s">
        <v>1</v>
      </c>
      <c r="S100" s="318" t="s">
        <v>1</v>
      </c>
      <c r="T100" s="318" t="s">
        <v>1</v>
      </c>
      <c r="U100" s="739">
        <v>0.09</v>
      </c>
      <c r="V100" s="739">
        <v>0.42</v>
      </c>
      <c r="W100" s="739">
        <v>1.98</v>
      </c>
      <c r="X100" s="739">
        <v>2.0699999999999998</v>
      </c>
      <c r="Y100" s="739">
        <v>2.16</v>
      </c>
      <c r="Z100" s="739">
        <v>2.4</v>
      </c>
      <c r="AA100" s="739">
        <v>2.68</v>
      </c>
      <c r="AB100" s="739">
        <v>2.66</v>
      </c>
      <c r="AC100" s="739">
        <v>3.24</v>
      </c>
      <c r="AD100" s="739">
        <v>3.43</v>
      </c>
      <c r="AE100" s="739">
        <v>3.76</v>
      </c>
      <c r="AF100" s="739">
        <v>2.2400000000000002</v>
      </c>
      <c r="AG100" s="739">
        <v>2</v>
      </c>
      <c r="AH100" s="741">
        <v>2.71</v>
      </c>
      <c r="AI100" s="741">
        <v>1.7</v>
      </c>
      <c r="AJ100" s="741">
        <v>1.42</v>
      </c>
      <c r="AK100" s="895">
        <v>1.88</v>
      </c>
      <c r="AL100" s="803">
        <v>2.2200000000000002</v>
      </c>
      <c r="AM100" s="903">
        <v>1.98</v>
      </c>
      <c r="AN100" s="903">
        <v>1.93</v>
      </c>
      <c r="AO100" s="963">
        <v>1.89</v>
      </c>
      <c r="AP100" s="955">
        <v>2.02</v>
      </c>
      <c r="AQ100" s="1074">
        <v>1.96</v>
      </c>
    </row>
    <row r="101" spans="1:43" s="11" customFormat="1">
      <c r="A101" s="710" t="s">
        <v>110</v>
      </c>
      <c r="B101" s="722"/>
      <c r="C101" s="184" t="s">
        <v>1</v>
      </c>
      <c r="D101" s="184" t="s">
        <v>1</v>
      </c>
      <c r="E101" s="184" t="s">
        <v>1</v>
      </c>
      <c r="F101" s="184" t="s">
        <v>1</v>
      </c>
      <c r="G101" s="184" t="s">
        <v>1</v>
      </c>
      <c r="H101" s="184" t="s">
        <v>1</v>
      </c>
      <c r="I101" s="184" t="s">
        <v>1</v>
      </c>
      <c r="J101" s="184" t="s">
        <v>1</v>
      </c>
      <c r="K101" s="184" t="s">
        <v>1</v>
      </c>
      <c r="L101" s="184" t="s">
        <v>1</v>
      </c>
      <c r="M101" s="318" t="s">
        <v>1</v>
      </c>
      <c r="N101" s="318" t="s">
        <v>1</v>
      </c>
      <c r="O101" s="318">
        <v>3.31</v>
      </c>
      <c r="P101" s="318">
        <v>3.11</v>
      </c>
      <c r="Q101" s="318">
        <v>3.52</v>
      </c>
      <c r="R101" s="318">
        <v>3.46</v>
      </c>
      <c r="S101" s="318">
        <v>3.43</v>
      </c>
      <c r="T101" s="318">
        <v>4.62</v>
      </c>
      <c r="U101" s="739">
        <v>4.71</v>
      </c>
      <c r="V101" s="739">
        <v>4.55</v>
      </c>
      <c r="W101" s="739">
        <v>4.54</v>
      </c>
      <c r="X101" s="739">
        <v>4.5199999999999996</v>
      </c>
      <c r="Y101" s="739">
        <v>4.3600000000000003</v>
      </c>
      <c r="Z101" s="739">
        <v>4.17</v>
      </c>
      <c r="AA101" s="739">
        <v>3.94</v>
      </c>
      <c r="AB101" s="739">
        <v>3.86</v>
      </c>
      <c r="AC101" s="739">
        <v>4.13</v>
      </c>
      <c r="AD101" s="739">
        <v>4.04</v>
      </c>
      <c r="AE101" s="739">
        <v>3.91</v>
      </c>
      <c r="AF101" s="739">
        <v>2.74</v>
      </c>
      <c r="AG101" s="739">
        <v>2.68</v>
      </c>
      <c r="AH101" s="741">
        <v>2.88</v>
      </c>
      <c r="AI101" s="741">
        <v>2.56</v>
      </c>
      <c r="AJ101" s="741">
        <v>2.02</v>
      </c>
      <c r="AK101" s="895">
        <v>2.13</v>
      </c>
      <c r="AL101" s="803">
        <v>2.61</v>
      </c>
      <c r="AM101" s="903">
        <v>2.2400000000000002</v>
      </c>
      <c r="AN101" s="903">
        <v>2.0099999999999998</v>
      </c>
      <c r="AO101" s="963">
        <v>1.93</v>
      </c>
      <c r="AP101" s="955">
        <v>1.99</v>
      </c>
      <c r="AQ101" s="1074">
        <v>1.97</v>
      </c>
    </row>
    <row r="102" spans="1:43" s="11" customFormat="1">
      <c r="A102" s="710" t="s">
        <v>111</v>
      </c>
      <c r="B102" s="722"/>
      <c r="C102" s="184" t="s">
        <v>1</v>
      </c>
      <c r="D102" s="184" t="s">
        <v>1</v>
      </c>
      <c r="E102" s="184" t="s">
        <v>1</v>
      </c>
      <c r="F102" s="184" t="s">
        <v>1</v>
      </c>
      <c r="G102" s="184" t="s">
        <v>1</v>
      </c>
      <c r="H102" s="184" t="s">
        <v>1</v>
      </c>
      <c r="I102" s="184" t="s">
        <v>1</v>
      </c>
      <c r="J102" s="184" t="s">
        <v>1</v>
      </c>
      <c r="K102" s="184" t="s">
        <v>1</v>
      </c>
      <c r="L102" s="184" t="s">
        <v>1</v>
      </c>
      <c r="M102" s="318" t="s">
        <v>1</v>
      </c>
      <c r="N102" s="318" t="s">
        <v>1</v>
      </c>
      <c r="O102" s="318">
        <v>3.38</v>
      </c>
      <c r="P102" s="318">
        <v>3.29</v>
      </c>
      <c r="Q102" s="318">
        <v>2.93</v>
      </c>
      <c r="R102" s="318">
        <v>2.87</v>
      </c>
      <c r="S102" s="318">
        <v>2.6</v>
      </c>
      <c r="T102" s="318">
        <v>2.86</v>
      </c>
      <c r="U102" s="739">
        <v>3.01</v>
      </c>
      <c r="V102" s="739">
        <v>3.01</v>
      </c>
      <c r="W102" s="739">
        <v>3.08</v>
      </c>
      <c r="X102" s="739">
        <v>3.36</v>
      </c>
      <c r="Y102" s="739">
        <v>3.17</v>
      </c>
      <c r="Z102" s="739">
        <v>3.1</v>
      </c>
      <c r="AA102" s="739">
        <v>3.34</v>
      </c>
      <c r="AB102" s="739">
        <v>3</v>
      </c>
      <c r="AC102" s="739">
        <v>3.41</v>
      </c>
      <c r="AD102" s="739">
        <v>3.18</v>
      </c>
      <c r="AE102" s="739">
        <v>3.09</v>
      </c>
      <c r="AF102" s="739">
        <v>2.34</v>
      </c>
      <c r="AG102" s="739">
        <v>2.41</v>
      </c>
      <c r="AH102" s="741">
        <v>2.66</v>
      </c>
      <c r="AI102" s="741">
        <v>2.06</v>
      </c>
      <c r="AJ102" s="741">
        <v>1.82</v>
      </c>
      <c r="AK102" s="895">
        <v>2.34</v>
      </c>
      <c r="AL102" s="803">
        <v>2.39</v>
      </c>
      <c r="AM102" s="903">
        <v>2.37</v>
      </c>
      <c r="AN102" s="903">
        <v>2.3199999999999998</v>
      </c>
      <c r="AO102" s="963">
        <v>2.42</v>
      </c>
      <c r="AP102" s="955">
        <v>2.41</v>
      </c>
      <c r="AQ102" s="1074">
        <v>2.33</v>
      </c>
    </row>
    <row r="103" spans="1:43" s="11" customFormat="1">
      <c r="A103" s="710" t="s">
        <v>388</v>
      </c>
      <c r="B103" s="722"/>
      <c r="C103" s="184" t="s">
        <v>1</v>
      </c>
      <c r="D103" s="184" t="s">
        <v>1</v>
      </c>
      <c r="E103" s="184" t="s">
        <v>1</v>
      </c>
      <c r="F103" s="184" t="s">
        <v>1</v>
      </c>
      <c r="G103" s="184" t="s">
        <v>1</v>
      </c>
      <c r="H103" s="184" t="s">
        <v>1</v>
      </c>
      <c r="I103" s="184" t="s">
        <v>1</v>
      </c>
      <c r="J103" s="184" t="s">
        <v>1</v>
      </c>
      <c r="K103" s="184" t="s">
        <v>1</v>
      </c>
      <c r="L103" s="184" t="s">
        <v>1</v>
      </c>
      <c r="M103" s="318" t="s">
        <v>1</v>
      </c>
      <c r="N103" s="318" t="s">
        <v>1</v>
      </c>
      <c r="O103" s="318">
        <v>3.18</v>
      </c>
      <c r="P103" s="318">
        <v>3.27</v>
      </c>
      <c r="Q103" s="318">
        <v>3.28</v>
      </c>
      <c r="R103" s="318">
        <v>3.04</v>
      </c>
      <c r="S103" s="318">
        <v>3.13</v>
      </c>
      <c r="T103" s="318">
        <v>4.58</v>
      </c>
      <c r="U103" s="739">
        <v>4.09</v>
      </c>
      <c r="V103" s="739">
        <v>4.4400000000000004</v>
      </c>
      <c r="W103" s="739">
        <v>4.2</v>
      </c>
      <c r="X103" s="739">
        <v>3.95</v>
      </c>
      <c r="Y103" s="739">
        <v>4.16</v>
      </c>
      <c r="Z103" s="739">
        <v>3.74</v>
      </c>
      <c r="AA103" s="739">
        <v>3.87</v>
      </c>
      <c r="AB103" s="739">
        <v>3.82</v>
      </c>
      <c r="AC103" s="739">
        <v>4.37</v>
      </c>
      <c r="AD103" s="739">
        <v>4.2300000000000004</v>
      </c>
      <c r="AE103" s="739">
        <v>4.13</v>
      </c>
      <c r="AF103" s="739">
        <v>3.06</v>
      </c>
      <c r="AG103" s="739">
        <v>2.95</v>
      </c>
      <c r="AH103" s="741">
        <v>2.81</v>
      </c>
      <c r="AI103" s="741">
        <v>2.2400000000000002</v>
      </c>
      <c r="AJ103" s="741">
        <v>1.65</v>
      </c>
      <c r="AK103" s="895">
        <v>2.14</v>
      </c>
      <c r="AL103" s="803">
        <v>2.2999999999999998</v>
      </c>
      <c r="AM103" s="903">
        <v>2.2999999999999998</v>
      </c>
      <c r="AN103" s="903">
        <v>2.38</v>
      </c>
      <c r="AO103" s="963">
        <v>2.38</v>
      </c>
      <c r="AP103" s="955">
        <v>2.38</v>
      </c>
      <c r="AQ103" s="1074">
        <v>2.44</v>
      </c>
    </row>
    <row r="104" spans="1:43" s="11" customFormat="1">
      <c r="A104" s="710" t="s">
        <v>136</v>
      </c>
      <c r="B104" s="722"/>
      <c r="C104" s="184" t="s">
        <v>1</v>
      </c>
      <c r="D104" s="184" t="s">
        <v>1</v>
      </c>
      <c r="E104" s="184" t="s">
        <v>1</v>
      </c>
      <c r="F104" s="184" t="s">
        <v>1</v>
      </c>
      <c r="G104" s="184" t="s">
        <v>1</v>
      </c>
      <c r="H104" s="184" t="s">
        <v>1</v>
      </c>
      <c r="I104" s="184" t="s">
        <v>1</v>
      </c>
      <c r="J104" s="184" t="s">
        <v>1</v>
      </c>
      <c r="K104" s="184" t="s">
        <v>1</v>
      </c>
      <c r="L104" s="184" t="s">
        <v>1</v>
      </c>
      <c r="M104" s="318" t="s">
        <v>1</v>
      </c>
      <c r="N104" s="318" t="s">
        <v>1</v>
      </c>
      <c r="O104" s="318">
        <v>3.78</v>
      </c>
      <c r="P104" s="318">
        <v>4.0999999999999996</v>
      </c>
      <c r="Q104" s="318">
        <v>3.86</v>
      </c>
      <c r="R104" s="318">
        <v>3.66</v>
      </c>
      <c r="S104" s="318">
        <v>3.55</v>
      </c>
      <c r="T104" s="318">
        <v>3.58</v>
      </c>
      <c r="U104" s="739">
        <v>3.56</v>
      </c>
      <c r="V104" s="739">
        <v>3.94</v>
      </c>
      <c r="W104" s="739">
        <v>3.88</v>
      </c>
      <c r="X104" s="739">
        <v>3.65</v>
      </c>
      <c r="Y104" s="739">
        <v>3.81</v>
      </c>
      <c r="Z104" s="739">
        <v>3.84</v>
      </c>
      <c r="AA104" s="739">
        <v>3.82</v>
      </c>
      <c r="AB104" s="739">
        <v>3.19</v>
      </c>
      <c r="AC104" s="739">
        <v>3.37</v>
      </c>
      <c r="AD104" s="739">
        <v>3.64</v>
      </c>
      <c r="AE104" s="739">
        <v>3.8</v>
      </c>
      <c r="AF104" s="739">
        <v>2.4500000000000002</v>
      </c>
      <c r="AG104" s="739">
        <v>2.87</v>
      </c>
      <c r="AH104" s="741">
        <v>2.33</v>
      </c>
      <c r="AI104" s="741">
        <v>2.31</v>
      </c>
      <c r="AJ104" s="741">
        <v>1.7</v>
      </c>
      <c r="AK104" s="895">
        <v>2.09</v>
      </c>
      <c r="AL104" s="803">
        <v>2.44</v>
      </c>
      <c r="AM104" s="903">
        <v>2.06</v>
      </c>
      <c r="AN104" s="903">
        <v>1.95</v>
      </c>
      <c r="AO104" s="963">
        <v>2.02</v>
      </c>
      <c r="AP104" s="955">
        <v>2.17</v>
      </c>
      <c r="AQ104" s="1074">
        <v>1.97</v>
      </c>
    </row>
    <row r="105" spans="1:43" s="11" customFormat="1">
      <c r="A105" s="710" t="s">
        <v>112</v>
      </c>
      <c r="B105" s="722"/>
      <c r="C105" s="184" t="s">
        <v>1</v>
      </c>
      <c r="D105" s="184" t="s">
        <v>1</v>
      </c>
      <c r="E105" s="184" t="s">
        <v>1</v>
      </c>
      <c r="F105" s="184" t="s">
        <v>1</v>
      </c>
      <c r="G105" s="184" t="s">
        <v>1</v>
      </c>
      <c r="H105" s="184" t="s">
        <v>1</v>
      </c>
      <c r="I105" s="184" t="s">
        <v>1</v>
      </c>
      <c r="J105" s="184" t="s">
        <v>1</v>
      </c>
      <c r="K105" s="184" t="s">
        <v>1</v>
      </c>
      <c r="L105" s="184" t="s">
        <v>1</v>
      </c>
      <c r="M105" s="318" t="s">
        <v>1</v>
      </c>
      <c r="N105" s="318" t="s">
        <v>1</v>
      </c>
      <c r="O105" s="318" t="s">
        <v>1</v>
      </c>
      <c r="P105" s="318" t="s">
        <v>1</v>
      </c>
      <c r="Q105" s="318" t="s">
        <v>1</v>
      </c>
      <c r="R105" s="318" t="s">
        <v>1</v>
      </c>
      <c r="S105" s="318" t="s">
        <v>1</v>
      </c>
      <c r="T105" s="318" t="s">
        <v>1</v>
      </c>
      <c r="U105" s="739">
        <v>1.37</v>
      </c>
      <c r="V105" s="739">
        <v>1.38</v>
      </c>
      <c r="W105" s="739">
        <v>1.62</v>
      </c>
      <c r="X105" s="739">
        <v>1.58</v>
      </c>
      <c r="Y105" s="739">
        <v>1.44</v>
      </c>
      <c r="Z105" s="739">
        <v>2.14</v>
      </c>
      <c r="AA105" s="739">
        <v>2.17</v>
      </c>
      <c r="AB105" s="739">
        <v>3</v>
      </c>
      <c r="AC105" s="739">
        <v>3.66</v>
      </c>
      <c r="AD105" s="739">
        <v>4.34</v>
      </c>
      <c r="AE105" s="739">
        <v>4.3899999999999997</v>
      </c>
      <c r="AF105" s="739">
        <v>3.29</v>
      </c>
      <c r="AG105" s="739">
        <v>2.91</v>
      </c>
      <c r="AH105" s="741">
        <v>2.99</v>
      </c>
      <c r="AI105" s="741">
        <v>2.25</v>
      </c>
      <c r="AJ105" s="741">
        <v>1.71</v>
      </c>
      <c r="AK105" s="895">
        <v>2.12</v>
      </c>
      <c r="AL105" s="803">
        <v>2.73</v>
      </c>
      <c r="AM105" s="903">
        <v>2.36</v>
      </c>
      <c r="AN105" s="903">
        <v>2.4</v>
      </c>
      <c r="AO105" s="963">
        <v>2.39</v>
      </c>
      <c r="AP105" s="955">
        <v>2.4300000000000002</v>
      </c>
      <c r="AQ105" s="1074">
        <v>2.2999999999999998</v>
      </c>
    </row>
    <row r="106" spans="1:43" s="11" customFormat="1">
      <c r="A106" s="710" t="s">
        <v>113</v>
      </c>
      <c r="B106" s="722"/>
      <c r="C106" s="184" t="s">
        <v>1</v>
      </c>
      <c r="D106" s="184" t="s">
        <v>1</v>
      </c>
      <c r="E106" s="184" t="s">
        <v>1</v>
      </c>
      <c r="F106" s="184" t="s">
        <v>1</v>
      </c>
      <c r="G106" s="184" t="s">
        <v>1</v>
      </c>
      <c r="H106" s="184" t="s">
        <v>1</v>
      </c>
      <c r="I106" s="184" t="s">
        <v>1</v>
      </c>
      <c r="J106" s="184" t="s">
        <v>1</v>
      </c>
      <c r="K106" s="184" t="s">
        <v>1</v>
      </c>
      <c r="L106" s="184" t="s">
        <v>1</v>
      </c>
      <c r="M106" s="318" t="s">
        <v>1</v>
      </c>
      <c r="N106" s="318" t="s">
        <v>1</v>
      </c>
      <c r="O106" s="318">
        <v>3.23</v>
      </c>
      <c r="P106" s="318">
        <v>3.61</v>
      </c>
      <c r="Q106" s="318">
        <v>3.91</v>
      </c>
      <c r="R106" s="318">
        <v>3.71</v>
      </c>
      <c r="S106" s="318">
        <v>3.48</v>
      </c>
      <c r="T106" s="318">
        <v>4.46</v>
      </c>
      <c r="U106" s="739">
        <v>4.51</v>
      </c>
      <c r="V106" s="739">
        <v>4.3099999999999996</v>
      </c>
      <c r="W106" s="739">
        <v>4.3499999999999996</v>
      </c>
      <c r="X106" s="739">
        <v>4.4400000000000004</v>
      </c>
      <c r="Y106" s="739">
        <v>4.21</v>
      </c>
      <c r="Z106" s="739">
        <v>4</v>
      </c>
      <c r="AA106" s="739">
        <v>4.4000000000000004</v>
      </c>
      <c r="AB106" s="739">
        <v>3.8</v>
      </c>
      <c r="AC106" s="739">
        <v>4.18</v>
      </c>
      <c r="AD106" s="739">
        <v>4.0199999999999996</v>
      </c>
      <c r="AE106" s="739">
        <v>4.47</v>
      </c>
      <c r="AF106" s="739">
        <v>2.92</v>
      </c>
      <c r="AG106" s="739">
        <v>2.8</v>
      </c>
      <c r="AH106" s="741">
        <v>2.68</v>
      </c>
      <c r="AI106" s="741">
        <v>2.14</v>
      </c>
      <c r="AJ106" s="741">
        <v>2.0499999999999998</v>
      </c>
      <c r="AK106" s="895">
        <v>2.4500000000000002</v>
      </c>
      <c r="AL106" s="803">
        <v>2.25</v>
      </c>
      <c r="AM106" s="903">
        <v>2.11</v>
      </c>
      <c r="AN106" s="903">
        <v>2.13</v>
      </c>
      <c r="AO106" s="963">
        <v>2.11</v>
      </c>
      <c r="AP106" s="955">
        <v>2.3199999999999998</v>
      </c>
      <c r="AQ106" s="1074">
        <v>2.27</v>
      </c>
    </row>
    <row r="107" spans="1:43" s="11" customFormat="1" ht="15">
      <c r="A107" s="703" t="s">
        <v>404</v>
      </c>
      <c r="B107" s="726" t="s">
        <v>184</v>
      </c>
      <c r="C107" s="184"/>
      <c r="D107" s="184"/>
      <c r="E107" s="184"/>
      <c r="F107" s="184"/>
      <c r="G107" s="184"/>
      <c r="H107" s="184"/>
      <c r="I107" s="184"/>
      <c r="J107" s="184"/>
      <c r="K107" s="184"/>
      <c r="L107" s="184"/>
      <c r="M107" s="318"/>
      <c r="N107" s="318"/>
      <c r="O107" s="318"/>
      <c r="P107" s="318"/>
      <c r="Q107" s="318"/>
      <c r="R107" s="318"/>
      <c r="S107" s="318"/>
      <c r="T107" s="318"/>
      <c r="U107" s="318"/>
      <c r="V107" s="318"/>
      <c r="W107" s="318"/>
      <c r="X107" s="318"/>
      <c r="Y107" s="318"/>
      <c r="Z107" s="318"/>
      <c r="AA107" s="318"/>
      <c r="AB107" s="173"/>
      <c r="AC107" s="688"/>
      <c r="AD107" s="173"/>
      <c r="AE107" s="9"/>
      <c r="AF107" s="9"/>
      <c r="AH107" s="9"/>
      <c r="AI107" s="2"/>
      <c r="AJ107" s="2"/>
      <c r="AK107" s="825"/>
      <c r="AL107" s="812"/>
      <c r="AM107" s="164"/>
      <c r="AN107" s="164"/>
      <c r="AP107" s="164"/>
      <c r="AQ107" s="4"/>
    </row>
    <row r="108" spans="1:43" s="11" customFormat="1">
      <c r="A108" s="703" t="s">
        <v>108</v>
      </c>
      <c r="B108" s="223"/>
      <c r="C108" s="674">
        <v>3213</v>
      </c>
      <c r="D108" s="674">
        <v>-8159</v>
      </c>
      <c r="E108" s="674">
        <v>-13534</v>
      </c>
      <c r="F108" s="674">
        <v>-13462</v>
      </c>
      <c r="G108" s="674">
        <v>-759</v>
      </c>
      <c r="H108" s="674">
        <v>3942</v>
      </c>
      <c r="I108" s="674">
        <v>-957</v>
      </c>
      <c r="J108" s="674">
        <v>4644</v>
      </c>
      <c r="K108" s="757">
        <v>253</v>
      </c>
      <c r="L108" s="674">
        <v>-4397</v>
      </c>
      <c r="M108" s="122">
        <v>1798</v>
      </c>
      <c r="N108" s="122">
        <v>13022</v>
      </c>
      <c r="O108" s="122">
        <v>18799</v>
      </c>
      <c r="P108" s="122">
        <v>23686</v>
      </c>
      <c r="Q108" s="122">
        <v>26209</v>
      </c>
      <c r="R108" s="122">
        <v>23430</v>
      </c>
      <c r="S108" s="122">
        <v>19916</v>
      </c>
      <c r="T108" s="122">
        <v>18551</v>
      </c>
      <c r="U108" s="748">
        <v>15626</v>
      </c>
      <c r="V108" s="748">
        <v>10372</v>
      </c>
      <c r="W108" s="748">
        <v>24261</v>
      </c>
      <c r="X108" s="748">
        <v>12476</v>
      </c>
      <c r="Y108" s="748">
        <v>17159</v>
      </c>
      <c r="Z108" s="748">
        <v>21992</v>
      </c>
      <c r="AA108" s="748">
        <v>40742</v>
      </c>
      <c r="AB108" s="748">
        <v>27632</v>
      </c>
      <c r="AC108" s="758">
        <v>30197</v>
      </c>
      <c r="AD108" s="748">
        <v>31082</v>
      </c>
      <c r="AE108" s="362">
        <v>40098</v>
      </c>
      <c r="AF108" s="748">
        <v>39350</v>
      </c>
      <c r="AG108" s="759">
        <v>27901</v>
      </c>
      <c r="AH108" s="759">
        <v>36528</v>
      </c>
      <c r="AI108" s="759">
        <v>43210</v>
      </c>
      <c r="AJ108" s="759">
        <v>41184</v>
      </c>
      <c r="AK108" s="768">
        <v>36437</v>
      </c>
      <c r="AL108" s="768">
        <v>1753</v>
      </c>
      <c r="AM108" s="59">
        <v>3816</v>
      </c>
      <c r="AN108" s="59">
        <v>6547</v>
      </c>
      <c r="AO108" s="73">
        <v>8405</v>
      </c>
      <c r="AP108" s="59">
        <v>11204</v>
      </c>
      <c r="AQ108" s="1077">
        <v>16933</v>
      </c>
    </row>
    <row r="109" spans="1:43" s="11" customFormat="1">
      <c r="A109" s="708" t="s">
        <v>169</v>
      </c>
      <c r="B109" s="223"/>
      <c r="C109" s="674"/>
      <c r="D109" s="674"/>
      <c r="E109" s="674"/>
      <c r="F109" s="674"/>
      <c r="G109" s="674"/>
      <c r="H109" s="674"/>
      <c r="I109" s="674"/>
      <c r="J109" s="674"/>
      <c r="K109" s="757"/>
      <c r="L109" s="674"/>
      <c r="M109" s="122"/>
      <c r="N109" s="122"/>
      <c r="O109" s="122"/>
      <c r="P109" s="122"/>
      <c r="Q109" s="122"/>
      <c r="R109" s="122"/>
      <c r="S109" s="122"/>
      <c r="T109" s="122"/>
      <c r="AK109" s="812"/>
      <c r="AL109" s="812"/>
      <c r="AM109" s="164"/>
      <c r="AN109" s="164"/>
      <c r="AO109" s="219"/>
      <c r="AP109" s="164"/>
      <c r="AQ109" s="4"/>
    </row>
    <row r="110" spans="1:43" s="11" customFormat="1">
      <c r="A110" s="710" t="s">
        <v>109</v>
      </c>
      <c r="B110" s="223"/>
      <c r="C110" s="674" t="s">
        <v>1</v>
      </c>
      <c r="D110" s="674" t="s">
        <v>1</v>
      </c>
      <c r="E110" s="674" t="s">
        <v>1</v>
      </c>
      <c r="F110" s="674" t="s">
        <v>1</v>
      </c>
      <c r="G110" s="674" t="s">
        <v>1</v>
      </c>
      <c r="H110" s="674" t="s">
        <v>1</v>
      </c>
      <c r="I110" s="674" t="s">
        <v>1</v>
      </c>
      <c r="J110" s="674" t="s">
        <v>1</v>
      </c>
      <c r="K110" s="674" t="s">
        <v>1</v>
      </c>
      <c r="L110" s="674" t="s">
        <v>1</v>
      </c>
      <c r="M110" s="122" t="s">
        <v>1</v>
      </c>
      <c r="N110" s="122" t="s">
        <v>1</v>
      </c>
      <c r="O110" s="122">
        <v>-1513</v>
      </c>
      <c r="P110" s="122">
        <v>833</v>
      </c>
      <c r="Q110" s="122">
        <v>1421</v>
      </c>
      <c r="R110" s="122">
        <v>-610</v>
      </c>
      <c r="S110" s="122">
        <v>1651</v>
      </c>
      <c r="T110" s="122">
        <v>-441</v>
      </c>
      <c r="U110" s="748">
        <v>-1681</v>
      </c>
      <c r="V110" s="748">
        <v>-2151</v>
      </c>
      <c r="W110" s="748">
        <v>6141</v>
      </c>
      <c r="X110" s="748">
        <v>2766</v>
      </c>
      <c r="Y110" s="748">
        <v>-743</v>
      </c>
      <c r="Z110" s="748">
        <v>2185</v>
      </c>
      <c r="AA110" s="748">
        <v>4909</v>
      </c>
      <c r="AB110" s="748">
        <v>1281</v>
      </c>
      <c r="AC110" s="748">
        <v>-967</v>
      </c>
      <c r="AD110" s="748">
        <v>-2126</v>
      </c>
      <c r="AE110" s="748">
        <v>2335</v>
      </c>
      <c r="AF110" s="748">
        <v>3142</v>
      </c>
      <c r="AG110" s="748">
        <v>2219</v>
      </c>
      <c r="AH110" s="748">
        <v>3592</v>
      </c>
      <c r="AI110" s="759">
        <v>3746</v>
      </c>
      <c r="AJ110" s="759">
        <v>3722</v>
      </c>
      <c r="AK110" s="768">
        <v>3428</v>
      </c>
      <c r="AL110" s="768">
        <v>214</v>
      </c>
      <c r="AM110" s="59">
        <v>501</v>
      </c>
      <c r="AN110" s="59">
        <v>848</v>
      </c>
      <c r="AO110" s="73">
        <v>1099</v>
      </c>
      <c r="AP110" s="59">
        <v>1219</v>
      </c>
      <c r="AQ110" s="1077">
        <v>1453</v>
      </c>
    </row>
    <row r="111" spans="1:43" s="11" customFormat="1">
      <c r="A111" s="710" t="s">
        <v>135</v>
      </c>
      <c r="B111" s="223"/>
      <c r="C111" s="674" t="s">
        <v>1</v>
      </c>
      <c r="D111" s="674" t="s">
        <v>1</v>
      </c>
      <c r="E111" s="674" t="s">
        <v>1</v>
      </c>
      <c r="F111" s="674" t="s">
        <v>1</v>
      </c>
      <c r="G111" s="674" t="s">
        <v>1</v>
      </c>
      <c r="H111" s="674" t="s">
        <v>1</v>
      </c>
      <c r="I111" s="674" t="s">
        <v>1</v>
      </c>
      <c r="J111" s="674" t="s">
        <v>1</v>
      </c>
      <c r="K111" s="674" t="s">
        <v>1</v>
      </c>
      <c r="L111" s="674" t="s">
        <v>1</v>
      </c>
      <c r="M111" s="122" t="s">
        <v>1</v>
      </c>
      <c r="N111" s="122" t="s">
        <v>1</v>
      </c>
      <c r="O111" s="122" t="s">
        <v>1</v>
      </c>
      <c r="P111" s="122" t="s">
        <v>1</v>
      </c>
      <c r="Q111" s="122" t="s">
        <v>1</v>
      </c>
      <c r="R111" s="122" t="s">
        <v>1</v>
      </c>
      <c r="S111" s="122" t="s">
        <v>1</v>
      </c>
      <c r="T111" s="122" t="s">
        <v>1</v>
      </c>
      <c r="U111" s="748">
        <v>3792</v>
      </c>
      <c r="V111" s="748">
        <v>2704</v>
      </c>
      <c r="W111" s="748">
        <v>5542</v>
      </c>
      <c r="X111" s="748">
        <v>5469</v>
      </c>
      <c r="Y111" s="748">
        <v>412</v>
      </c>
      <c r="Z111" s="748">
        <v>-811</v>
      </c>
      <c r="AA111" s="748">
        <v>8644</v>
      </c>
      <c r="AB111" s="748">
        <v>12263</v>
      </c>
      <c r="AC111" s="748">
        <v>14356</v>
      </c>
      <c r="AD111" s="748">
        <v>10469</v>
      </c>
      <c r="AE111" s="748">
        <v>11272</v>
      </c>
      <c r="AF111" s="748">
        <v>12304</v>
      </c>
      <c r="AG111" s="748">
        <v>8105</v>
      </c>
      <c r="AH111" s="748">
        <v>9888</v>
      </c>
      <c r="AI111" s="759">
        <v>9767</v>
      </c>
      <c r="AJ111" s="759">
        <v>9698</v>
      </c>
      <c r="AK111" s="768">
        <v>10370</v>
      </c>
      <c r="AL111" s="768">
        <v>501</v>
      </c>
      <c r="AM111" s="59">
        <v>1040</v>
      </c>
      <c r="AN111" s="59">
        <v>1744</v>
      </c>
      <c r="AO111" s="73">
        <v>2252</v>
      </c>
      <c r="AP111" s="59">
        <v>2964</v>
      </c>
      <c r="AQ111" s="1077">
        <v>4747</v>
      </c>
    </row>
    <row r="112" spans="1:43" s="11" customFormat="1">
      <c r="A112" s="710" t="s">
        <v>110</v>
      </c>
      <c r="B112" s="223"/>
      <c r="C112" s="674" t="s">
        <v>1</v>
      </c>
      <c r="D112" s="674" t="s">
        <v>1</v>
      </c>
      <c r="E112" s="674" t="s">
        <v>1</v>
      </c>
      <c r="F112" s="674" t="s">
        <v>1</v>
      </c>
      <c r="G112" s="674" t="s">
        <v>1</v>
      </c>
      <c r="H112" s="674" t="s">
        <v>1</v>
      </c>
      <c r="I112" s="674" t="s">
        <v>1</v>
      </c>
      <c r="J112" s="674" t="s">
        <v>1</v>
      </c>
      <c r="K112" s="674" t="s">
        <v>1</v>
      </c>
      <c r="L112" s="674" t="s">
        <v>1</v>
      </c>
      <c r="M112" s="122" t="s">
        <v>1</v>
      </c>
      <c r="N112" s="122" t="s">
        <v>1</v>
      </c>
      <c r="O112" s="122">
        <v>4124</v>
      </c>
      <c r="P112" s="122">
        <v>3415</v>
      </c>
      <c r="Q112" s="122">
        <v>6503</v>
      </c>
      <c r="R112" s="122">
        <v>7356</v>
      </c>
      <c r="S112" s="122">
        <v>6158</v>
      </c>
      <c r="T112" s="122">
        <v>7418</v>
      </c>
      <c r="U112" s="748">
        <v>2414</v>
      </c>
      <c r="V112" s="748">
        <v>-1395</v>
      </c>
      <c r="W112" s="748">
        <v>849</v>
      </c>
      <c r="X112" s="748">
        <v>-3009</v>
      </c>
      <c r="Y112" s="748">
        <v>3342</v>
      </c>
      <c r="Z112" s="748">
        <v>5052</v>
      </c>
      <c r="AA112" s="748">
        <v>2129</v>
      </c>
      <c r="AB112" s="748">
        <v>-958</v>
      </c>
      <c r="AC112" s="748">
        <v>-627</v>
      </c>
      <c r="AD112" s="748">
        <v>2400</v>
      </c>
      <c r="AE112" s="748">
        <v>6816</v>
      </c>
      <c r="AF112" s="748">
        <v>5246</v>
      </c>
      <c r="AG112" s="748">
        <v>3793</v>
      </c>
      <c r="AH112" s="748">
        <v>4076</v>
      </c>
      <c r="AI112" s="759">
        <v>4834</v>
      </c>
      <c r="AJ112" s="759">
        <v>3568</v>
      </c>
      <c r="AK112" s="768">
        <v>4317</v>
      </c>
      <c r="AL112" s="768">
        <v>173</v>
      </c>
      <c r="AM112" s="59">
        <v>460</v>
      </c>
      <c r="AN112" s="59">
        <v>824</v>
      </c>
      <c r="AO112" s="73">
        <v>994</v>
      </c>
      <c r="AP112" s="59">
        <v>1484</v>
      </c>
      <c r="AQ112" s="1077">
        <v>2111</v>
      </c>
    </row>
    <row r="113" spans="1:44" s="11" customFormat="1">
      <c r="A113" s="710" t="s">
        <v>111</v>
      </c>
      <c r="B113" s="223"/>
      <c r="C113" s="674" t="s">
        <v>1</v>
      </c>
      <c r="D113" s="674" t="s">
        <v>1</v>
      </c>
      <c r="E113" s="674" t="s">
        <v>1</v>
      </c>
      <c r="F113" s="674" t="s">
        <v>1</v>
      </c>
      <c r="G113" s="674" t="s">
        <v>1</v>
      </c>
      <c r="H113" s="674" t="s">
        <v>1</v>
      </c>
      <c r="I113" s="674" t="s">
        <v>1</v>
      </c>
      <c r="J113" s="674" t="s">
        <v>1</v>
      </c>
      <c r="K113" s="674" t="s">
        <v>1</v>
      </c>
      <c r="L113" s="674" t="s">
        <v>1</v>
      </c>
      <c r="M113" s="122" t="s">
        <v>1</v>
      </c>
      <c r="N113" s="122" t="s">
        <v>1</v>
      </c>
      <c r="O113" s="122">
        <v>5539</v>
      </c>
      <c r="P113" s="122">
        <v>7411</v>
      </c>
      <c r="Q113" s="122">
        <v>6413</v>
      </c>
      <c r="R113" s="122">
        <v>4675</v>
      </c>
      <c r="S113" s="122">
        <v>2381</v>
      </c>
      <c r="T113" s="122">
        <v>2427</v>
      </c>
      <c r="U113" s="748">
        <v>3352</v>
      </c>
      <c r="V113" s="748">
        <v>2831</v>
      </c>
      <c r="W113" s="748">
        <v>3050</v>
      </c>
      <c r="X113" s="748">
        <v>2273</v>
      </c>
      <c r="Y113" s="748">
        <v>6883</v>
      </c>
      <c r="Z113" s="748">
        <v>6044</v>
      </c>
      <c r="AA113" s="748">
        <v>11282</v>
      </c>
      <c r="AB113" s="748">
        <v>-468</v>
      </c>
      <c r="AC113" s="748">
        <v>2761</v>
      </c>
      <c r="AD113" s="748">
        <v>4098</v>
      </c>
      <c r="AE113" s="748">
        <v>4403</v>
      </c>
      <c r="AF113" s="748">
        <v>4090</v>
      </c>
      <c r="AG113" s="748">
        <v>3933</v>
      </c>
      <c r="AH113" s="748">
        <v>5014</v>
      </c>
      <c r="AI113" s="759">
        <v>5781</v>
      </c>
      <c r="AJ113" s="759">
        <v>5257</v>
      </c>
      <c r="AK113" s="768">
        <v>5170</v>
      </c>
      <c r="AL113" s="768">
        <v>215</v>
      </c>
      <c r="AM113" s="59">
        <v>463</v>
      </c>
      <c r="AN113" s="59">
        <v>834</v>
      </c>
      <c r="AO113" s="73">
        <v>1032</v>
      </c>
      <c r="AP113" s="59">
        <v>1399</v>
      </c>
      <c r="AQ113" s="1077">
        <v>2069</v>
      </c>
    </row>
    <row r="114" spans="1:44" s="11" customFormat="1">
      <c r="A114" s="710" t="s">
        <v>388</v>
      </c>
      <c r="B114" s="223"/>
      <c r="C114" s="674" t="s">
        <v>1</v>
      </c>
      <c r="D114" s="674" t="s">
        <v>1</v>
      </c>
      <c r="E114" s="674" t="s">
        <v>1</v>
      </c>
      <c r="F114" s="674" t="s">
        <v>1</v>
      </c>
      <c r="G114" s="674" t="s">
        <v>1</v>
      </c>
      <c r="H114" s="674" t="s">
        <v>1</v>
      </c>
      <c r="I114" s="674" t="s">
        <v>1</v>
      </c>
      <c r="J114" s="674" t="s">
        <v>1</v>
      </c>
      <c r="K114" s="674" t="s">
        <v>1</v>
      </c>
      <c r="L114" s="674" t="s">
        <v>1</v>
      </c>
      <c r="M114" s="122" t="s">
        <v>1</v>
      </c>
      <c r="N114" s="122" t="s">
        <v>1</v>
      </c>
      <c r="O114" s="122">
        <v>3617</v>
      </c>
      <c r="P114" s="122">
        <v>4115</v>
      </c>
      <c r="Q114" s="122">
        <v>3786</v>
      </c>
      <c r="R114" s="122">
        <v>3744</v>
      </c>
      <c r="S114" s="122">
        <v>1805</v>
      </c>
      <c r="T114" s="122">
        <v>3482</v>
      </c>
      <c r="U114" s="748">
        <v>2540</v>
      </c>
      <c r="V114" s="748">
        <v>2534</v>
      </c>
      <c r="W114" s="748">
        <v>1546</v>
      </c>
      <c r="X114" s="748">
        <v>-668</v>
      </c>
      <c r="Y114" s="748">
        <v>-770</v>
      </c>
      <c r="Z114" s="748">
        <v>1319</v>
      </c>
      <c r="AA114" s="748">
        <v>-792</v>
      </c>
      <c r="AB114" s="748">
        <v>-559</v>
      </c>
      <c r="AC114" s="748">
        <v>-98</v>
      </c>
      <c r="AD114" s="748">
        <v>1034</v>
      </c>
      <c r="AE114" s="748">
        <v>3318</v>
      </c>
      <c r="AF114" s="748">
        <v>2595</v>
      </c>
      <c r="AG114" s="748">
        <v>1410</v>
      </c>
      <c r="AH114" s="748">
        <v>2145</v>
      </c>
      <c r="AI114" s="759">
        <v>2809</v>
      </c>
      <c r="AJ114" s="759">
        <v>2227</v>
      </c>
      <c r="AK114" s="768">
        <v>1123</v>
      </c>
      <c r="AL114" s="768">
        <v>102</v>
      </c>
      <c r="AM114" s="59">
        <v>79</v>
      </c>
      <c r="AN114" s="59">
        <v>53</v>
      </c>
      <c r="AO114" s="73">
        <v>145</v>
      </c>
      <c r="AP114" s="59">
        <v>363</v>
      </c>
      <c r="AQ114" s="1077">
        <v>652</v>
      </c>
    </row>
    <row r="115" spans="1:44" s="11" customFormat="1">
      <c r="A115" s="710" t="s">
        <v>136</v>
      </c>
      <c r="B115" s="223"/>
      <c r="C115" s="674" t="s">
        <v>1</v>
      </c>
      <c r="D115" s="674" t="s">
        <v>1</v>
      </c>
      <c r="E115" s="674" t="s">
        <v>1</v>
      </c>
      <c r="F115" s="674" t="s">
        <v>1</v>
      </c>
      <c r="G115" s="674" t="s">
        <v>1</v>
      </c>
      <c r="H115" s="674" t="s">
        <v>1</v>
      </c>
      <c r="I115" s="674" t="s">
        <v>1</v>
      </c>
      <c r="J115" s="674" t="s">
        <v>1</v>
      </c>
      <c r="K115" s="674" t="s">
        <v>1</v>
      </c>
      <c r="L115" s="674" t="s">
        <v>1</v>
      </c>
      <c r="M115" s="122" t="s">
        <v>1</v>
      </c>
      <c r="N115" s="122" t="s">
        <v>1</v>
      </c>
      <c r="O115" s="122">
        <v>1920</v>
      </c>
      <c r="P115" s="122">
        <v>2682</v>
      </c>
      <c r="Q115" s="122">
        <v>3276</v>
      </c>
      <c r="R115" s="122">
        <v>3478</v>
      </c>
      <c r="S115" s="122">
        <v>3459</v>
      </c>
      <c r="T115" s="122">
        <v>2495</v>
      </c>
      <c r="U115" s="748">
        <v>2211</v>
      </c>
      <c r="V115" s="748">
        <v>2321</v>
      </c>
      <c r="W115" s="748">
        <v>4309</v>
      </c>
      <c r="X115" s="748">
        <v>1915</v>
      </c>
      <c r="Y115" s="748">
        <v>3075</v>
      </c>
      <c r="Z115" s="748">
        <v>3836</v>
      </c>
      <c r="AA115" s="748">
        <v>4331</v>
      </c>
      <c r="AB115" s="748">
        <v>3297</v>
      </c>
      <c r="AC115" s="748">
        <v>2926</v>
      </c>
      <c r="AD115" s="748">
        <v>2628</v>
      </c>
      <c r="AE115" s="748">
        <v>2544</v>
      </c>
      <c r="AF115" s="748">
        <v>3378</v>
      </c>
      <c r="AG115" s="748">
        <v>2807</v>
      </c>
      <c r="AH115" s="748">
        <v>3172</v>
      </c>
      <c r="AI115" s="759">
        <v>3535</v>
      </c>
      <c r="AJ115" s="759">
        <v>2843</v>
      </c>
      <c r="AK115" s="768">
        <v>1841</v>
      </c>
      <c r="AL115" s="768">
        <v>-32</v>
      </c>
      <c r="AM115" s="59">
        <v>63</v>
      </c>
      <c r="AN115" s="59">
        <v>240</v>
      </c>
      <c r="AO115" s="73">
        <v>300</v>
      </c>
      <c r="AP115" s="59">
        <v>421</v>
      </c>
      <c r="AQ115" s="1077">
        <v>839</v>
      </c>
    </row>
    <row r="116" spans="1:44" s="11" customFormat="1">
      <c r="A116" s="710" t="s">
        <v>112</v>
      </c>
      <c r="B116" s="223"/>
      <c r="C116" s="674" t="s">
        <v>1</v>
      </c>
      <c r="D116" s="674" t="s">
        <v>1</v>
      </c>
      <c r="E116" s="674" t="s">
        <v>1</v>
      </c>
      <c r="F116" s="674" t="s">
        <v>1</v>
      </c>
      <c r="G116" s="674" t="s">
        <v>1</v>
      </c>
      <c r="H116" s="674" t="s">
        <v>1</v>
      </c>
      <c r="I116" s="674" t="s">
        <v>1</v>
      </c>
      <c r="J116" s="674" t="s">
        <v>1</v>
      </c>
      <c r="K116" s="674" t="s">
        <v>1</v>
      </c>
      <c r="L116" s="674" t="s">
        <v>1</v>
      </c>
      <c r="M116" s="122" t="s">
        <v>1</v>
      </c>
      <c r="N116" s="122" t="s">
        <v>1</v>
      </c>
      <c r="O116" s="122" t="s">
        <v>1</v>
      </c>
      <c r="P116" s="122" t="s">
        <v>1</v>
      </c>
      <c r="Q116" s="122" t="s">
        <v>1</v>
      </c>
      <c r="R116" s="122" t="s">
        <v>1</v>
      </c>
      <c r="S116" s="122" t="s">
        <v>1</v>
      </c>
      <c r="T116" s="122" t="s">
        <v>1</v>
      </c>
      <c r="U116" s="748">
        <v>530</v>
      </c>
      <c r="V116" s="748">
        <v>832</v>
      </c>
      <c r="W116" s="748">
        <v>1097</v>
      </c>
      <c r="X116" s="748">
        <v>1763</v>
      </c>
      <c r="Y116" s="748">
        <v>894</v>
      </c>
      <c r="Z116" s="748">
        <v>326</v>
      </c>
      <c r="AA116" s="748">
        <v>5846</v>
      </c>
      <c r="AB116" s="748">
        <v>8379</v>
      </c>
      <c r="AC116" s="748">
        <v>8895</v>
      </c>
      <c r="AD116" s="748">
        <v>8203</v>
      </c>
      <c r="AE116" s="748">
        <v>6267</v>
      </c>
      <c r="AF116" s="748">
        <v>5687</v>
      </c>
      <c r="AG116" s="748">
        <v>4514</v>
      </c>
      <c r="AH116" s="748">
        <v>6326</v>
      </c>
      <c r="AI116" s="759">
        <v>9151</v>
      </c>
      <c r="AJ116" s="759">
        <v>9839</v>
      </c>
      <c r="AK116" s="768">
        <v>7485</v>
      </c>
      <c r="AL116" s="768">
        <v>504</v>
      </c>
      <c r="AM116" s="59">
        <v>926</v>
      </c>
      <c r="AN116" s="59">
        <v>1523</v>
      </c>
      <c r="AO116" s="73">
        <v>1934</v>
      </c>
      <c r="AP116" s="59">
        <v>2476</v>
      </c>
      <c r="AQ116" s="1077">
        <v>3602</v>
      </c>
    </row>
    <row r="117" spans="1:44" s="11" customFormat="1">
      <c r="A117" s="710" t="s">
        <v>113</v>
      </c>
      <c r="B117" s="223"/>
      <c r="C117" s="674" t="s">
        <v>1</v>
      </c>
      <c r="D117" s="674" t="s">
        <v>1</v>
      </c>
      <c r="E117" s="674" t="s">
        <v>1</v>
      </c>
      <c r="F117" s="674" t="s">
        <v>1</v>
      </c>
      <c r="G117" s="674" t="s">
        <v>1</v>
      </c>
      <c r="H117" s="674" t="s">
        <v>1</v>
      </c>
      <c r="I117" s="674" t="s">
        <v>1</v>
      </c>
      <c r="J117" s="674" t="s">
        <v>1</v>
      </c>
      <c r="K117" s="674" t="s">
        <v>1</v>
      </c>
      <c r="L117" s="674" t="s">
        <v>1</v>
      </c>
      <c r="M117" s="122" t="s">
        <v>1</v>
      </c>
      <c r="N117" s="122" t="s">
        <v>1</v>
      </c>
      <c r="O117" s="122">
        <v>5112</v>
      </c>
      <c r="P117" s="122">
        <v>5230</v>
      </c>
      <c r="Q117" s="122">
        <v>4810</v>
      </c>
      <c r="R117" s="122">
        <v>4787</v>
      </c>
      <c r="S117" s="122">
        <v>4462</v>
      </c>
      <c r="T117" s="122">
        <v>3170</v>
      </c>
      <c r="U117" s="748">
        <v>2468</v>
      </c>
      <c r="V117" s="748">
        <v>2696</v>
      </c>
      <c r="W117" s="748">
        <v>1727</v>
      </c>
      <c r="X117" s="748">
        <v>1967</v>
      </c>
      <c r="Y117" s="748">
        <v>4066</v>
      </c>
      <c r="Z117" s="748">
        <v>4041</v>
      </c>
      <c r="AA117" s="748">
        <v>4393</v>
      </c>
      <c r="AB117" s="748">
        <v>4397</v>
      </c>
      <c r="AC117" s="748">
        <v>2951</v>
      </c>
      <c r="AD117" s="748">
        <v>4376</v>
      </c>
      <c r="AE117" s="748">
        <v>3143</v>
      </c>
      <c r="AF117" s="748">
        <v>2908</v>
      </c>
      <c r="AG117" s="748">
        <v>1120</v>
      </c>
      <c r="AH117" s="748">
        <v>2315</v>
      </c>
      <c r="AI117" s="759">
        <v>3587</v>
      </c>
      <c r="AJ117" s="759">
        <v>4030</v>
      </c>
      <c r="AK117" s="768">
        <v>2703</v>
      </c>
      <c r="AL117" s="768">
        <v>76</v>
      </c>
      <c r="AM117" s="59">
        <v>284</v>
      </c>
      <c r="AN117" s="59">
        <v>481</v>
      </c>
      <c r="AO117" s="73">
        <v>649</v>
      </c>
      <c r="AP117" s="59">
        <v>878</v>
      </c>
      <c r="AQ117" s="1077">
        <v>1460</v>
      </c>
    </row>
    <row r="118" spans="1:44" ht="27.75">
      <c r="A118" s="694" t="s">
        <v>450</v>
      </c>
      <c r="B118" s="695"/>
      <c r="C118" s="690"/>
      <c r="D118" s="690"/>
      <c r="E118" s="690"/>
      <c r="F118" s="690"/>
      <c r="G118" s="322"/>
      <c r="H118" s="34"/>
      <c r="I118" s="59"/>
      <c r="J118" s="73"/>
      <c r="K118" s="59"/>
      <c r="L118" s="59"/>
      <c r="M118" s="66"/>
      <c r="N118" s="59"/>
      <c r="O118" s="74"/>
      <c r="P118" s="34"/>
      <c r="Q118" s="34"/>
      <c r="R118" s="34"/>
      <c r="S118" s="34"/>
      <c r="T118" s="34"/>
      <c r="U118" s="34"/>
      <c r="V118" s="34"/>
      <c r="W118" s="34"/>
      <c r="X118" s="34"/>
      <c r="Y118" s="34"/>
      <c r="Z118" s="34"/>
      <c r="AA118" s="34"/>
      <c r="AB118" s="34"/>
      <c r="AC118" s="34"/>
      <c r="AD118" s="34"/>
      <c r="AE118" s="34"/>
      <c r="AF118" s="42"/>
      <c r="AG118" s="75"/>
      <c r="AH118" s="661"/>
      <c r="AI118" s="662"/>
      <c r="AJ118" s="662"/>
      <c r="AK118" s="812"/>
      <c r="AL118" s="812"/>
      <c r="AM118" s="34"/>
    </row>
    <row r="119" spans="1:44" ht="27.75">
      <c r="A119" s="691" t="s">
        <v>451</v>
      </c>
      <c r="B119" s="322"/>
      <c r="C119" s="322"/>
      <c r="D119" s="692"/>
      <c r="E119" s="692"/>
      <c r="F119" s="692"/>
      <c r="G119" s="699"/>
      <c r="H119" s="34"/>
      <c r="I119" s="34"/>
      <c r="J119" s="51"/>
      <c r="K119" s="34"/>
      <c r="L119" s="34"/>
      <c r="M119" s="66"/>
      <c r="N119" s="34"/>
      <c r="O119" s="74"/>
      <c r="P119" s="34"/>
      <c r="Q119" s="34"/>
      <c r="R119" s="34"/>
      <c r="S119" s="34"/>
      <c r="T119" s="34"/>
      <c r="U119" s="34"/>
      <c r="V119" s="34"/>
      <c r="W119" s="34"/>
      <c r="X119" s="34"/>
      <c r="Y119" s="34"/>
      <c r="Z119" s="34"/>
      <c r="AA119" s="34"/>
      <c r="AB119" s="34"/>
      <c r="AC119" s="34"/>
      <c r="AD119" s="34"/>
      <c r="AE119" s="34"/>
      <c r="AF119" s="76"/>
      <c r="AG119" s="77"/>
      <c r="AH119" s="663"/>
      <c r="AI119" s="664"/>
      <c r="AJ119" s="664"/>
      <c r="AK119" s="812"/>
      <c r="AL119" s="812"/>
      <c r="AM119" s="34"/>
    </row>
    <row r="120" spans="1:44" ht="40.5">
      <c r="A120" s="696" t="s">
        <v>452</v>
      </c>
      <c r="B120" s="697"/>
      <c r="C120" s="697"/>
      <c r="D120" s="697"/>
      <c r="E120" s="697"/>
      <c r="F120" s="697"/>
      <c r="G120" s="697"/>
      <c r="H120" s="34"/>
      <c r="I120" s="34"/>
      <c r="J120" s="51"/>
      <c r="K120" s="34"/>
      <c r="L120" s="34"/>
      <c r="M120" s="34"/>
      <c r="N120" s="34"/>
      <c r="O120" s="51"/>
      <c r="P120" s="34"/>
      <c r="Q120" s="34"/>
      <c r="R120" s="34"/>
      <c r="S120" s="34"/>
      <c r="T120" s="34"/>
      <c r="U120" s="34"/>
      <c r="V120" s="34"/>
      <c r="W120" s="34"/>
      <c r="X120" s="34"/>
      <c r="Y120" s="34"/>
      <c r="Z120" s="34"/>
      <c r="AA120" s="34"/>
      <c r="AB120" s="34"/>
      <c r="AC120" s="34"/>
      <c r="AD120" s="34"/>
      <c r="AE120" s="34"/>
      <c r="AF120" s="76"/>
      <c r="AG120" s="77"/>
      <c r="AH120" s="663"/>
      <c r="AI120" s="664"/>
      <c r="AJ120" s="664"/>
      <c r="AK120" s="812"/>
      <c r="AL120" s="812"/>
      <c r="AM120" s="34"/>
    </row>
    <row r="121" spans="1:44" ht="12.75" customHeight="1">
      <c r="A121" s="698" t="s">
        <v>453</v>
      </c>
      <c r="B121" s="698"/>
      <c r="C121" s="698"/>
      <c r="D121" s="698"/>
      <c r="E121" s="698"/>
      <c r="F121" s="698"/>
      <c r="G121" s="693"/>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9"/>
      <c r="AG121" s="80"/>
      <c r="AH121" s="665"/>
      <c r="AI121" s="665"/>
      <c r="AJ121" s="665"/>
      <c r="AK121" s="884"/>
      <c r="AL121" s="884"/>
      <c r="AM121" s="34"/>
    </row>
    <row r="122" spans="1:44" ht="57.75" customHeight="1">
      <c r="A122" s="82" t="s">
        <v>186</v>
      </c>
      <c r="B122" s="83" t="s">
        <v>180</v>
      </c>
      <c r="C122" s="84">
        <v>1991</v>
      </c>
      <c r="D122" s="84">
        <v>1992</v>
      </c>
      <c r="E122" s="84">
        <v>1993</v>
      </c>
      <c r="F122" s="84">
        <v>1994</v>
      </c>
      <c r="G122" s="84">
        <v>1995</v>
      </c>
      <c r="H122" s="84">
        <v>1996</v>
      </c>
      <c r="I122" s="84">
        <v>1997</v>
      </c>
      <c r="J122" s="84">
        <v>1998</v>
      </c>
      <c r="K122" s="84">
        <v>1999</v>
      </c>
      <c r="L122" s="84">
        <v>2000</v>
      </c>
      <c r="M122" s="84">
        <v>2001</v>
      </c>
      <c r="N122" s="84">
        <v>2002</v>
      </c>
      <c r="O122" s="84">
        <v>2003</v>
      </c>
      <c r="P122" s="84">
        <v>2004</v>
      </c>
      <c r="Q122" s="84">
        <v>2005</v>
      </c>
      <c r="R122" s="84">
        <v>2006</v>
      </c>
      <c r="S122" s="84">
        <v>2007</v>
      </c>
      <c r="T122" s="84">
        <v>2008</v>
      </c>
      <c r="U122" s="84">
        <v>2009</v>
      </c>
      <c r="V122" s="84">
        <v>2010</v>
      </c>
      <c r="W122" s="84">
        <v>2011</v>
      </c>
      <c r="X122" s="84">
        <v>2012</v>
      </c>
      <c r="Y122" s="84">
        <v>2013</v>
      </c>
      <c r="Z122" s="84">
        <v>2014</v>
      </c>
      <c r="AA122" s="84">
        <v>2015</v>
      </c>
      <c r="AB122" s="84">
        <v>2016</v>
      </c>
      <c r="AC122" s="85">
        <v>2017</v>
      </c>
      <c r="AD122" s="84">
        <v>2018</v>
      </c>
      <c r="AE122" s="85">
        <v>2019</v>
      </c>
      <c r="AF122" s="84">
        <v>2020</v>
      </c>
      <c r="AG122" s="86">
        <v>2021</v>
      </c>
      <c r="AH122" s="86">
        <v>2022</v>
      </c>
      <c r="AI122" s="86">
        <v>2023</v>
      </c>
      <c r="AJ122" s="660">
        <v>2024</v>
      </c>
      <c r="AK122" s="770">
        <v>2025</v>
      </c>
      <c r="AL122" s="770" t="s">
        <v>468</v>
      </c>
      <c r="AM122" s="770" t="s">
        <v>543</v>
      </c>
      <c r="AN122" s="84" t="s">
        <v>544</v>
      </c>
      <c r="AO122" s="84" t="s">
        <v>545</v>
      </c>
      <c r="AP122" s="84" t="s">
        <v>546</v>
      </c>
      <c r="AQ122" s="84" t="s">
        <v>542</v>
      </c>
      <c r="AR122" s="27" t="s">
        <v>547</v>
      </c>
    </row>
    <row r="123" spans="1:44" s="81" customFormat="1" ht="15">
      <c r="A123" s="88" t="s">
        <v>405</v>
      </c>
      <c r="B123" s="89" t="s">
        <v>185</v>
      </c>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1"/>
      <c r="AD123" s="92"/>
      <c r="AE123" s="40"/>
      <c r="AF123" s="40"/>
      <c r="AG123" s="48"/>
      <c r="AH123" s="48"/>
      <c r="AI123" s="48"/>
      <c r="AJ123" s="11"/>
      <c r="AK123" s="812"/>
      <c r="AL123" s="812"/>
      <c r="AM123" s="812"/>
      <c r="AN123" s="164"/>
      <c r="AO123" s="164"/>
      <c r="AP123" s="164"/>
      <c r="AQ123" s="164"/>
      <c r="AR123" s="4"/>
    </row>
    <row r="124" spans="1:44" s="87" customFormat="1">
      <c r="A124" s="93" t="s">
        <v>190</v>
      </c>
      <c r="B124" s="94"/>
      <c r="C124" s="95">
        <v>58</v>
      </c>
      <c r="D124" s="95">
        <v>56</v>
      </c>
      <c r="E124" s="95">
        <v>53</v>
      </c>
      <c r="F124" s="95">
        <v>55</v>
      </c>
      <c r="G124" s="95">
        <v>22.2</v>
      </c>
      <c r="H124" s="95">
        <v>53</v>
      </c>
      <c r="I124" s="95">
        <v>59</v>
      </c>
      <c r="J124" s="95">
        <v>49</v>
      </c>
      <c r="K124" s="95">
        <v>52</v>
      </c>
      <c r="L124" s="95">
        <v>50</v>
      </c>
      <c r="M124" s="95">
        <v>52</v>
      </c>
      <c r="N124" s="95">
        <v>50</v>
      </c>
      <c r="O124" s="95">
        <v>53</v>
      </c>
      <c r="P124" s="95">
        <v>52</v>
      </c>
      <c r="Q124" s="95">
        <v>53</v>
      </c>
      <c r="R124" s="96">
        <v>51</v>
      </c>
      <c r="S124" s="96">
        <v>51</v>
      </c>
      <c r="T124" s="96">
        <v>64</v>
      </c>
      <c r="U124" s="96">
        <v>63</v>
      </c>
      <c r="V124" s="96">
        <v>62</v>
      </c>
      <c r="W124" s="96">
        <v>53</v>
      </c>
      <c r="X124" s="96">
        <v>73</v>
      </c>
      <c r="Y124" s="96">
        <v>94</v>
      </c>
      <c r="Z124" s="96">
        <v>72</v>
      </c>
      <c r="AA124" s="96">
        <v>76</v>
      </c>
      <c r="AB124" s="96">
        <v>79</v>
      </c>
      <c r="AC124" s="42">
        <v>79</v>
      </c>
      <c r="AD124" s="96">
        <v>87</v>
      </c>
      <c r="AE124" s="97">
        <v>92</v>
      </c>
      <c r="AF124" s="42">
        <v>91</v>
      </c>
      <c r="AG124" s="98">
        <v>91</v>
      </c>
      <c r="AH124" s="96">
        <v>77</v>
      </c>
      <c r="AI124" s="96">
        <v>88</v>
      </c>
      <c r="AJ124" s="16">
        <v>100</v>
      </c>
      <c r="AK124" s="856">
        <v>88</v>
      </c>
      <c r="AL124" s="856" t="s">
        <v>1</v>
      </c>
      <c r="AM124" s="856" t="s">
        <v>1</v>
      </c>
      <c r="AN124" s="856" t="s">
        <v>1</v>
      </c>
      <c r="AO124" s="856" t="s">
        <v>1</v>
      </c>
      <c r="AP124" s="856" t="s">
        <v>1</v>
      </c>
      <c r="AQ124" s="856" t="s">
        <v>1</v>
      </c>
      <c r="AR124" s="856" t="s">
        <v>1</v>
      </c>
    </row>
    <row r="125" spans="1:44">
      <c r="A125" s="99" t="s">
        <v>169</v>
      </c>
      <c r="B125" s="94"/>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100"/>
      <c r="AD125" s="95"/>
      <c r="AE125" s="95"/>
      <c r="AF125" s="101"/>
      <c r="AG125" s="41"/>
      <c r="AH125" s="102"/>
      <c r="AI125" s="103"/>
      <c r="AJ125" s="16"/>
      <c r="AL125" s="812"/>
      <c r="AM125" s="812"/>
      <c r="AN125" s="812"/>
      <c r="AO125" s="812"/>
      <c r="AP125" s="812"/>
      <c r="AQ125" s="812"/>
      <c r="AR125" s="812"/>
    </row>
    <row r="126" spans="1:44">
      <c r="A126" s="104" t="s">
        <v>109</v>
      </c>
      <c r="B126" s="94"/>
      <c r="C126" s="95" t="s">
        <v>1</v>
      </c>
      <c r="D126" s="95" t="s">
        <v>1</v>
      </c>
      <c r="E126" s="95" t="s">
        <v>1</v>
      </c>
      <c r="F126" s="95" t="s">
        <v>1</v>
      </c>
      <c r="G126" s="95" t="s">
        <v>1</v>
      </c>
      <c r="H126" s="95" t="s">
        <v>1</v>
      </c>
      <c r="I126" s="95" t="s">
        <v>1</v>
      </c>
      <c r="J126" s="95" t="s">
        <v>1</v>
      </c>
      <c r="K126" s="95" t="s">
        <v>1</v>
      </c>
      <c r="L126" s="95" t="s">
        <v>1</v>
      </c>
      <c r="M126" s="95" t="s">
        <v>1</v>
      </c>
      <c r="N126" s="95" t="s">
        <v>1</v>
      </c>
      <c r="O126" s="95" t="s">
        <v>1</v>
      </c>
      <c r="P126" s="95" t="s">
        <v>1</v>
      </c>
      <c r="Q126" s="95" t="s">
        <v>1</v>
      </c>
      <c r="R126" s="95" t="s">
        <v>1</v>
      </c>
      <c r="S126" s="95" t="s">
        <v>1</v>
      </c>
      <c r="T126" s="95" t="s">
        <v>1</v>
      </c>
      <c r="U126" s="95" t="s">
        <v>1</v>
      </c>
      <c r="V126" s="95" t="s">
        <v>1</v>
      </c>
      <c r="W126" s="95" t="s">
        <v>1</v>
      </c>
      <c r="X126" s="95" t="s">
        <v>1</v>
      </c>
      <c r="Y126" s="95" t="s">
        <v>1</v>
      </c>
      <c r="Z126" s="95" t="s">
        <v>1</v>
      </c>
      <c r="AA126" s="95" t="s">
        <v>1</v>
      </c>
      <c r="AB126" s="95" t="s">
        <v>1</v>
      </c>
      <c r="AC126" s="105" t="s">
        <v>1</v>
      </c>
      <c r="AD126" s="95" t="s">
        <v>1</v>
      </c>
      <c r="AE126" s="95" t="s">
        <v>1</v>
      </c>
      <c r="AF126" s="102" t="s">
        <v>1</v>
      </c>
      <c r="AG126" s="102" t="s">
        <v>1</v>
      </c>
      <c r="AH126" s="102" t="s">
        <v>1</v>
      </c>
      <c r="AI126" s="102" t="s">
        <v>1</v>
      </c>
      <c r="AJ126" s="102" t="s">
        <v>1</v>
      </c>
      <c r="AK126" s="856" t="s">
        <v>1</v>
      </c>
      <c r="AL126" s="856" t="s">
        <v>1</v>
      </c>
      <c r="AM126" s="856" t="s">
        <v>1</v>
      </c>
      <c r="AN126" s="856" t="s">
        <v>1</v>
      </c>
      <c r="AO126" s="856" t="s">
        <v>1</v>
      </c>
      <c r="AP126" s="856" t="s">
        <v>1</v>
      </c>
      <c r="AQ126" s="856" t="s">
        <v>1</v>
      </c>
      <c r="AR126" s="856" t="s">
        <v>1</v>
      </c>
    </row>
    <row r="127" spans="1:44">
      <c r="A127" s="104" t="s">
        <v>135</v>
      </c>
      <c r="B127" s="94"/>
      <c r="C127" s="95" t="s">
        <v>1</v>
      </c>
      <c r="D127" s="95" t="s">
        <v>1</v>
      </c>
      <c r="E127" s="95" t="s">
        <v>1</v>
      </c>
      <c r="F127" s="95" t="s">
        <v>1</v>
      </c>
      <c r="G127" s="95" t="s">
        <v>1</v>
      </c>
      <c r="H127" s="95" t="s">
        <v>1</v>
      </c>
      <c r="I127" s="95" t="s">
        <v>1</v>
      </c>
      <c r="J127" s="95" t="s">
        <v>1</v>
      </c>
      <c r="K127" s="95" t="s">
        <v>1</v>
      </c>
      <c r="L127" s="95" t="s">
        <v>1</v>
      </c>
      <c r="M127" s="95" t="s">
        <v>1</v>
      </c>
      <c r="N127" s="95" t="s">
        <v>1</v>
      </c>
      <c r="O127" s="95" t="s">
        <v>1</v>
      </c>
      <c r="P127" s="95" t="s">
        <v>1</v>
      </c>
      <c r="Q127" s="95" t="s">
        <v>1</v>
      </c>
      <c r="R127" s="95" t="s">
        <v>1</v>
      </c>
      <c r="S127" s="95" t="s">
        <v>1</v>
      </c>
      <c r="T127" s="95" t="s">
        <v>1</v>
      </c>
      <c r="U127" s="95" t="s">
        <v>1</v>
      </c>
      <c r="V127" s="95" t="s">
        <v>1</v>
      </c>
      <c r="W127" s="95" t="s">
        <v>1</v>
      </c>
      <c r="X127" s="95" t="s">
        <v>1</v>
      </c>
      <c r="Y127" s="95" t="s">
        <v>1</v>
      </c>
      <c r="Z127" s="95" t="s">
        <v>1</v>
      </c>
      <c r="AA127" s="95" t="s">
        <v>1</v>
      </c>
      <c r="AB127" s="95" t="s">
        <v>1</v>
      </c>
      <c r="AC127" s="105" t="s">
        <v>1</v>
      </c>
      <c r="AD127" s="95" t="s">
        <v>1</v>
      </c>
      <c r="AE127" s="95"/>
      <c r="AF127" s="102" t="s">
        <v>1</v>
      </c>
      <c r="AG127" s="102" t="s">
        <v>1</v>
      </c>
      <c r="AH127" s="102" t="s">
        <v>1</v>
      </c>
      <c r="AI127" s="102" t="s">
        <v>1</v>
      </c>
      <c r="AJ127" s="102" t="s">
        <v>1</v>
      </c>
      <c r="AK127" s="856" t="s">
        <v>1</v>
      </c>
      <c r="AL127" s="856" t="s">
        <v>1</v>
      </c>
      <c r="AM127" s="856" t="s">
        <v>1</v>
      </c>
      <c r="AN127" s="856" t="s">
        <v>1</v>
      </c>
      <c r="AO127" s="856" t="s">
        <v>1</v>
      </c>
      <c r="AP127" s="856" t="s">
        <v>1</v>
      </c>
      <c r="AQ127" s="856" t="s">
        <v>1</v>
      </c>
      <c r="AR127" s="856" t="s">
        <v>1</v>
      </c>
    </row>
    <row r="128" spans="1:44">
      <c r="A128" s="104" t="s">
        <v>110</v>
      </c>
      <c r="B128" s="94"/>
      <c r="C128" s="95" t="s">
        <v>1</v>
      </c>
      <c r="D128" s="95" t="s">
        <v>1</v>
      </c>
      <c r="E128" s="95" t="s">
        <v>1</v>
      </c>
      <c r="F128" s="95" t="s">
        <v>1</v>
      </c>
      <c r="G128" s="95" t="s">
        <v>1</v>
      </c>
      <c r="H128" s="95" t="s">
        <v>1</v>
      </c>
      <c r="I128" s="95" t="s">
        <v>1</v>
      </c>
      <c r="J128" s="95" t="s">
        <v>1</v>
      </c>
      <c r="K128" s="95" t="s">
        <v>1</v>
      </c>
      <c r="L128" s="95" t="s">
        <v>1</v>
      </c>
      <c r="M128" s="95" t="s">
        <v>1</v>
      </c>
      <c r="N128" s="95" t="s">
        <v>1</v>
      </c>
      <c r="O128" s="95" t="s">
        <v>1</v>
      </c>
      <c r="P128" s="95" t="s">
        <v>1</v>
      </c>
      <c r="Q128" s="95" t="s">
        <v>1</v>
      </c>
      <c r="R128" s="95" t="s">
        <v>1</v>
      </c>
      <c r="S128" s="95" t="s">
        <v>1</v>
      </c>
      <c r="T128" s="95" t="s">
        <v>1</v>
      </c>
      <c r="U128" s="95" t="s">
        <v>1</v>
      </c>
      <c r="V128" s="95" t="s">
        <v>1</v>
      </c>
      <c r="W128" s="95" t="s">
        <v>1</v>
      </c>
      <c r="X128" s="95" t="s">
        <v>1</v>
      </c>
      <c r="Y128" s="95" t="s">
        <v>1</v>
      </c>
      <c r="Z128" s="95" t="s">
        <v>1</v>
      </c>
      <c r="AA128" s="95" t="s">
        <v>1</v>
      </c>
      <c r="AB128" s="95" t="s">
        <v>1</v>
      </c>
      <c r="AC128" s="105" t="s">
        <v>1</v>
      </c>
      <c r="AD128" s="95" t="s">
        <v>1</v>
      </c>
      <c r="AE128" s="95" t="s">
        <v>1</v>
      </c>
      <c r="AF128" s="102" t="s">
        <v>1</v>
      </c>
      <c r="AG128" s="102" t="s">
        <v>1</v>
      </c>
      <c r="AH128" s="102" t="s">
        <v>1</v>
      </c>
      <c r="AI128" s="102" t="s">
        <v>1</v>
      </c>
      <c r="AJ128" s="102" t="s">
        <v>1</v>
      </c>
      <c r="AK128" s="856" t="s">
        <v>1</v>
      </c>
      <c r="AL128" s="856" t="s">
        <v>1</v>
      </c>
      <c r="AM128" s="856" t="s">
        <v>1</v>
      </c>
      <c r="AN128" s="856" t="s">
        <v>1</v>
      </c>
      <c r="AO128" s="856" t="s">
        <v>1</v>
      </c>
      <c r="AP128" s="856" t="s">
        <v>1</v>
      </c>
      <c r="AQ128" s="856" t="s">
        <v>1</v>
      </c>
      <c r="AR128" s="856" t="s">
        <v>1</v>
      </c>
    </row>
    <row r="129" spans="1:44">
      <c r="A129" s="104" t="s">
        <v>111</v>
      </c>
      <c r="B129" s="94"/>
      <c r="C129" s="95" t="s">
        <v>1</v>
      </c>
      <c r="D129" s="95" t="s">
        <v>1</v>
      </c>
      <c r="E129" s="95" t="s">
        <v>1</v>
      </c>
      <c r="F129" s="95" t="s">
        <v>1</v>
      </c>
      <c r="G129" s="95" t="s">
        <v>1</v>
      </c>
      <c r="H129" s="95" t="s">
        <v>1</v>
      </c>
      <c r="I129" s="95" t="s">
        <v>1</v>
      </c>
      <c r="J129" s="95" t="s">
        <v>1</v>
      </c>
      <c r="K129" s="95" t="s">
        <v>1</v>
      </c>
      <c r="L129" s="95" t="s">
        <v>1</v>
      </c>
      <c r="M129" s="95" t="s">
        <v>1</v>
      </c>
      <c r="N129" s="95" t="s">
        <v>1</v>
      </c>
      <c r="O129" s="95" t="s">
        <v>1</v>
      </c>
      <c r="P129" s="95" t="s">
        <v>1</v>
      </c>
      <c r="Q129" s="95" t="s">
        <v>1</v>
      </c>
      <c r="R129" s="95" t="s">
        <v>1</v>
      </c>
      <c r="S129" s="95" t="s">
        <v>1</v>
      </c>
      <c r="T129" s="95" t="s">
        <v>1</v>
      </c>
      <c r="U129" s="95" t="s">
        <v>1</v>
      </c>
      <c r="V129" s="95" t="s">
        <v>1</v>
      </c>
      <c r="W129" s="95" t="s">
        <v>1</v>
      </c>
      <c r="X129" s="95" t="s">
        <v>1</v>
      </c>
      <c r="Y129" s="95" t="s">
        <v>1</v>
      </c>
      <c r="Z129" s="95" t="s">
        <v>1</v>
      </c>
      <c r="AA129" s="95" t="s">
        <v>1</v>
      </c>
      <c r="AB129" s="95" t="s">
        <v>1</v>
      </c>
      <c r="AC129" s="105" t="s">
        <v>1</v>
      </c>
      <c r="AD129" s="95" t="s">
        <v>1</v>
      </c>
      <c r="AE129" s="95" t="s">
        <v>1</v>
      </c>
      <c r="AF129" s="102" t="s">
        <v>1</v>
      </c>
      <c r="AG129" s="102" t="s">
        <v>1</v>
      </c>
      <c r="AH129" s="102" t="s">
        <v>1</v>
      </c>
      <c r="AI129" s="102" t="s">
        <v>1</v>
      </c>
      <c r="AJ129" s="102" t="s">
        <v>1</v>
      </c>
      <c r="AK129" s="856" t="s">
        <v>1</v>
      </c>
      <c r="AL129" s="856" t="s">
        <v>1</v>
      </c>
      <c r="AM129" s="856" t="s">
        <v>1</v>
      </c>
      <c r="AN129" s="856" t="s">
        <v>1</v>
      </c>
      <c r="AO129" s="856" t="s">
        <v>1</v>
      </c>
      <c r="AP129" s="856" t="s">
        <v>1</v>
      </c>
      <c r="AQ129" s="856" t="s">
        <v>1</v>
      </c>
      <c r="AR129" s="856" t="s">
        <v>1</v>
      </c>
    </row>
    <row r="130" spans="1:44">
      <c r="A130" s="104" t="s">
        <v>388</v>
      </c>
      <c r="B130" s="94"/>
      <c r="C130" s="95" t="s">
        <v>1</v>
      </c>
      <c r="D130" s="95" t="s">
        <v>1</v>
      </c>
      <c r="E130" s="95" t="s">
        <v>1</v>
      </c>
      <c r="F130" s="95" t="s">
        <v>1</v>
      </c>
      <c r="G130" s="95" t="s">
        <v>1</v>
      </c>
      <c r="H130" s="95" t="s">
        <v>1</v>
      </c>
      <c r="I130" s="95" t="s">
        <v>1</v>
      </c>
      <c r="J130" s="95" t="s">
        <v>1</v>
      </c>
      <c r="K130" s="95" t="s">
        <v>1</v>
      </c>
      <c r="L130" s="95" t="s">
        <v>1</v>
      </c>
      <c r="M130" s="95" t="s">
        <v>1</v>
      </c>
      <c r="N130" s="95" t="s">
        <v>1</v>
      </c>
      <c r="O130" s="95" t="s">
        <v>1</v>
      </c>
      <c r="P130" s="95" t="s">
        <v>1</v>
      </c>
      <c r="Q130" s="95" t="s">
        <v>1</v>
      </c>
      <c r="R130" s="95" t="s">
        <v>1</v>
      </c>
      <c r="S130" s="95" t="s">
        <v>1</v>
      </c>
      <c r="T130" s="95" t="s">
        <v>1</v>
      </c>
      <c r="U130" s="95" t="s">
        <v>1</v>
      </c>
      <c r="V130" s="95" t="s">
        <v>1</v>
      </c>
      <c r="W130" s="95" t="s">
        <v>1</v>
      </c>
      <c r="X130" s="95" t="s">
        <v>1</v>
      </c>
      <c r="Y130" s="95" t="s">
        <v>1</v>
      </c>
      <c r="Z130" s="95" t="s">
        <v>1</v>
      </c>
      <c r="AA130" s="95" t="s">
        <v>1</v>
      </c>
      <c r="AB130" s="95" t="s">
        <v>1</v>
      </c>
      <c r="AC130" s="105" t="s">
        <v>1</v>
      </c>
      <c r="AD130" s="95" t="s">
        <v>1</v>
      </c>
      <c r="AE130" s="95" t="s">
        <v>1</v>
      </c>
      <c r="AF130" s="102" t="s">
        <v>1</v>
      </c>
      <c r="AG130" s="102" t="s">
        <v>1</v>
      </c>
      <c r="AH130" s="102" t="s">
        <v>1</v>
      </c>
      <c r="AI130" s="102" t="s">
        <v>1</v>
      </c>
      <c r="AJ130" s="102" t="s">
        <v>1</v>
      </c>
      <c r="AK130" s="856" t="s">
        <v>1</v>
      </c>
      <c r="AL130" s="856" t="s">
        <v>1</v>
      </c>
      <c r="AM130" s="856" t="s">
        <v>1</v>
      </c>
      <c r="AN130" s="856" t="s">
        <v>1</v>
      </c>
      <c r="AO130" s="856" t="s">
        <v>1</v>
      </c>
      <c r="AP130" s="856" t="s">
        <v>1</v>
      </c>
      <c r="AQ130" s="856" t="s">
        <v>1</v>
      </c>
      <c r="AR130" s="856" t="s">
        <v>1</v>
      </c>
    </row>
    <row r="131" spans="1:44">
      <c r="A131" s="104" t="s">
        <v>136</v>
      </c>
      <c r="B131" s="94"/>
      <c r="C131" s="95" t="s">
        <v>1</v>
      </c>
      <c r="D131" s="95" t="s">
        <v>1</v>
      </c>
      <c r="E131" s="95" t="s">
        <v>1</v>
      </c>
      <c r="F131" s="95" t="s">
        <v>1</v>
      </c>
      <c r="G131" s="95" t="s">
        <v>1</v>
      </c>
      <c r="H131" s="95" t="s">
        <v>1</v>
      </c>
      <c r="I131" s="95" t="s">
        <v>1</v>
      </c>
      <c r="J131" s="95" t="s">
        <v>1</v>
      </c>
      <c r="K131" s="95" t="s">
        <v>1</v>
      </c>
      <c r="L131" s="95" t="s">
        <v>1</v>
      </c>
      <c r="M131" s="95" t="s">
        <v>1</v>
      </c>
      <c r="N131" s="95" t="s">
        <v>1</v>
      </c>
      <c r="O131" s="95" t="s">
        <v>1</v>
      </c>
      <c r="P131" s="95" t="s">
        <v>1</v>
      </c>
      <c r="Q131" s="95" t="s">
        <v>1</v>
      </c>
      <c r="R131" s="95" t="s">
        <v>1</v>
      </c>
      <c r="S131" s="95" t="s">
        <v>1</v>
      </c>
      <c r="T131" s="95" t="s">
        <v>1</v>
      </c>
      <c r="U131" s="95" t="s">
        <v>1</v>
      </c>
      <c r="V131" s="95" t="s">
        <v>1</v>
      </c>
      <c r="W131" s="95" t="s">
        <v>1</v>
      </c>
      <c r="X131" s="95" t="s">
        <v>1</v>
      </c>
      <c r="Y131" s="95" t="s">
        <v>1</v>
      </c>
      <c r="Z131" s="95" t="s">
        <v>1</v>
      </c>
      <c r="AA131" s="95" t="s">
        <v>1</v>
      </c>
      <c r="AB131" s="95" t="s">
        <v>1</v>
      </c>
      <c r="AC131" s="105" t="s">
        <v>1</v>
      </c>
      <c r="AD131" s="95" t="s">
        <v>1</v>
      </c>
      <c r="AE131" s="95" t="s">
        <v>1</v>
      </c>
      <c r="AF131" s="102" t="s">
        <v>1</v>
      </c>
      <c r="AG131" s="102" t="s">
        <v>1</v>
      </c>
      <c r="AH131" s="102" t="s">
        <v>1</v>
      </c>
      <c r="AI131" s="102" t="s">
        <v>1</v>
      </c>
      <c r="AJ131" s="102" t="s">
        <v>1</v>
      </c>
      <c r="AK131" s="856" t="s">
        <v>1</v>
      </c>
      <c r="AL131" s="856" t="s">
        <v>1</v>
      </c>
      <c r="AM131" s="856" t="s">
        <v>1</v>
      </c>
      <c r="AN131" s="856" t="s">
        <v>1</v>
      </c>
      <c r="AO131" s="856" t="s">
        <v>1</v>
      </c>
      <c r="AP131" s="856" t="s">
        <v>1</v>
      </c>
      <c r="AQ131" s="856" t="s">
        <v>1</v>
      </c>
      <c r="AR131" s="856" t="s">
        <v>1</v>
      </c>
    </row>
    <row r="132" spans="1:44">
      <c r="A132" s="104" t="s">
        <v>112</v>
      </c>
      <c r="B132" s="94"/>
      <c r="C132" s="95" t="s">
        <v>1</v>
      </c>
      <c r="D132" s="95" t="s">
        <v>1</v>
      </c>
      <c r="E132" s="95" t="s">
        <v>1</v>
      </c>
      <c r="F132" s="95" t="s">
        <v>1</v>
      </c>
      <c r="G132" s="95" t="s">
        <v>1</v>
      </c>
      <c r="H132" s="95" t="s">
        <v>1</v>
      </c>
      <c r="I132" s="95" t="s">
        <v>1</v>
      </c>
      <c r="J132" s="95" t="s">
        <v>1</v>
      </c>
      <c r="K132" s="95" t="s">
        <v>1</v>
      </c>
      <c r="L132" s="95" t="s">
        <v>1</v>
      </c>
      <c r="M132" s="95" t="s">
        <v>1</v>
      </c>
      <c r="N132" s="95" t="s">
        <v>1</v>
      </c>
      <c r="O132" s="95" t="s">
        <v>1</v>
      </c>
      <c r="P132" s="95" t="s">
        <v>1</v>
      </c>
      <c r="Q132" s="95" t="s">
        <v>1</v>
      </c>
      <c r="R132" s="95" t="s">
        <v>1</v>
      </c>
      <c r="S132" s="95" t="s">
        <v>1</v>
      </c>
      <c r="T132" s="95" t="s">
        <v>1</v>
      </c>
      <c r="U132" s="95" t="s">
        <v>1</v>
      </c>
      <c r="V132" s="95" t="s">
        <v>1</v>
      </c>
      <c r="W132" s="95" t="s">
        <v>1</v>
      </c>
      <c r="X132" s="95" t="s">
        <v>1</v>
      </c>
      <c r="Y132" s="95" t="s">
        <v>1</v>
      </c>
      <c r="Z132" s="95" t="s">
        <v>1</v>
      </c>
      <c r="AA132" s="95" t="s">
        <v>1</v>
      </c>
      <c r="AB132" s="95" t="s">
        <v>1</v>
      </c>
      <c r="AC132" s="105" t="s">
        <v>1</v>
      </c>
      <c r="AD132" s="95" t="s">
        <v>1</v>
      </c>
      <c r="AE132" s="95" t="s">
        <v>1</v>
      </c>
      <c r="AF132" s="102" t="s">
        <v>1</v>
      </c>
      <c r="AG132" s="102" t="s">
        <v>1</v>
      </c>
      <c r="AH132" s="102" t="s">
        <v>1</v>
      </c>
      <c r="AI132" s="102" t="s">
        <v>1</v>
      </c>
      <c r="AJ132" s="102" t="s">
        <v>1</v>
      </c>
      <c r="AK132" s="856" t="s">
        <v>1</v>
      </c>
      <c r="AL132" s="856" t="s">
        <v>1</v>
      </c>
      <c r="AM132" s="856" t="s">
        <v>1</v>
      </c>
      <c r="AN132" s="856" t="s">
        <v>1</v>
      </c>
      <c r="AO132" s="856" t="s">
        <v>1</v>
      </c>
      <c r="AP132" s="856" t="s">
        <v>1</v>
      </c>
      <c r="AQ132" s="856" t="s">
        <v>1</v>
      </c>
      <c r="AR132" s="856" t="s">
        <v>1</v>
      </c>
    </row>
    <row r="133" spans="1:44">
      <c r="A133" s="104" t="s">
        <v>113</v>
      </c>
      <c r="B133" s="94"/>
      <c r="C133" s="95" t="s">
        <v>1</v>
      </c>
      <c r="D133" s="95" t="s">
        <v>1</v>
      </c>
      <c r="E133" s="95" t="s">
        <v>1</v>
      </c>
      <c r="F133" s="95" t="s">
        <v>1</v>
      </c>
      <c r="G133" s="95" t="s">
        <v>1</v>
      </c>
      <c r="H133" s="95" t="s">
        <v>1</v>
      </c>
      <c r="I133" s="95" t="s">
        <v>1</v>
      </c>
      <c r="J133" s="95" t="s">
        <v>1</v>
      </c>
      <c r="K133" s="95" t="s">
        <v>1</v>
      </c>
      <c r="L133" s="95" t="s">
        <v>1</v>
      </c>
      <c r="M133" s="95" t="s">
        <v>1</v>
      </c>
      <c r="N133" s="95" t="s">
        <v>1</v>
      </c>
      <c r="O133" s="95" t="s">
        <v>1</v>
      </c>
      <c r="P133" s="95" t="s">
        <v>1</v>
      </c>
      <c r="Q133" s="95" t="s">
        <v>1</v>
      </c>
      <c r="R133" s="95" t="s">
        <v>1</v>
      </c>
      <c r="S133" s="95" t="s">
        <v>1</v>
      </c>
      <c r="T133" s="95" t="s">
        <v>1</v>
      </c>
      <c r="U133" s="95" t="s">
        <v>1</v>
      </c>
      <c r="V133" s="95" t="s">
        <v>1</v>
      </c>
      <c r="W133" s="95" t="s">
        <v>1</v>
      </c>
      <c r="X133" s="95" t="s">
        <v>1</v>
      </c>
      <c r="Y133" s="95" t="s">
        <v>1</v>
      </c>
      <c r="Z133" s="95" t="s">
        <v>1</v>
      </c>
      <c r="AA133" s="95" t="s">
        <v>1</v>
      </c>
      <c r="AB133" s="95" t="s">
        <v>1</v>
      </c>
      <c r="AC133" s="105" t="s">
        <v>1</v>
      </c>
      <c r="AD133" s="95" t="s">
        <v>1</v>
      </c>
      <c r="AE133" s="95" t="s">
        <v>1</v>
      </c>
      <c r="AF133" s="102" t="s">
        <v>1</v>
      </c>
      <c r="AG133" s="102" t="s">
        <v>1</v>
      </c>
      <c r="AH133" s="102" t="s">
        <v>1</v>
      </c>
      <c r="AI133" s="102" t="s">
        <v>1</v>
      </c>
      <c r="AJ133" s="102" t="s">
        <v>1</v>
      </c>
      <c r="AK133" s="856" t="s">
        <v>1</v>
      </c>
      <c r="AL133" s="856" t="s">
        <v>1</v>
      </c>
      <c r="AM133" s="856" t="s">
        <v>1</v>
      </c>
      <c r="AN133" s="856" t="s">
        <v>1</v>
      </c>
      <c r="AO133" s="856" t="s">
        <v>1</v>
      </c>
      <c r="AP133" s="856" t="s">
        <v>1</v>
      </c>
      <c r="AQ133" s="856" t="s">
        <v>1</v>
      </c>
      <c r="AR133" s="856" t="s">
        <v>1</v>
      </c>
    </row>
    <row r="134" spans="1:44" ht="15">
      <c r="A134" s="88" t="s">
        <v>406</v>
      </c>
      <c r="B134" s="89" t="s">
        <v>185</v>
      </c>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1"/>
      <c r="AD134" s="92"/>
      <c r="AE134" s="700" t="s">
        <v>1</v>
      </c>
      <c r="AF134" s="13"/>
      <c r="AG134" s="701"/>
      <c r="AH134" s="50"/>
      <c r="AI134" s="48"/>
      <c r="AJ134" s="16"/>
      <c r="AL134" s="812"/>
      <c r="AM134" s="812"/>
      <c r="AN134" s="812"/>
      <c r="AO134" s="812"/>
      <c r="AP134" s="812"/>
      <c r="AQ134" s="812"/>
      <c r="AR134" s="812"/>
    </row>
    <row r="135" spans="1:44">
      <c r="A135" s="93" t="s">
        <v>190</v>
      </c>
      <c r="B135" s="94"/>
      <c r="C135" s="96" t="s">
        <v>1</v>
      </c>
      <c r="D135" s="96" t="s">
        <v>1</v>
      </c>
      <c r="E135" s="96" t="s">
        <v>1</v>
      </c>
      <c r="F135" s="96" t="s">
        <v>1</v>
      </c>
      <c r="G135" s="96" t="s">
        <v>1</v>
      </c>
      <c r="H135" s="96" t="s">
        <v>1</v>
      </c>
      <c r="I135" s="96" t="s">
        <v>1</v>
      </c>
      <c r="J135" s="96" t="s">
        <v>1</v>
      </c>
      <c r="K135" s="96" t="s">
        <v>1</v>
      </c>
      <c r="L135" s="96" t="s">
        <v>1</v>
      </c>
      <c r="M135" s="96" t="s">
        <v>1</v>
      </c>
      <c r="N135" s="106" t="s">
        <v>1</v>
      </c>
      <c r="O135" s="107">
        <v>10947</v>
      </c>
      <c r="P135" s="107">
        <v>10959</v>
      </c>
      <c r="Q135" s="107">
        <v>11028</v>
      </c>
      <c r="R135" s="107">
        <v>11040</v>
      </c>
      <c r="S135" s="107">
        <v>11337</v>
      </c>
      <c r="T135" s="107">
        <v>10756</v>
      </c>
      <c r="U135" s="107">
        <v>12201</v>
      </c>
      <c r="V135" s="107">
        <v>10158</v>
      </c>
      <c r="W135" s="107">
        <v>10471</v>
      </c>
      <c r="X135" s="107">
        <v>10652</v>
      </c>
      <c r="Y135" s="107">
        <v>10080</v>
      </c>
      <c r="Z135" s="107">
        <v>10989</v>
      </c>
      <c r="AA135" s="107">
        <v>10539</v>
      </c>
      <c r="AB135" s="107">
        <v>11011</v>
      </c>
      <c r="AC135" s="107">
        <v>11480</v>
      </c>
      <c r="AD135" s="107">
        <v>11495</v>
      </c>
      <c r="AE135" s="107">
        <v>10763.3</v>
      </c>
      <c r="AF135" s="479">
        <v>9556</v>
      </c>
      <c r="AG135" s="107">
        <v>11109</v>
      </c>
      <c r="AH135" s="107">
        <v>12116</v>
      </c>
      <c r="AI135" s="265">
        <v>12421</v>
      </c>
      <c r="AJ135" s="678">
        <v>12749</v>
      </c>
      <c r="AK135" s="816" t="s">
        <v>503</v>
      </c>
      <c r="AL135" s="856" t="s">
        <v>1</v>
      </c>
      <c r="AM135" s="856" t="s">
        <v>1</v>
      </c>
      <c r="AN135" s="856" t="s">
        <v>1</v>
      </c>
      <c r="AO135" s="856" t="s">
        <v>1</v>
      </c>
      <c r="AP135" s="856" t="s">
        <v>1</v>
      </c>
      <c r="AQ135" s="856" t="s">
        <v>1</v>
      </c>
      <c r="AR135" s="856" t="s">
        <v>1</v>
      </c>
    </row>
    <row r="136" spans="1:44">
      <c r="A136" s="99" t="s">
        <v>169</v>
      </c>
      <c r="B136" s="94"/>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100"/>
      <c r="AD136" s="54"/>
      <c r="AE136" s="700"/>
      <c r="AF136" s="13"/>
      <c r="AG136" s="701"/>
      <c r="AH136" s="102"/>
      <c r="AI136" s="103"/>
      <c r="AJ136" s="16"/>
      <c r="AK136" s="856"/>
      <c r="AL136" s="812"/>
      <c r="AM136" s="812"/>
      <c r="AN136" s="812"/>
      <c r="AO136" s="812"/>
      <c r="AP136" s="812"/>
      <c r="AQ136" s="812"/>
      <c r="AR136" s="812"/>
    </row>
    <row r="137" spans="1:44">
      <c r="A137" s="104" t="s">
        <v>109</v>
      </c>
      <c r="B137" s="94"/>
      <c r="C137" s="95" t="s">
        <v>1</v>
      </c>
      <c r="D137" s="95" t="s">
        <v>1</v>
      </c>
      <c r="E137" s="95" t="s">
        <v>1</v>
      </c>
      <c r="F137" s="95" t="s">
        <v>1</v>
      </c>
      <c r="G137" s="95" t="s">
        <v>1</v>
      </c>
      <c r="H137" s="95" t="s">
        <v>1</v>
      </c>
      <c r="I137" s="95" t="s">
        <v>1</v>
      </c>
      <c r="J137" s="95" t="s">
        <v>1</v>
      </c>
      <c r="K137" s="95" t="s">
        <v>1</v>
      </c>
      <c r="L137" s="95" t="s">
        <v>1</v>
      </c>
      <c r="M137" s="95" t="s">
        <v>1</v>
      </c>
      <c r="N137" s="95" t="s">
        <v>1</v>
      </c>
      <c r="O137" s="95" t="s">
        <v>1</v>
      </c>
      <c r="P137" s="95" t="s">
        <v>1</v>
      </c>
      <c r="Q137" s="95" t="s">
        <v>1</v>
      </c>
      <c r="R137" s="95" t="s">
        <v>1</v>
      </c>
      <c r="S137" s="95" t="s">
        <v>1</v>
      </c>
      <c r="T137" s="95" t="s">
        <v>1</v>
      </c>
      <c r="U137" s="95" t="s">
        <v>1</v>
      </c>
      <c r="V137" s="95" t="s">
        <v>1</v>
      </c>
      <c r="W137" s="95" t="s">
        <v>1</v>
      </c>
      <c r="X137" s="95" t="s">
        <v>1</v>
      </c>
      <c r="Y137" s="95" t="s">
        <v>1</v>
      </c>
      <c r="Z137" s="95" t="s">
        <v>1</v>
      </c>
      <c r="AA137" s="95" t="s">
        <v>1</v>
      </c>
      <c r="AB137" s="95" t="s">
        <v>1</v>
      </c>
      <c r="AC137" s="105" t="s">
        <v>1</v>
      </c>
      <c r="AD137" s="95" t="s">
        <v>1</v>
      </c>
      <c r="AE137" s="105" t="s">
        <v>1</v>
      </c>
      <c r="AF137" s="102" t="s">
        <v>1</v>
      </c>
      <c r="AG137" s="102" t="s">
        <v>1</v>
      </c>
      <c r="AH137" s="102" t="s">
        <v>1</v>
      </c>
      <c r="AI137" s="102" t="s">
        <v>1</v>
      </c>
      <c r="AJ137" s="102" t="s">
        <v>1</v>
      </c>
      <c r="AK137" s="856" t="s">
        <v>1</v>
      </c>
      <c r="AL137" s="856" t="s">
        <v>1</v>
      </c>
      <c r="AM137" s="856" t="s">
        <v>1</v>
      </c>
      <c r="AN137" s="856" t="s">
        <v>1</v>
      </c>
      <c r="AO137" s="856" t="s">
        <v>1</v>
      </c>
      <c r="AP137" s="856" t="s">
        <v>1</v>
      </c>
      <c r="AQ137" s="856" t="s">
        <v>1</v>
      </c>
      <c r="AR137" s="856" t="s">
        <v>1</v>
      </c>
    </row>
    <row r="138" spans="1:44">
      <c r="A138" s="104" t="s">
        <v>135</v>
      </c>
      <c r="B138" s="94"/>
      <c r="C138" s="95" t="s">
        <v>1</v>
      </c>
      <c r="D138" s="95" t="s">
        <v>1</v>
      </c>
      <c r="E138" s="95" t="s">
        <v>1</v>
      </c>
      <c r="F138" s="95" t="s">
        <v>1</v>
      </c>
      <c r="G138" s="95" t="s">
        <v>1</v>
      </c>
      <c r="H138" s="95" t="s">
        <v>1</v>
      </c>
      <c r="I138" s="95" t="s">
        <v>1</v>
      </c>
      <c r="J138" s="95" t="s">
        <v>1</v>
      </c>
      <c r="K138" s="95" t="s">
        <v>1</v>
      </c>
      <c r="L138" s="95" t="s">
        <v>1</v>
      </c>
      <c r="M138" s="95" t="s">
        <v>1</v>
      </c>
      <c r="N138" s="95" t="s">
        <v>1</v>
      </c>
      <c r="O138" s="95" t="s">
        <v>1</v>
      </c>
      <c r="P138" s="95" t="s">
        <v>1</v>
      </c>
      <c r="Q138" s="95" t="s">
        <v>1</v>
      </c>
      <c r="R138" s="95" t="s">
        <v>1</v>
      </c>
      <c r="S138" s="95" t="s">
        <v>1</v>
      </c>
      <c r="T138" s="95" t="s">
        <v>1</v>
      </c>
      <c r="U138" s="95" t="s">
        <v>1</v>
      </c>
      <c r="V138" s="95" t="s">
        <v>1</v>
      </c>
      <c r="W138" s="95" t="s">
        <v>1</v>
      </c>
      <c r="X138" s="95" t="s">
        <v>1</v>
      </c>
      <c r="Y138" s="95" t="s">
        <v>1</v>
      </c>
      <c r="Z138" s="95" t="s">
        <v>1</v>
      </c>
      <c r="AA138" s="95" t="s">
        <v>1</v>
      </c>
      <c r="AB138" s="95" t="s">
        <v>1</v>
      </c>
      <c r="AC138" s="105" t="s">
        <v>1</v>
      </c>
      <c r="AD138" s="95" t="s">
        <v>1</v>
      </c>
      <c r="AE138" s="105" t="s">
        <v>1</v>
      </c>
      <c r="AF138" s="102" t="s">
        <v>1</v>
      </c>
      <c r="AG138" s="102" t="s">
        <v>1</v>
      </c>
      <c r="AH138" s="102" t="s">
        <v>1</v>
      </c>
      <c r="AI138" s="102" t="s">
        <v>1</v>
      </c>
      <c r="AJ138" s="102" t="s">
        <v>1</v>
      </c>
      <c r="AK138" s="856" t="s">
        <v>1</v>
      </c>
      <c r="AL138" s="856" t="s">
        <v>1</v>
      </c>
      <c r="AM138" s="856" t="s">
        <v>1</v>
      </c>
      <c r="AN138" s="856" t="s">
        <v>1</v>
      </c>
      <c r="AO138" s="856" t="s">
        <v>1</v>
      </c>
      <c r="AP138" s="856" t="s">
        <v>1</v>
      </c>
      <c r="AQ138" s="856" t="s">
        <v>1</v>
      </c>
      <c r="AR138" s="856" t="s">
        <v>1</v>
      </c>
    </row>
    <row r="139" spans="1:44">
      <c r="A139" s="104" t="s">
        <v>110</v>
      </c>
      <c r="B139" s="94"/>
      <c r="C139" s="95" t="s">
        <v>1</v>
      </c>
      <c r="D139" s="95" t="s">
        <v>1</v>
      </c>
      <c r="E139" s="95" t="s">
        <v>1</v>
      </c>
      <c r="F139" s="95" t="s">
        <v>1</v>
      </c>
      <c r="G139" s="95" t="s">
        <v>1</v>
      </c>
      <c r="H139" s="95" t="s">
        <v>1</v>
      </c>
      <c r="I139" s="95" t="s">
        <v>1</v>
      </c>
      <c r="J139" s="95" t="s">
        <v>1</v>
      </c>
      <c r="K139" s="95" t="s">
        <v>1</v>
      </c>
      <c r="L139" s="95" t="s">
        <v>1</v>
      </c>
      <c r="M139" s="95" t="s">
        <v>1</v>
      </c>
      <c r="N139" s="95" t="s">
        <v>1</v>
      </c>
      <c r="O139" s="95" t="s">
        <v>1</v>
      </c>
      <c r="P139" s="95" t="s">
        <v>1</v>
      </c>
      <c r="Q139" s="95" t="s">
        <v>1</v>
      </c>
      <c r="R139" s="95" t="s">
        <v>1</v>
      </c>
      <c r="S139" s="95" t="s">
        <v>1</v>
      </c>
      <c r="T139" s="95" t="s">
        <v>1</v>
      </c>
      <c r="U139" s="95" t="s">
        <v>1</v>
      </c>
      <c r="V139" s="95" t="s">
        <v>1</v>
      </c>
      <c r="W139" s="95" t="s">
        <v>1</v>
      </c>
      <c r="X139" s="95" t="s">
        <v>1</v>
      </c>
      <c r="Y139" s="95" t="s">
        <v>1</v>
      </c>
      <c r="Z139" s="95" t="s">
        <v>1</v>
      </c>
      <c r="AA139" s="95" t="s">
        <v>1</v>
      </c>
      <c r="AB139" s="95" t="s">
        <v>1</v>
      </c>
      <c r="AC139" s="105" t="s">
        <v>1</v>
      </c>
      <c r="AD139" s="95" t="s">
        <v>1</v>
      </c>
      <c r="AE139" s="105" t="s">
        <v>1</v>
      </c>
      <c r="AF139" s="102" t="s">
        <v>1</v>
      </c>
      <c r="AG139" s="102" t="s">
        <v>1</v>
      </c>
      <c r="AH139" s="102" t="s">
        <v>1</v>
      </c>
      <c r="AI139" s="102" t="s">
        <v>1</v>
      </c>
      <c r="AJ139" s="102" t="s">
        <v>1</v>
      </c>
      <c r="AK139" s="856" t="s">
        <v>1</v>
      </c>
      <c r="AL139" s="856" t="s">
        <v>1</v>
      </c>
      <c r="AM139" s="856" t="s">
        <v>1</v>
      </c>
      <c r="AN139" s="856" t="s">
        <v>1</v>
      </c>
      <c r="AO139" s="856" t="s">
        <v>1</v>
      </c>
      <c r="AP139" s="856" t="s">
        <v>1</v>
      </c>
      <c r="AQ139" s="856" t="s">
        <v>1</v>
      </c>
      <c r="AR139" s="856" t="s">
        <v>1</v>
      </c>
    </row>
    <row r="140" spans="1:44">
      <c r="A140" s="104" t="s">
        <v>111</v>
      </c>
      <c r="B140" s="94"/>
      <c r="C140" s="95" t="s">
        <v>1</v>
      </c>
      <c r="D140" s="95" t="s">
        <v>1</v>
      </c>
      <c r="E140" s="95" t="s">
        <v>1</v>
      </c>
      <c r="F140" s="95" t="s">
        <v>1</v>
      </c>
      <c r="G140" s="95" t="s">
        <v>1</v>
      </c>
      <c r="H140" s="95" t="s">
        <v>1</v>
      </c>
      <c r="I140" s="95" t="s">
        <v>1</v>
      </c>
      <c r="J140" s="95" t="s">
        <v>1</v>
      </c>
      <c r="K140" s="95" t="s">
        <v>1</v>
      </c>
      <c r="L140" s="95" t="s">
        <v>1</v>
      </c>
      <c r="M140" s="95" t="s">
        <v>1</v>
      </c>
      <c r="N140" s="95" t="s">
        <v>1</v>
      </c>
      <c r="O140" s="95" t="s">
        <v>1</v>
      </c>
      <c r="P140" s="95" t="s">
        <v>1</v>
      </c>
      <c r="Q140" s="95" t="s">
        <v>1</v>
      </c>
      <c r="R140" s="95" t="s">
        <v>1</v>
      </c>
      <c r="S140" s="95" t="s">
        <v>1</v>
      </c>
      <c r="T140" s="95" t="s">
        <v>1</v>
      </c>
      <c r="U140" s="95" t="s">
        <v>1</v>
      </c>
      <c r="V140" s="95" t="s">
        <v>1</v>
      </c>
      <c r="W140" s="95" t="s">
        <v>1</v>
      </c>
      <c r="X140" s="95" t="s">
        <v>1</v>
      </c>
      <c r="Y140" s="95" t="s">
        <v>1</v>
      </c>
      <c r="Z140" s="95" t="s">
        <v>1</v>
      </c>
      <c r="AA140" s="95" t="s">
        <v>1</v>
      </c>
      <c r="AB140" s="95" t="s">
        <v>1</v>
      </c>
      <c r="AC140" s="105" t="s">
        <v>1</v>
      </c>
      <c r="AD140" s="95" t="s">
        <v>1</v>
      </c>
      <c r="AE140" s="105" t="s">
        <v>1</v>
      </c>
      <c r="AF140" s="102" t="s">
        <v>1</v>
      </c>
      <c r="AG140" s="102" t="s">
        <v>1</v>
      </c>
      <c r="AH140" s="102" t="s">
        <v>1</v>
      </c>
      <c r="AI140" s="102" t="s">
        <v>1</v>
      </c>
      <c r="AJ140" s="102" t="s">
        <v>1</v>
      </c>
      <c r="AK140" s="856" t="s">
        <v>1</v>
      </c>
      <c r="AL140" s="856" t="s">
        <v>1</v>
      </c>
      <c r="AM140" s="856" t="s">
        <v>1</v>
      </c>
      <c r="AN140" s="856" t="s">
        <v>1</v>
      </c>
      <c r="AO140" s="856" t="s">
        <v>1</v>
      </c>
      <c r="AP140" s="856" t="s">
        <v>1</v>
      </c>
      <c r="AQ140" s="856" t="s">
        <v>1</v>
      </c>
      <c r="AR140" s="856" t="s">
        <v>1</v>
      </c>
    </row>
    <row r="141" spans="1:44">
      <c r="A141" s="104" t="s">
        <v>388</v>
      </c>
      <c r="B141" s="94"/>
      <c r="C141" s="95" t="s">
        <v>1</v>
      </c>
      <c r="D141" s="95" t="s">
        <v>1</v>
      </c>
      <c r="E141" s="95" t="s">
        <v>1</v>
      </c>
      <c r="F141" s="95" t="s">
        <v>1</v>
      </c>
      <c r="G141" s="95" t="s">
        <v>1</v>
      </c>
      <c r="H141" s="95" t="s">
        <v>1</v>
      </c>
      <c r="I141" s="95" t="s">
        <v>1</v>
      </c>
      <c r="J141" s="95" t="s">
        <v>1</v>
      </c>
      <c r="K141" s="95" t="s">
        <v>1</v>
      </c>
      <c r="L141" s="95" t="s">
        <v>1</v>
      </c>
      <c r="M141" s="95" t="s">
        <v>1</v>
      </c>
      <c r="N141" s="95" t="s">
        <v>1</v>
      </c>
      <c r="O141" s="95" t="s">
        <v>1</v>
      </c>
      <c r="P141" s="95" t="s">
        <v>1</v>
      </c>
      <c r="Q141" s="95" t="s">
        <v>1</v>
      </c>
      <c r="R141" s="95" t="s">
        <v>1</v>
      </c>
      <c r="S141" s="95" t="s">
        <v>1</v>
      </c>
      <c r="T141" s="95" t="s">
        <v>1</v>
      </c>
      <c r="U141" s="95" t="s">
        <v>1</v>
      </c>
      <c r="V141" s="95" t="s">
        <v>1</v>
      </c>
      <c r="W141" s="95" t="s">
        <v>1</v>
      </c>
      <c r="X141" s="95" t="s">
        <v>1</v>
      </c>
      <c r="Y141" s="95" t="s">
        <v>1</v>
      </c>
      <c r="Z141" s="95" t="s">
        <v>1</v>
      </c>
      <c r="AA141" s="95" t="s">
        <v>1</v>
      </c>
      <c r="AB141" s="95" t="s">
        <v>1</v>
      </c>
      <c r="AC141" s="105" t="s">
        <v>1</v>
      </c>
      <c r="AD141" s="95" t="s">
        <v>1</v>
      </c>
      <c r="AE141" s="105" t="s">
        <v>1</v>
      </c>
      <c r="AF141" s="102" t="s">
        <v>1</v>
      </c>
      <c r="AG141" s="102" t="s">
        <v>1</v>
      </c>
      <c r="AH141" s="102" t="s">
        <v>1</v>
      </c>
      <c r="AI141" s="102" t="s">
        <v>1</v>
      </c>
      <c r="AJ141" s="102" t="s">
        <v>1</v>
      </c>
      <c r="AK141" s="856" t="s">
        <v>1</v>
      </c>
      <c r="AL141" s="856" t="s">
        <v>1</v>
      </c>
      <c r="AM141" s="856" t="s">
        <v>1</v>
      </c>
      <c r="AN141" s="856" t="s">
        <v>1</v>
      </c>
      <c r="AO141" s="856" t="s">
        <v>1</v>
      </c>
      <c r="AP141" s="856" t="s">
        <v>1</v>
      </c>
      <c r="AQ141" s="856" t="s">
        <v>1</v>
      </c>
      <c r="AR141" s="856" t="s">
        <v>1</v>
      </c>
    </row>
    <row r="142" spans="1:44">
      <c r="A142" s="104" t="s">
        <v>136</v>
      </c>
      <c r="B142" s="94"/>
      <c r="C142" s="95" t="s">
        <v>1</v>
      </c>
      <c r="D142" s="95" t="s">
        <v>1</v>
      </c>
      <c r="E142" s="95" t="s">
        <v>1</v>
      </c>
      <c r="F142" s="95" t="s">
        <v>1</v>
      </c>
      <c r="G142" s="95" t="s">
        <v>1</v>
      </c>
      <c r="H142" s="95" t="s">
        <v>1</v>
      </c>
      <c r="I142" s="95" t="s">
        <v>1</v>
      </c>
      <c r="J142" s="95" t="s">
        <v>1</v>
      </c>
      <c r="K142" s="95" t="s">
        <v>1</v>
      </c>
      <c r="L142" s="95" t="s">
        <v>1</v>
      </c>
      <c r="M142" s="95" t="s">
        <v>1</v>
      </c>
      <c r="N142" s="95" t="s">
        <v>1</v>
      </c>
      <c r="O142" s="95" t="s">
        <v>1</v>
      </c>
      <c r="P142" s="95" t="s">
        <v>1</v>
      </c>
      <c r="Q142" s="95" t="s">
        <v>1</v>
      </c>
      <c r="R142" s="95" t="s">
        <v>1</v>
      </c>
      <c r="S142" s="95" t="s">
        <v>1</v>
      </c>
      <c r="T142" s="95" t="s">
        <v>1</v>
      </c>
      <c r="U142" s="95" t="s">
        <v>1</v>
      </c>
      <c r="V142" s="95" t="s">
        <v>1</v>
      </c>
      <c r="W142" s="95" t="s">
        <v>1</v>
      </c>
      <c r="X142" s="95" t="s">
        <v>1</v>
      </c>
      <c r="Y142" s="95" t="s">
        <v>1</v>
      </c>
      <c r="Z142" s="95" t="s">
        <v>1</v>
      </c>
      <c r="AA142" s="95" t="s">
        <v>1</v>
      </c>
      <c r="AB142" s="95" t="s">
        <v>1</v>
      </c>
      <c r="AC142" s="105" t="s">
        <v>1</v>
      </c>
      <c r="AD142" s="95" t="s">
        <v>1</v>
      </c>
      <c r="AE142" s="105" t="s">
        <v>1</v>
      </c>
      <c r="AF142" s="102" t="s">
        <v>1</v>
      </c>
      <c r="AG142" s="102" t="s">
        <v>1</v>
      </c>
      <c r="AH142" s="102" t="s">
        <v>1</v>
      </c>
      <c r="AI142" s="102" t="s">
        <v>1</v>
      </c>
      <c r="AJ142" s="102" t="s">
        <v>1</v>
      </c>
      <c r="AK142" s="856" t="s">
        <v>1</v>
      </c>
      <c r="AL142" s="856" t="s">
        <v>1</v>
      </c>
      <c r="AM142" s="856" t="s">
        <v>1</v>
      </c>
      <c r="AN142" s="856" t="s">
        <v>1</v>
      </c>
      <c r="AO142" s="856" t="s">
        <v>1</v>
      </c>
      <c r="AP142" s="856" t="s">
        <v>1</v>
      </c>
      <c r="AQ142" s="856" t="s">
        <v>1</v>
      </c>
      <c r="AR142" s="856" t="s">
        <v>1</v>
      </c>
    </row>
    <row r="143" spans="1:44">
      <c r="A143" s="104" t="s">
        <v>112</v>
      </c>
      <c r="B143" s="94"/>
      <c r="C143" s="95" t="s">
        <v>1</v>
      </c>
      <c r="D143" s="95" t="s">
        <v>1</v>
      </c>
      <c r="E143" s="95" t="s">
        <v>1</v>
      </c>
      <c r="F143" s="95" t="s">
        <v>1</v>
      </c>
      <c r="G143" s="95" t="s">
        <v>1</v>
      </c>
      <c r="H143" s="95" t="s">
        <v>1</v>
      </c>
      <c r="I143" s="95" t="s">
        <v>1</v>
      </c>
      <c r="J143" s="95" t="s">
        <v>1</v>
      </c>
      <c r="K143" s="95" t="s">
        <v>1</v>
      </c>
      <c r="L143" s="95" t="s">
        <v>1</v>
      </c>
      <c r="M143" s="95" t="s">
        <v>1</v>
      </c>
      <c r="N143" s="95" t="s">
        <v>1</v>
      </c>
      <c r="O143" s="95" t="s">
        <v>1</v>
      </c>
      <c r="P143" s="95" t="s">
        <v>1</v>
      </c>
      <c r="Q143" s="95" t="s">
        <v>1</v>
      </c>
      <c r="R143" s="95" t="s">
        <v>1</v>
      </c>
      <c r="S143" s="95" t="s">
        <v>1</v>
      </c>
      <c r="T143" s="95" t="s">
        <v>1</v>
      </c>
      <c r="U143" s="95" t="s">
        <v>1</v>
      </c>
      <c r="V143" s="95" t="s">
        <v>1</v>
      </c>
      <c r="W143" s="95" t="s">
        <v>1</v>
      </c>
      <c r="X143" s="95" t="s">
        <v>1</v>
      </c>
      <c r="Y143" s="95" t="s">
        <v>1</v>
      </c>
      <c r="Z143" s="95" t="s">
        <v>1</v>
      </c>
      <c r="AA143" s="95" t="s">
        <v>1</v>
      </c>
      <c r="AB143" s="95" t="s">
        <v>1</v>
      </c>
      <c r="AC143" s="105" t="s">
        <v>1</v>
      </c>
      <c r="AD143" s="95" t="s">
        <v>1</v>
      </c>
      <c r="AE143" s="105" t="s">
        <v>1</v>
      </c>
      <c r="AF143" s="102" t="s">
        <v>1</v>
      </c>
      <c r="AG143" s="102" t="s">
        <v>1</v>
      </c>
      <c r="AH143" s="102" t="s">
        <v>1</v>
      </c>
      <c r="AI143" s="102" t="s">
        <v>1</v>
      </c>
      <c r="AJ143" s="102" t="s">
        <v>1</v>
      </c>
      <c r="AK143" s="856" t="s">
        <v>1</v>
      </c>
      <c r="AL143" s="856" t="s">
        <v>1</v>
      </c>
      <c r="AM143" s="856" t="s">
        <v>1</v>
      </c>
      <c r="AN143" s="856" t="s">
        <v>1</v>
      </c>
      <c r="AO143" s="856" t="s">
        <v>1</v>
      </c>
      <c r="AP143" s="856" t="s">
        <v>1</v>
      </c>
      <c r="AQ143" s="856" t="s">
        <v>1</v>
      </c>
      <c r="AR143" s="856" t="s">
        <v>1</v>
      </c>
    </row>
    <row r="144" spans="1:44">
      <c r="A144" s="104" t="s">
        <v>113</v>
      </c>
      <c r="B144" s="94"/>
      <c r="C144" s="95" t="s">
        <v>1</v>
      </c>
      <c r="D144" s="95" t="s">
        <v>1</v>
      </c>
      <c r="E144" s="95" t="s">
        <v>1</v>
      </c>
      <c r="F144" s="95" t="s">
        <v>1</v>
      </c>
      <c r="G144" s="95" t="s">
        <v>1</v>
      </c>
      <c r="H144" s="95" t="s">
        <v>1</v>
      </c>
      <c r="I144" s="95" t="s">
        <v>1</v>
      </c>
      <c r="J144" s="95" t="s">
        <v>1</v>
      </c>
      <c r="K144" s="95" t="s">
        <v>1</v>
      </c>
      <c r="L144" s="95" t="s">
        <v>1</v>
      </c>
      <c r="M144" s="95" t="s">
        <v>1</v>
      </c>
      <c r="N144" s="95" t="s">
        <v>1</v>
      </c>
      <c r="O144" s="95" t="s">
        <v>1</v>
      </c>
      <c r="P144" s="95" t="s">
        <v>1</v>
      </c>
      <c r="Q144" s="95" t="s">
        <v>1</v>
      </c>
      <c r="R144" s="95" t="s">
        <v>1</v>
      </c>
      <c r="S144" s="95" t="s">
        <v>1</v>
      </c>
      <c r="T144" s="95" t="s">
        <v>1</v>
      </c>
      <c r="U144" s="95" t="s">
        <v>1</v>
      </c>
      <c r="V144" s="95" t="s">
        <v>1</v>
      </c>
      <c r="W144" s="95" t="s">
        <v>1</v>
      </c>
      <c r="X144" s="95" t="s">
        <v>1</v>
      </c>
      <c r="Y144" s="95" t="s">
        <v>1</v>
      </c>
      <c r="Z144" s="95" t="s">
        <v>1</v>
      </c>
      <c r="AA144" s="95" t="s">
        <v>1</v>
      </c>
      <c r="AB144" s="95" t="s">
        <v>1</v>
      </c>
      <c r="AC144" s="105" t="s">
        <v>1</v>
      </c>
      <c r="AD144" s="95" t="s">
        <v>1</v>
      </c>
      <c r="AE144" s="105" t="s">
        <v>1</v>
      </c>
      <c r="AF144" s="102" t="s">
        <v>1</v>
      </c>
      <c r="AG144" s="102" t="s">
        <v>1</v>
      </c>
      <c r="AH144" s="102" t="s">
        <v>1</v>
      </c>
      <c r="AI144" s="102" t="s">
        <v>1</v>
      </c>
      <c r="AJ144" s="102" t="s">
        <v>1</v>
      </c>
      <c r="AK144" s="856" t="s">
        <v>1</v>
      </c>
      <c r="AL144" s="856" t="s">
        <v>1</v>
      </c>
      <c r="AM144" s="856" t="s">
        <v>1</v>
      </c>
      <c r="AN144" s="856" t="s">
        <v>1</v>
      </c>
      <c r="AO144" s="856" t="s">
        <v>1</v>
      </c>
      <c r="AP144" s="856" t="s">
        <v>1</v>
      </c>
      <c r="AQ144" s="856" t="s">
        <v>1</v>
      </c>
      <c r="AR144" s="856" t="s">
        <v>1</v>
      </c>
    </row>
    <row r="145" spans="1:44" ht="27.75">
      <c r="A145" s="93" t="s">
        <v>407</v>
      </c>
      <c r="B145" s="89" t="s">
        <v>185</v>
      </c>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1"/>
      <c r="AD145" s="92"/>
      <c r="AE145" s="40"/>
      <c r="AF145" s="48"/>
      <c r="AG145" s="41"/>
      <c r="AH145" s="50"/>
      <c r="AI145" s="48"/>
      <c r="AJ145" s="16"/>
      <c r="AK145" s="812"/>
      <c r="AL145" s="812"/>
      <c r="AM145" s="812"/>
      <c r="AN145" s="812"/>
      <c r="AO145" s="812"/>
      <c r="AP145" s="812"/>
      <c r="AQ145" s="812"/>
      <c r="AR145" s="812"/>
    </row>
    <row r="146" spans="1:44">
      <c r="A146" s="93" t="s">
        <v>190</v>
      </c>
      <c r="B146" s="94"/>
      <c r="C146" s="95">
        <v>380</v>
      </c>
      <c r="D146" s="95">
        <v>362</v>
      </c>
      <c r="E146" s="95">
        <v>344</v>
      </c>
      <c r="F146" s="95">
        <v>317</v>
      </c>
      <c r="G146" s="95">
        <v>276</v>
      </c>
      <c r="H146" s="95">
        <v>155</v>
      </c>
      <c r="I146" s="95">
        <v>199</v>
      </c>
      <c r="J146" s="95">
        <v>189</v>
      </c>
      <c r="K146" s="95">
        <v>167</v>
      </c>
      <c r="L146" s="95">
        <v>166</v>
      </c>
      <c r="M146" s="95">
        <v>159</v>
      </c>
      <c r="N146" s="95">
        <v>157</v>
      </c>
      <c r="O146" s="95">
        <v>156</v>
      </c>
      <c r="P146" s="95">
        <v>155</v>
      </c>
      <c r="Q146" s="95">
        <v>154</v>
      </c>
      <c r="R146" s="95">
        <v>153</v>
      </c>
      <c r="S146" s="95">
        <v>158</v>
      </c>
      <c r="T146" s="95">
        <v>160</v>
      </c>
      <c r="U146" s="95">
        <v>162</v>
      </c>
      <c r="V146" s="95">
        <v>178</v>
      </c>
      <c r="W146" s="95">
        <v>194</v>
      </c>
      <c r="X146" s="95">
        <v>201</v>
      </c>
      <c r="Y146" s="95">
        <v>217</v>
      </c>
      <c r="Z146" s="95">
        <v>343</v>
      </c>
      <c r="AA146" s="95">
        <v>401</v>
      </c>
      <c r="AB146" s="95">
        <v>506</v>
      </c>
      <c r="AC146" s="100">
        <v>617</v>
      </c>
      <c r="AD146" s="95">
        <v>774</v>
      </c>
      <c r="AE146" s="95">
        <v>869</v>
      </c>
      <c r="AF146" s="100">
        <v>825</v>
      </c>
      <c r="AG146" s="108">
        <v>860</v>
      </c>
      <c r="AH146" s="102">
        <v>899</v>
      </c>
      <c r="AI146" s="109">
        <v>947</v>
      </c>
      <c r="AJ146" s="110">
        <v>1022</v>
      </c>
      <c r="AK146" s="798">
        <v>1065</v>
      </c>
      <c r="AL146" s="856" t="s">
        <v>1</v>
      </c>
      <c r="AM146" s="856" t="s">
        <v>1</v>
      </c>
      <c r="AN146" s="856" t="s">
        <v>1</v>
      </c>
      <c r="AO146" s="856" t="s">
        <v>1</v>
      </c>
      <c r="AP146" s="856" t="s">
        <v>1</v>
      </c>
      <c r="AQ146" s="856" t="s">
        <v>1</v>
      </c>
      <c r="AR146" s="856" t="s">
        <v>1</v>
      </c>
    </row>
    <row r="147" spans="1:44">
      <c r="A147" s="99" t="s">
        <v>169</v>
      </c>
      <c r="B147" s="94"/>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c r="AA147" s="95"/>
      <c r="AB147" s="95"/>
      <c r="AC147" s="100"/>
      <c r="AD147" s="95"/>
      <c r="AE147" s="95"/>
      <c r="AF147" s="100"/>
      <c r="AG147" s="108"/>
      <c r="AH147" s="102"/>
      <c r="AI147" s="109"/>
      <c r="AJ147" s="16"/>
      <c r="AK147" s="798"/>
      <c r="AL147" s="812"/>
      <c r="AM147" s="812"/>
      <c r="AN147" s="812"/>
      <c r="AO147" s="812"/>
      <c r="AP147" s="812"/>
      <c r="AQ147" s="812"/>
      <c r="AR147" s="812"/>
    </row>
    <row r="148" spans="1:44">
      <c r="A148" s="104" t="s">
        <v>109</v>
      </c>
      <c r="B148" s="94"/>
      <c r="C148" s="95" t="s">
        <v>1</v>
      </c>
      <c r="D148" s="95" t="s">
        <v>1</v>
      </c>
      <c r="E148" s="95" t="s">
        <v>1</v>
      </c>
      <c r="F148" s="95" t="s">
        <v>1</v>
      </c>
      <c r="G148" s="95" t="s">
        <v>1</v>
      </c>
      <c r="H148" s="95" t="s">
        <v>1</v>
      </c>
      <c r="I148" s="95" t="s">
        <v>1</v>
      </c>
      <c r="J148" s="95" t="s">
        <v>1</v>
      </c>
      <c r="K148" s="95" t="s">
        <v>1</v>
      </c>
      <c r="L148" s="95" t="s">
        <v>1</v>
      </c>
      <c r="M148" s="95" t="s">
        <v>1</v>
      </c>
      <c r="N148" s="95" t="s">
        <v>1</v>
      </c>
      <c r="O148" s="95" t="s">
        <v>1</v>
      </c>
      <c r="P148" s="95" t="s">
        <v>1</v>
      </c>
      <c r="Q148" s="95" t="s">
        <v>1</v>
      </c>
      <c r="R148" s="95" t="s">
        <v>1</v>
      </c>
      <c r="S148" s="95">
        <v>27</v>
      </c>
      <c r="T148" s="95">
        <v>28</v>
      </c>
      <c r="U148" s="95">
        <v>34</v>
      </c>
      <c r="V148" s="95">
        <v>33</v>
      </c>
      <c r="W148" s="95">
        <v>31</v>
      </c>
      <c r="X148" s="95">
        <v>34</v>
      </c>
      <c r="Y148" s="95">
        <v>33</v>
      </c>
      <c r="Z148" s="95">
        <v>41</v>
      </c>
      <c r="AA148" s="95">
        <v>46</v>
      </c>
      <c r="AB148" s="95">
        <v>57</v>
      </c>
      <c r="AC148" s="105" t="s">
        <v>1</v>
      </c>
      <c r="AD148" s="95" t="s">
        <v>1</v>
      </c>
      <c r="AE148" s="95" t="s">
        <v>1</v>
      </c>
      <c r="AF148" s="105" t="s">
        <v>1</v>
      </c>
      <c r="AG148" s="108" t="s">
        <v>1</v>
      </c>
      <c r="AH148" s="102" t="s">
        <v>1</v>
      </c>
      <c r="AI148" s="109" t="s">
        <v>1</v>
      </c>
      <c r="AJ148" s="111" t="s">
        <v>1</v>
      </c>
      <c r="AK148" s="813" t="s">
        <v>1</v>
      </c>
      <c r="AL148" s="856" t="s">
        <v>1</v>
      </c>
      <c r="AM148" s="856" t="s">
        <v>1</v>
      </c>
      <c r="AN148" s="856" t="s">
        <v>1</v>
      </c>
      <c r="AO148" s="856" t="s">
        <v>1</v>
      </c>
      <c r="AP148" s="856" t="s">
        <v>1</v>
      </c>
      <c r="AQ148" s="856" t="s">
        <v>1</v>
      </c>
      <c r="AR148" s="856" t="s">
        <v>1</v>
      </c>
    </row>
    <row r="149" spans="1:44">
      <c r="A149" s="104" t="s">
        <v>135</v>
      </c>
      <c r="B149" s="94"/>
      <c r="C149" s="95" t="s">
        <v>1</v>
      </c>
      <c r="D149" s="95" t="s">
        <v>1</v>
      </c>
      <c r="E149" s="95" t="s">
        <v>1</v>
      </c>
      <c r="F149" s="95" t="s">
        <v>1</v>
      </c>
      <c r="G149" s="95" t="s">
        <v>1</v>
      </c>
      <c r="H149" s="95" t="s">
        <v>1</v>
      </c>
      <c r="I149" s="95" t="s">
        <v>1</v>
      </c>
      <c r="J149" s="95" t="s">
        <v>1</v>
      </c>
      <c r="K149" s="95" t="s">
        <v>1</v>
      </c>
      <c r="L149" s="95" t="s">
        <v>1</v>
      </c>
      <c r="M149" s="95" t="s">
        <v>1</v>
      </c>
      <c r="N149" s="95" t="s">
        <v>1</v>
      </c>
      <c r="O149" s="95" t="s">
        <v>1</v>
      </c>
      <c r="P149" s="95" t="s">
        <v>1</v>
      </c>
      <c r="Q149" s="95" t="s">
        <v>1</v>
      </c>
      <c r="R149" s="95" t="s">
        <v>1</v>
      </c>
      <c r="S149" s="95"/>
      <c r="T149" s="95"/>
      <c r="U149" s="95">
        <v>4</v>
      </c>
      <c r="V149" s="95">
        <v>9</v>
      </c>
      <c r="W149" s="95">
        <v>9</v>
      </c>
      <c r="X149" s="95">
        <v>9</v>
      </c>
      <c r="Y149" s="95">
        <v>11</v>
      </c>
      <c r="Z149" s="95">
        <v>26</v>
      </c>
      <c r="AA149" s="95">
        <v>45</v>
      </c>
      <c r="AB149" s="95">
        <v>65</v>
      </c>
      <c r="AC149" s="105" t="s">
        <v>1</v>
      </c>
      <c r="AD149" s="95" t="s">
        <v>1</v>
      </c>
      <c r="AE149" s="95" t="s">
        <v>1</v>
      </c>
      <c r="AF149" s="105" t="s">
        <v>1</v>
      </c>
      <c r="AG149" s="108" t="s">
        <v>1</v>
      </c>
      <c r="AH149" s="102" t="s">
        <v>1</v>
      </c>
      <c r="AI149" s="109" t="s">
        <v>1</v>
      </c>
      <c r="AJ149" s="111" t="s">
        <v>1</v>
      </c>
      <c r="AK149" s="805" t="s">
        <v>1</v>
      </c>
      <c r="AL149" s="856" t="s">
        <v>1</v>
      </c>
      <c r="AM149" s="856" t="s">
        <v>1</v>
      </c>
      <c r="AN149" s="856" t="s">
        <v>1</v>
      </c>
      <c r="AO149" s="856" t="s">
        <v>1</v>
      </c>
      <c r="AP149" s="856" t="s">
        <v>1</v>
      </c>
      <c r="AQ149" s="856" t="s">
        <v>1</v>
      </c>
      <c r="AR149" s="856" t="s">
        <v>1</v>
      </c>
    </row>
    <row r="150" spans="1:44">
      <c r="A150" s="104" t="s">
        <v>110</v>
      </c>
      <c r="B150" s="94"/>
      <c r="C150" s="95" t="s">
        <v>1</v>
      </c>
      <c r="D150" s="95" t="s">
        <v>1</v>
      </c>
      <c r="E150" s="95" t="s">
        <v>1</v>
      </c>
      <c r="F150" s="95" t="s">
        <v>1</v>
      </c>
      <c r="G150" s="95" t="s">
        <v>1</v>
      </c>
      <c r="H150" s="95" t="s">
        <v>1</v>
      </c>
      <c r="I150" s="95" t="s">
        <v>1</v>
      </c>
      <c r="J150" s="95" t="s">
        <v>1</v>
      </c>
      <c r="K150" s="95" t="s">
        <v>1</v>
      </c>
      <c r="L150" s="95" t="s">
        <v>1</v>
      </c>
      <c r="M150" s="95" t="s">
        <v>1</v>
      </c>
      <c r="N150" s="95" t="s">
        <v>1</v>
      </c>
      <c r="O150" s="95" t="s">
        <v>1</v>
      </c>
      <c r="P150" s="95" t="s">
        <v>1</v>
      </c>
      <c r="Q150" s="95" t="s">
        <v>1</v>
      </c>
      <c r="R150" s="95" t="s">
        <v>1</v>
      </c>
      <c r="S150" s="95">
        <v>40</v>
      </c>
      <c r="T150" s="95">
        <v>40</v>
      </c>
      <c r="U150" s="95">
        <v>41</v>
      </c>
      <c r="V150" s="95">
        <v>45</v>
      </c>
      <c r="W150" s="95">
        <v>50</v>
      </c>
      <c r="X150" s="95">
        <v>50</v>
      </c>
      <c r="Y150" s="95">
        <v>60</v>
      </c>
      <c r="Z150" s="95">
        <v>83</v>
      </c>
      <c r="AA150" s="95">
        <v>94</v>
      </c>
      <c r="AB150" s="95">
        <v>106</v>
      </c>
      <c r="AC150" s="105" t="s">
        <v>1</v>
      </c>
      <c r="AD150" s="95" t="s">
        <v>1</v>
      </c>
      <c r="AE150" s="95" t="s">
        <v>1</v>
      </c>
      <c r="AF150" s="105" t="s">
        <v>1</v>
      </c>
      <c r="AG150" s="108" t="s">
        <v>1</v>
      </c>
      <c r="AH150" s="102" t="s">
        <v>1</v>
      </c>
      <c r="AI150" s="109" t="s">
        <v>1</v>
      </c>
      <c r="AJ150" s="111" t="s">
        <v>1</v>
      </c>
      <c r="AK150" s="805" t="s">
        <v>1</v>
      </c>
      <c r="AL150" s="856" t="s">
        <v>1</v>
      </c>
      <c r="AM150" s="856" t="s">
        <v>1</v>
      </c>
      <c r="AN150" s="856" t="s">
        <v>1</v>
      </c>
      <c r="AO150" s="856" t="s">
        <v>1</v>
      </c>
      <c r="AP150" s="856" t="s">
        <v>1</v>
      </c>
      <c r="AQ150" s="856" t="s">
        <v>1</v>
      </c>
      <c r="AR150" s="856" t="s">
        <v>1</v>
      </c>
    </row>
    <row r="151" spans="1:44">
      <c r="A151" s="104" t="s">
        <v>111</v>
      </c>
      <c r="B151" s="94"/>
      <c r="C151" s="95" t="s">
        <v>1</v>
      </c>
      <c r="D151" s="95" t="s">
        <v>1</v>
      </c>
      <c r="E151" s="95" t="s">
        <v>1</v>
      </c>
      <c r="F151" s="95" t="s">
        <v>1</v>
      </c>
      <c r="G151" s="95" t="s">
        <v>1</v>
      </c>
      <c r="H151" s="95" t="s">
        <v>1</v>
      </c>
      <c r="I151" s="95" t="s">
        <v>1</v>
      </c>
      <c r="J151" s="95" t="s">
        <v>1</v>
      </c>
      <c r="K151" s="95" t="s">
        <v>1</v>
      </c>
      <c r="L151" s="95" t="s">
        <v>1</v>
      </c>
      <c r="M151" s="95" t="s">
        <v>1</v>
      </c>
      <c r="N151" s="95" t="s">
        <v>1</v>
      </c>
      <c r="O151" s="95" t="s">
        <v>1</v>
      </c>
      <c r="P151" s="95" t="s">
        <v>1</v>
      </c>
      <c r="Q151" s="95" t="s">
        <v>1</v>
      </c>
      <c r="R151" s="95" t="s">
        <v>1</v>
      </c>
      <c r="S151" s="95">
        <v>34</v>
      </c>
      <c r="T151" s="95">
        <v>36</v>
      </c>
      <c r="U151" s="95">
        <v>34</v>
      </c>
      <c r="V151" s="95">
        <v>34</v>
      </c>
      <c r="W151" s="95">
        <v>37</v>
      </c>
      <c r="X151" s="95">
        <v>36</v>
      </c>
      <c r="Y151" s="95">
        <v>41</v>
      </c>
      <c r="Z151" s="95">
        <v>69</v>
      </c>
      <c r="AA151" s="95">
        <v>74</v>
      </c>
      <c r="AB151" s="95">
        <v>82</v>
      </c>
      <c r="AC151" s="105" t="s">
        <v>1</v>
      </c>
      <c r="AD151" s="95" t="s">
        <v>1</v>
      </c>
      <c r="AE151" s="95" t="s">
        <v>1</v>
      </c>
      <c r="AF151" s="105" t="s">
        <v>1</v>
      </c>
      <c r="AG151" s="108" t="s">
        <v>1</v>
      </c>
      <c r="AH151" s="102" t="s">
        <v>1</v>
      </c>
      <c r="AI151" s="109" t="s">
        <v>1</v>
      </c>
      <c r="AJ151" s="111" t="s">
        <v>1</v>
      </c>
      <c r="AK151" s="805" t="s">
        <v>1</v>
      </c>
      <c r="AL151" s="856" t="s">
        <v>1</v>
      </c>
      <c r="AM151" s="856" t="s">
        <v>1</v>
      </c>
      <c r="AN151" s="856" t="s">
        <v>1</v>
      </c>
      <c r="AO151" s="856" t="s">
        <v>1</v>
      </c>
      <c r="AP151" s="856" t="s">
        <v>1</v>
      </c>
      <c r="AQ151" s="856" t="s">
        <v>1</v>
      </c>
      <c r="AR151" s="856" t="s">
        <v>1</v>
      </c>
    </row>
    <row r="152" spans="1:44">
      <c r="A152" s="104" t="s">
        <v>388</v>
      </c>
      <c r="B152" s="94"/>
      <c r="C152" s="95" t="s">
        <v>1</v>
      </c>
      <c r="D152" s="95" t="s">
        <v>1</v>
      </c>
      <c r="E152" s="95" t="s">
        <v>1</v>
      </c>
      <c r="F152" s="95" t="s">
        <v>1</v>
      </c>
      <c r="G152" s="95" t="s">
        <v>1</v>
      </c>
      <c r="H152" s="95" t="s">
        <v>1</v>
      </c>
      <c r="I152" s="95" t="s">
        <v>1</v>
      </c>
      <c r="J152" s="95" t="s">
        <v>1</v>
      </c>
      <c r="K152" s="95" t="s">
        <v>1</v>
      </c>
      <c r="L152" s="95" t="s">
        <v>1</v>
      </c>
      <c r="M152" s="95" t="s">
        <v>1</v>
      </c>
      <c r="N152" s="95" t="s">
        <v>1</v>
      </c>
      <c r="O152" s="95" t="s">
        <v>1</v>
      </c>
      <c r="P152" s="95" t="s">
        <v>1</v>
      </c>
      <c r="Q152" s="95" t="s">
        <v>1</v>
      </c>
      <c r="R152" s="95" t="s">
        <v>1</v>
      </c>
      <c r="S152" s="95">
        <v>21</v>
      </c>
      <c r="T152" s="95">
        <v>20</v>
      </c>
      <c r="U152" s="95">
        <v>14</v>
      </c>
      <c r="V152" s="95">
        <v>15</v>
      </c>
      <c r="W152" s="95">
        <v>18</v>
      </c>
      <c r="X152" s="95">
        <v>22</v>
      </c>
      <c r="Y152" s="95">
        <v>23</v>
      </c>
      <c r="Z152" s="95">
        <v>28</v>
      </c>
      <c r="AA152" s="95">
        <v>35</v>
      </c>
      <c r="AB152" s="95">
        <v>46</v>
      </c>
      <c r="AC152" s="105" t="s">
        <v>1</v>
      </c>
      <c r="AD152" s="95" t="s">
        <v>1</v>
      </c>
      <c r="AE152" s="95" t="s">
        <v>1</v>
      </c>
      <c r="AF152" s="105" t="s">
        <v>1</v>
      </c>
      <c r="AG152" s="108" t="s">
        <v>1</v>
      </c>
      <c r="AH152" s="102" t="s">
        <v>1</v>
      </c>
      <c r="AI152" s="109" t="s">
        <v>1</v>
      </c>
      <c r="AJ152" s="111" t="s">
        <v>1</v>
      </c>
      <c r="AK152" s="805" t="s">
        <v>1</v>
      </c>
      <c r="AL152" s="856" t="s">
        <v>1</v>
      </c>
      <c r="AM152" s="856" t="s">
        <v>1</v>
      </c>
      <c r="AN152" s="856" t="s">
        <v>1</v>
      </c>
      <c r="AO152" s="856" t="s">
        <v>1</v>
      </c>
      <c r="AP152" s="856" t="s">
        <v>1</v>
      </c>
      <c r="AQ152" s="856" t="s">
        <v>1</v>
      </c>
      <c r="AR152" s="856" t="s">
        <v>1</v>
      </c>
    </row>
    <row r="153" spans="1:44">
      <c r="A153" s="104" t="s">
        <v>136</v>
      </c>
      <c r="B153" s="94"/>
      <c r="C153" s="95" t="s">
        <v>1</v>
      </c>
      <c r="D153" s="95" t="s">
        <v>1</v>
      </c>
      <c r="E153" s="95" t="s">
        <v>1</v>
      </c>
      <c r="F153" s="95" t="s">
        <v>1</v>
      </c>
      <c r="G153" s="95" t="s">
        <v>1</v>
      </c>
      <c r="H153" s="95" t="s">
        <v>1</v>
      </c>
      <c r="I153" s="95" t="s">
        <v>1</v>
      </c>
      <c r="J153" s="95" t="s">
        <v>1</v>
      </c>
      <c r="K153" s="95" t="s">
        <v>1</v>
      </c>
      <c r="L153" s="95" t="s">
        <v>1</v>
      </c>
      <c r="M153" s="95" t="s">
        <v>1</v>
      </c>
      <c r="N153" s="95" t="s">
        <v>1</v>
      </c>
      <c r="O153" s="95" t="s">
        <v>1</v>
      </c>
      <c r="P153" s="95" t="s">
        <v>1</v>
      </c>
      <c r="Q153" s="95" t="s">
        <v>1</v>
      </c>
      <c r="R153" s="95" t="s">
        <v>1</v>
      </c>
      <c r="S153" s="95">
        <v>18</v>
      </c>
      <c r="T153" s="95">
        <v>17</v>
      </c>
      <c r="U153" s="95">
        <v>18</v>
      </c>
      <c r="V153" s="95">
        <v>23</v>
      </c>
      <c r="W153" s="95">
        <v>28</v>
      </c>
      <c r="X153" s="95">
        <v>29</v>
      </c>
      <c r="Y153" s="95">
        <v>27</v>
      </c>
      <c r="Z153" s="95">
        <v>46</v>
      </c>
      <c r="AA153" s="95">
        <v>48</v>
      </c>
      <c r="AB153" s="95">
        <v>64</v>
      </c>
      <c r="AC153" s="105" t="s">
        <v>1</v>
      </c>
      <c r="AD153" s="95" t="s">
        <v>1</v>
      </c>
      <c r="AE153" s="95" t="s">
        <v>1</v>
      </c>
      <c r="AF153" s="105" t="s">
        <v>1</v>
      </c>
      <c r="AG153" s="108" t="s">
        <v>1</v>
      </c>
      <c r="AH153" s="102" t="s">
        <v>1</v>
      </c>
      <c r="AI153" s="109" t="s">
        <v>1</v>
      </c>
      <c r="AJ153" s="111" t="s">
        <v>1</v>
      </c>
      <c r="AK153" s="805" t="s">
        <v>1</v>
      </c>
      <c r="AL153" s="856" t="s">
        <v>1</v>
      </c>
      <c r="AM153" s="856" t="s">
        <v>1</v>
      </c>
      <c r="AN153" s="856" t="s">
        <v>1</v>
      </c>
      <c r="AO153" s="856" t="s">
        <v>1</v>
      </c>
      <c r="AP153" s="856" t="s">
        <v>1</v>
      </c>
      <c r="AQ153" s="856" t="s">
        <v>1</v>
      </c>
      <c r="AR153" s="856" t="s">
        <v>1</v>
      </c>
    </row>
    <row r="154" spans="1:44">
      <c r="A154" s="104" t="s">
        <v>112</v>
      </c>
      <c r="B154" s="94"/>
      <c r="C154" s="95" t="s">
        <v>1</v>
      </c>
      <c r="D154" s="95" t="s">
        <v>1</v>
      </c>
      <c r="E154" s="95" t="s">
        <v>1</v>
      </c>
      <c r="F154" s="95" t="s">
        <v>1</v>
      </c>
      <c r="G154" s="95" t="s">
        <v>1</v>
      </c>
      <c r="H154" s="95" t="s">
        <v>1</v>
      </c>
      <c r="I154" s="95" t="s">
        <v>1</v>
      </c>
      <c r="J154" s="95" t="s">
        <v>1</v>
      </c>
      <c r="K154" s="95" t="s">
        <v>1</v>
      </c>
      <c r="L154" s="95" t="s">
        <v>1</v>
      </c>
      <c r="M154" s="95" t="s">
        <v>1</v>
      </c>
      <c r="N154" s="95" t="s">
        <v>1</v>
      </c>
      <c r="O154" s="95" t="s">
        <v>1</v>
      </c>
      <c r="P154" s="95" t="s">
        <v>1</v>
      </c>
      <c r="Q154" s="95" t="s">
        <v>1</v>
      </c>
      <c r="R154" s="95" t="s">
        <v>1</v>
      </c>
      <c r="S154" s="95"/>
      <c r="T154" s="95"/>
      <c r="U154" s="95"/>
      <c r="V154" s="95"/>
      <c r="W154" s="95"/>
      <c r="X154" s="95"/>
      <c r="Y154" s="95"/>
      <c r="Z154" s="95">
        <v>14</v>
      </c>
      <c r="AA154" s="95">
        <v>19</v>
      </c>
      <c r="AB154" s="95">
        <v>36</v>
      </c>
      <c r="AC154" s="105" t="s">
        <v>1</v>
      </c>
      <c r="AD154" s="95" t="s">
        <v>1</v>
      </c>
      <c r="AE154" s="95" t="s">
        <v>1</v>
      </c>
      <c r="AF154" s="105" t="s">
        <v>1</v>
      </c>
      <c r="AG154" s="108" t="s">
        <v>1</v>
      </c>
      <c r="AH154" s="102" t="s">
        <v>1</v>
      </c>
      <c r="AI154" s="109" t="s">
        <v>1</v>
      </c>
      <c r="AJ154" s="111" t="s">
        <v>1</v>
      </c>
      <c r="AK154" s="805" t="s">
        <v>1</v>
      </c>
      <c r="AL154" s="856" t="s">
        <v>1</v>
      </c>
      <c r="AM154" s="856" t="s">
        <v>1</v>
      </c>
      <c r="AN154" s="856" t="s">
        <v>1</v>
      </c>
      <c r="AO154" s="856" t="s">
        <v>1</v>
      </c>
      <c r="AP154" s="856" t="s">
        <v>1</v>
      </c>
      <c r="AQ154" s="856" t="s">
        <v>1</v>
      </c>
      <c r="AR154" s="856" t="s">
        <v>1</v>
      </c>
    </row>
    <row r="155" spans="1:44">
      <c r="A155" s="104" t="s">
        <v>113</v>
      </c>
      <c r="B155" s="94"/>
      <c r="C155" s="95" t="s">
        <v>1</v>
      </c>
      <c r="D155" s="95" t="s">
        <v>1</v>
      </c>
      <c r="E155" s="95" t="s">
        <v>1</v>
      </c>
      <c r="F155" s="95" t="s">
        <v>1</v>
      </c>
      <c r="G155" s="95" t="s">
        <v>1</v>
      </c>
      <c r="H155" s="95" t="s">
        <v>1</v>
      </c>
      <c r="I155" s="95" t="s">
        <v>1</v>
      </c>
      <c r="J155" s="95" t="s">
        <v>1</v>
      </c>
      <c r="K155" s="95" t="s">
        <v>1</v>
      </c>
      <c r="L155" s="95" t="s">
        <v>1</v>
      </c>
      <c r="M155" s="95" t="s">
        <v>1</v>
      </c>
      <c r="N155" s="95" t="s">
        <v>1</v>
      </c>
      <c r="O155" s="95" t="s">
        <v>1</v>
      </c>
      <c r="P155" s="95" t="s">
        <v>1</v>
      </c>
      <c r="Q155" s="95" t="s">
        <v>1</v>
      </c>
      <c r="R155" s="95" t="s">
        <v>1</v>
      </c>
      <c r="S155" s="95">
        <v>18</v>
      </c>
      <c r="T155" s="95">
        <v>19</v>
      </c>
      <c r="U155" s="95">
        <v>17</v>
      </c>
      <c r="V155" s="95">
        <v>19</v>
      </c>
      <c r="W155" s="95">
        <v>21</v>
      </c>
      <c r="X155" s="95">
        <v>21</v>
      </c>
      <c r="Y155" s="95">
        <v>22</v>
      </c>
      <c r="Z155" s="95">
        <v>36</v>
      </c>
      <c r="AA155" s="95">
        <v>40</v>
      </c>
      <c r="AB155" s="95">
        <v>49</v>
      </c>
      <c r="AC155" s="105" t="s">
        <v>1</v>
      </c>
      <c r="AD155" s="95" t="s">
        <v>1</v>
      </c>
      <c r="AE155" s="95" t="s">
        <v>1</v>
      </c>
      <c r="AF155" s="105" t="s">
        <v>1</v>
      </c>
      <c r="AG155" s="108" t="s">
        <v>1</v>
      </c>
      <c r="AH155" s="102" t="s">
        <v>1</v>
      </c>
      <c r="AI155" s="109" t="s">
        <v>1</v>
      </c>
      <c r="AJ155" s="111" t="s">
        <v>1</v>
      </c>
      <c r="AK155" s="805" t="s">
        <v>1</v>
      </c>
      <c r="AL155" s="856" t="s">
        <v>1</v>
      </c>
      <c r="AM155" s="856" t="s">
        <v>1</v>
      </c>
      <c r="AN155" s="856" t="s">
        <v>1</v>
      </c>
      <c r="AO155" s="856" t="s">
        <v>1</v>
      </c>
      <c r="AP155" s="856" t="s">
        <v>1</v>
      </c>
      <c r="AQ155" s="856" t="s">
        <v>1</v>
      </c>
      <c r="AR155" s="856" t="s">
        <v>1</v>
      </c>
    </row>
    <row r="156" spans="1:44" ht="15">
      <c r="A156" s="93" t="s">
        <v>408</v>
      </c>
      <c r="B156" s="112" t="s">
        <v>181</v>
      </c>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113"/>
      <c r="AD156" s="92"/>
      <c r="AE156" s="40"/>
      <c r="AF156" s="48"/>
      <c r="AG156" s="41"/>
      <c r="AH156" s="50"/>
      <c r="AI156" s="48"/>
      <c r="AJ156" s="16"/>
      <c r="AK156" s="812"/>
      <c r="AL156" s="812"/>
      <c r="AM156" s="812"/>
      <c r="AN156" s="812"/>
      <c r="AO156" s="812"/>
      <c r="AP156" s="812"/>
      <c r="AQ156" s="812"/>
      <c r="AR156" s="812"/>
    </row>
    <row r="157" spans="1:44">
      <c r="A157" s="93" t="s">
        <v>190</v>
      </c>
      <c r="B157" s="94"/>
      <c r="C157" s="90">
        <v>65.2</v>
      </c>
      <c r="D157" s="90">
        <v>56.6</v>
      </c>
      <c r="E157" s="90">
        <v>49.4</v>
      </c>
      <c r="F157" s="90">
        <v>40.9</v>
      </c>
      <c r="G157" s="90">
        <v>38.1</v>
      </c>
      <c r="H157" s="90">
        <v>27.3</v>
      </c>
      <c r="I157" s="90">
        <v>28.7</v>
      </c>
      <c r="J157" s="90">
        <v>27.6</v>
      </c>
      <c r="K157" s="90">
        <v>20.399999999999999</v>
      </c>
      <c r="L157" s="90">
        <v>21</v>
      </c>
      <c r="M157" s="90">
        <v>21</v>
      </c>
      <c r="N157" s="90">
        <v>22.6</v>
      </c>
      <c r="O157" s="90">
        <v>24.1</v>
      </c>
      <c r="P157" s="90">
        <v>25.1</v>
      </c>
      <c r="Q157" s="90">
        <v>27</v>
      </c>
      <c r="R157" s="90">
        <v>28.9</v>
      </c>
      <c r="S157" s="90">
        <v>31.6</v>
      </c>
      <c r="T157" s="90">
        <v>33.4</v>
      </c>
      <c r="U157" s="90">
        <v>34.4</v>
      </c>
      <c r="V157" s="90">
        <v>36.9</v>
      </c>
      <c r="W157" s="90">
        <v>39.4</v>
      </c>
      <c r="X157" s="90">
        <v>40.6</v>
      </c>
      <c r="Y157" s="90">
        <v>39.700000000000003</v>
      </c>
      <c r="Z157" s="90">
        <v>49</v>
      </c>
      <c r="AA157" s="90">
        <v>53.2</v>
      </c>
      <c r="AB157" s="90">
        <v>56.7</v>
      </c>
      <c r="AC157" s="114">
        <v>63</v>
      </c>
      <c r="AD157" s="90">
        <v>67.2</v>
      </c>
      <c r="AE157" s="90">
        <v>69.3</v>
      </c>
      <c r="AF157" s="100">
        <v>65.099999999999994</v>
      </c>
      <c r="AG157" s="115">
        <v>71.7</v>
      </c>
      <c r="AH157" s="116">
        <v>88.8</v>
      </c>
      <c r="AI157" s="117">
        <v>82.418999999999997</v>
      </c>
      <c r="AJ157" s="118">
        <v>85.5</v>
      </c>
      <c r="AK157" s="812">
        <v>85.9</v>
      </c>
      <c r="AL157" s="856" t="s">
        <v>1</v>
      </c>
      <c r="AM157" s="856" t="s">
        <v>1</v>
      </c>
      <c r="AN157" s="856" t="s">
        <v>1</v>
      </c>
      <c r="AO157" s="856" t="s">
        <v>1</v>
      </c>
      <c r="AP157" s="856" t="s">
        <v>1</v>
      </c>
      <c r="AQ157" s="856" t="s">
        <v>1</v>
      </c>
      <c r="AR157" s="856" t="s">
        <v>1</v>
      </c>
    </row>
    <row r="158" spans="1:44">
      <c r="A158" s="99" t="s">
        <v>169</v>
      </c>
      <c r="B158" s="9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114"/>
      <c r="AD158" s="90"/>
      <c r="AE158" s="105"/>
      <c r="AF158" s="100"/>
      <c r="AG158" s="108"/>
      <c r="AH158" s="102"/>
      <c r="AI158" s="109"/>
      <c r="AJ158" s="16"/>
      <c r="AK158" s="812"/>
      <c r="AL158" s="812"/>
      <c r="AM158" s="812"/>
      <c r="AN158" s="812"/>
      <c r="AO158" s="812"/>
      <c r="AP158" s="812"/>
      <c r="AQ158" s="812"/>
      <c r="AR158" s="812"/>
    </row>
    <row r="159" spans="1:44">
      <c r="A159" s="104" t="s">
        <v>109</v>
      </c>
      <c r="B159" s="94"/>
      <c r="C159" s="95" t="s">
        <v>1</v>
      </c>
      <c r="D159" s="95" t="s">
        <v>1</v>
      </c>
      <c r="E159" s="95" t="s">
        <v>1</v>
      </c>
      <c r="F159" s="95" t="s">
        <v>1</v>
      </c>
      <c r="G159" s="95" t="s">
        <v>1</v>
      </c>
      <c r="H159" s="95" t="s">
        <v>1</v>
      </c>
      <c r="I159" s="95" t="s">
        <v>1</v>
      </c>
      <c r="J159" s="95" t="s">
        <v>1</v>
      </c>
      <c r="K159" s="95" t="s">
        <v>1</v>
      </c>
      <c r="L159" s="95" t="s">
        <v>1</v>
      </c>
      <c r="M159" s="95" t="s">
        <v>1</v>
      </c>
      <c r="N159" s="95" t="s">
        <v>1</v>
      </c>
      <c r="O159" s="95" t="s">
        <v>1</v>
      </c>
      <c r="P159" s="95" t="s">
        <v>1</v>
      </c>
      <c r="Q159" s="95" t="s">
        <v>1</v>
      </c>
      <c r="R159" s="95" t="s">
        <v>1</v>
      </c>
      <c r="S159" s="90">
        <v>5.8</v>
      </c>
      <c r="T159" s="90">
        <v>6.1</v>
      </c>
      <c r="U159" s="90">
        <v>6.6</v>
      </c>
      <c r="V159" s="90">
        <v>6.8</v>
      </c>
      <c r="W159" s="90">
        <v>6.6</v>
      </c>
      <c r="X159" s="90">
        <v>6.7</v>
      </c>
      <c r="Y159" s="90">
        <v>6.2</v>
      </c>
      <c r="Z159" s="90">
        <v>7.3</v>
      </c>
      <c r="AA159" s="90">
        <v>7.7</v>
      </c>
      <c r="AB159" s="90">
        <v>7.2</v>
      </c>
      <c r="AC159" s="105" t="s">
        <v>1</v>
      </c>
      <c r="AD159" s="95" t="s">
        <v>1</v>
      </c>
      <c r="AE159" s="105" t="s">
        <v>1</v>
      </c>
      <c r="AF159" s="105" t="s">
        <v>1</v>
      </c>
      <c r="AG159" s="108" t="s">
        <v>1</v>
      </c>
      <c r="AH159" s="102" t="s">
        <v>1</v>
      </c>
      <c r="AI159" s="109" t="s">
        <v>1</v>
      </c>
      <c r="AJ159" s="111" t="s">
        <v>1</v>
      </c>
      <c r="AK159" s="805" t="s">
        <v>1</v>
      </c>
      <c r="AL159" s="856" t="s">
        <v>1</v>
      </c>
      <c r="AM159" s="856" t="s">
        <v>1</v>
      </c>
      <c r="AN159" s="856" t="s">
        <v>1</v>
      </c>
      <c r="AO159" s="856" t="s">
        <v>1</v>
      </c>
      <c r="AP159" s="856" t="s">
        <v>1</v>
      </c>
      <c r="AQ159" s="856" t="s">
        <v>1</v>
      </c>
      <c r="AR159" s="856" t="s">
        <v>1</v>
      </c>
    </row>
    <row r="160" spans="1:44">
      <c r="A160" s="104" t="s">
        <v>135</v>
      </c>
      <c r="B160" s="94"/>
      <c r="C160" s="95" t="s">
        <v>1</v>
      </c>
      <c r="D160" s="95" t="s">
        <v>1</v>
      </c>
      <c r="E160" s="95" t="s">
        <v>1</v>
      </c>
      <c r="F160" s="95" t="s">
        <v>1</v>
      </c>
      <c r="G160" s="95" t="s">
        <v>1</v>
      </c>
      <c r="H160" s="95" t="s">
        <v>1</v>
      </c>
      <c r="I160" s="95" t="s">
        <v>1</v>
      </c>
      <c r="J160" s="95" t="s">
        <v>1</v>
      </c>
      <c r="K160" s="95" t="s">
        <v>1</v>
      </c>
      <c r="L160" s="95" t="s">
        <v>1</v>
      </c>
      <c r="M160" s="95" t="s">
        <v>1</v>
      </c>
      <c r="N160" s="95" t="s">
        <v>1</v>
      </c>
      <c r="O160" s="95" t="s">
        <v>1</v>
      </c>
      <c r="P160" s="95" t="s">
        <v>1</v>
      </c>
      <c r="Q160" s="95" t="s">
        <v>1</v>
      </c>
      <c r="R160" s="95" t="s">
        <v>1</v>
      </c>
      <c r="S160" s="90"/>
      <c r="T160" s="90"/>
      <c r="U160" s="90">
        <v>1</v>
      </c>
      <c r="V160" s="90">
        <v>1.9</v>
      </c>
      <c r="W160" s="90">
        <v>2.2000000000000002</v>
      </c>
      <c r="X160" s="90">
        <v>2.2000000000000002</v>
      </c>
      <c r="Y160" s="90">
        <v>2.2999999999999998</v>
      </c>
      <c r="Z160" s="90">
        <v>3</v>
      </c>
      <c r="AA160" s="90">
        <v>4.2</v>
      </c>
      <c r="AB160" s="90">
        <v>6</v>
      </c>
      <c r="AC160" s="105" t="s">
        <v>1</v>
      </c>
      <c r="AD160" s="95" t="s">
        <v>1</v>
      </c>
      <c r="AE160" s="105" t="s">
        <v>1</v>
      </c>
      <c r="AF160" s="105" t="s">
        <v>1</v>
      </c>
      <c r="AG160" s="108" t="s">
        <v>1</v>
      </c>
      <c r="AH160" s="102" t="s">
        <v>1</v>
      </c>
      <c r="AI160" s="109" t="s">
        <v>1</v>
      </c>
      <c r="AJ160" s="111" t="s">
        <v>1</v>
      </c>
      <c r="AK160" s="805" t="s">
        <v>1</v>
      </c>
      <c r="AL160" s="856" t="s">
        <v>1</v>
      </c>
      <c r="AM160" s="856" t="s">
        <v>1</v>
      </c>
      <c r="AN160" s="856" t="s">
        <v>1</v>
      </c>
      <c r="AO160" s="856" t="s">
        <v>1</v>
      </c>
      <c r="AP160" s="856" t="s">
        <v>1</v>
      </c>
      <c r="AQ160" s="856" t="s">
        <v>1</v>
      </c>
      <c r="AR160" s="856" t="s">
        <v>1</v>
      </c>
    </row>
    <row r="161" spans="1:44">
      <c r="A161" s="104" t="s">
        <v>110</v>
      </c>
      <c r="B161" s="94"/>
      <c r="C161" s="95" t="s">
        <v>1</v>
      </c>
      <c r="D161" s="95" t="s">
        <v>1</v>
      </c>
      <c r="E161" s="95" t="s">
        <v>1</v>
      </c>
      <c r="F161" s="95" t="s">
        <v>1</v>
      </c>
      <c r="G161" s="95" t="s">
        <v>1</v>
      </c>
      <c r="H161" s="95" t="s">
        <v>1</v>
      </c>
      <c r="I161" s="95" t="s">
        <v>1</v>
      </c>
      <c r="J161" s="95" t="s">
        <v>1</v>
      </c>
      <c r="K161" s="95" t="s">
        <v>1</v>
      </c>
      <c r="L161" s="95" t="s">
        <v>1</v>
      </c>
      <c r="M161" s="95" t="s">
        <v>1</v>
      </c>
      <c r="N161" s="95" t="s">
        <v>1</v>
      </c>
      <c r="O161" s="95" t="s">
        <v>1</v>
      </c>
      <c r="P161" s="95" t="s">
        <v>1</v>
      </c>
      <c r="Q161" s="95" t="s">
        <v>1</v>
      </c>
      <c r="R161" s="95" t="s">
        <v>1</v>
      </c>
      <c r="S161" s="90">
        <v>9.4</v>
      </c>
      <c r="T161" s="90">
        <v>10.199999999999999</v>
      </c>
      <c r="U161" s="90">
        <v>10.4</v>
      </c>
      <c r="V161" s="90">
        <v>10.8</v>
      </c>
      <c r="W161" s="90">
        <v>11.4</v>
      </c>
      <c r="X161" s="90">
        <v>12</v>
      </c>
      <c r="Y161" s="90">
        <v>12.2</v>
      </c>
      <c r="Z161" s="90">
        <v>13.4</v>
      </c>
      <c r="AA161" s="90">
        <v>14.6</v>
      </c>
      <c r="AB161" s="90">
        <v>14.2</v>
      </c>
      <c r="AC161" s="105" t="s">
        <v>1</v>
      </c>
      <c r="AD161" s="95" t="s">
        <v>1</v>
      </c>
      <c r="AE161" s="105" t="s">
        <v>1</v>
      </c>
      <c r="AF161" s="105" t="s">
        <v>1</v>
      </c>
      <c r="AG161" s="108" t="s">
        <v>1</v>
      </c>
      <c r="AH161" s="102" t="s">
        <v>1</v>
      </c>
      <c r="AI161" s="109" t="s">
        <v>1</v>
      </c>
      <c r="AJ161" s="111" t="s">
        <v>1</v>
      </c>
      <c r="AK161" s="805" t="s">
        <v>1</v>
      </c>
      <c r="AL161" s="856" t="s">
        <v>1</v>
      </c>
      <c r="AM161" s="856" t="s">
        <v>1</v>
      </c>
      <c r="AN161" s="856" t="s">
        <v>1</v>
      </c>
      <c r="AO161" s="856" t="s">
        <v>1</v>
      </c>
      <c r="AP161" s="856" t="s">
        <v>1</v>
      </c>
      <c r="AQ161" s="856" t="s">
        <v>1</v>
      </c>
      <c r="AR161" s="856" t="s">
        <v>1</v>
      </c>
    </row>
    <row r="162" spans="1:44">
      <c r="A162" s="104" t="s">
        <v>111</v>
      </c>
      <c r="B162" s="94"/>
      <c r="C162" s="95" t="s">
        <v>1</v>
      </c>
      <c r="D162" s="95" t="s">
        <v>1</v>
      </c>
      <c r="E162" s="95" t="s">
        <v>1</v>
      </c>
      <c r="F162" s="95" t="s">
        <v>1</v>
      </c>
      <c r="G162" s="95" t="s">
        <v>1</v>
      </c>
      <c r="H162" s="95" t="s">
        <v>1</v>
      </c>
      <c r="I162" s="95" t="s">
        <v>1</v>
      </c>
      <c r="J162" s="95" t="s">
        <v>1</v>
      </c>
      <c r="K162" s="95" t="s">
        <v>1</v>
      </c>
      <c r="L162" s="95" t="s">
        <v>1</v>
      </c>
      <c r="M162" s="95" t="s">
        <v>1</v>
      </c>
      <c r="N162" s="95" t="s">
        <v>1</v>
      </c>
      <c r="O162" s="95" t="s">
        <v>1</v>
      </c>
      <c r="P162" s="95" t="s">
        <v>1</v>
      </c>
      <c r="Q162" s="95" t="s">
        <v>1</v>
      </c>
      <c r="R162" s="95" t="s">
        <v>1</v>
      </c>
      <c r="S162" s="90">
        <v>6.8</v>
      </c>
      <c r="T162" s="90">
        <v>7.3</v>
      </c>
      <c r="U162" s="90">
        <v>7.2</v>
      </c>
      <c r="V162" s="90">
        <v>7.4</v>
      </c>
      <c r="W162" s="90">
        <v>7.8</v>
      </c>
      <c r="X162" s="90">
        <v>7.9</v>
      </c>
      <c r="Y162" s="90">
        <v>7.6</v>
      </c>
      <c r="Z162" s="90">
        <v>9.6999999999999993</v>
      </c>
      <c r="AA162" s="90">
        <v>10.199999999999999</v>
      </c>
      <c r="AB162" s="90">
        <v>9.6999999999999993</v>
      </c>
      <c r="AC162" s="105" t="s">
        <v>1</v>
      </c>
      <c r="AD162" s="95" t="s">
        <v>1</v>
      </c>
      <c r="AE162" s="105" t="s">
        <v>1</v>
      </c>
      <c r="AF162" s="105" t="s">
        <v>1</v>
      </c>
      <c r="AG162" s="108" t="s">
        <v>1</v>
      </c>
      <c r="AH162" s="102" t="s">
        <v>1</v>
      </c>
      <c r="AI162" s="109" t="s">
        <v>1</v>
      </c>
      <c r="AJ162" s="111" t="s">
        <v>1</v>
      </c>
      <c r="AK162" s="805" t="s">
        <v>1</v>
      </c>
      <c r="AL162" s="856" t="s">
        <v>1</v>
      </c>
      <c r="AM162" s="856" t="s">
        <v>1</v>
      </c>
      <c r="AN162" s="856" t="s">
        <v>1</v>
      </c>
      <c r="AO162" s="856" t="s">
        <v>1</v>
      </c>
      <c r="AP162" s="856" t="s">
        <v>1</v>
      </c>
      <c r="AQ162" s="856" t="s">
        <v>1</v>
      </c>
      <c r="AR162" s="856" t="s">
        <v>1</v>
      </c>
    </row>
    <row r="163" spans="1:44">
      <c r="A163" s="104" t="s">
        <v>388</v>
      </c>
      <c r="B163" s="94"/>
      <c r="C163" s="95" t="s">
        <v>1</v>
      </c>
      <c r="D163" s="95" t="s">
        <v>1</v>
      </c>
      <c r="E163" s="95" t="s">
        <v>1</v>
      </c>
      <c r="F163" s="95" t="s">
        <v>1</v>
      </c>
      <c r="G163" s="95" t="s">
        <v>1</v>
      </c>
      <c r="H163" s="95" t="s">
        <v>1</v>
      </c>
      <c r="I163" s="95" t="s">
        <v>1</v>
      </c>
      <c r="J163" s="95" t="s">
        <v>1</v>
      </c>
      <c r="K163" s="95" t="s">
        <v>1</v>
      </c>
      <c r="L163" s="95" t="s">
        <v>1</v>
      </c>
      <c r="M163" s="95" t="s">
        <v>1</v>
      </c>
      <c r="N163" s="95" t="s">
        <v>1</v>
      </c>
      <c r="O163" s="95" t="s">
        <v>1</v>
      </c>
      <c r="P163" s="95" t="s">
        <v>1</v>
      </c>
      <c r="Q163" s="95" t="s">
        <v>1</v>
      </c>
      <c r="R163" s="95" t="s">
        <v>1</v>
      </c>
      <c r="S163" s="90">
        <v>3.6</v>
      </c>
      <c r="T163" s="90">
        <v>3.7</v>
      </c>
      <c r="U163" s="90">
        <v>2.8</v>
      </c>
      <c r="V163" s="90">
        <v>3.2</v>
      </c>
      <c r="W163" s="90">
        <v>3.8</v>
      </c>
      <c r="X163" s="90">
        <v>4.0999999999999996</v>
      </c>
      <c r="Y163" s="90">
        <v>4.0999999999999996</v>
      </c>
      <c r="Z163" s="90">
        <v>4.9000000000000004</v>
      </c>
      <c r="AA163" s="90">
        <v>5.5</v>
      </c>
      <c r="AB163" s="90">
        <v>5.8</v>
      </c>
      <c r="AC163" s="105" t="s">
        <v>1</v>
      </c>
      <c r="AD163" s="95" t="s">
        <v>1</v>
      </c>
      <c r="AE163" s="105" t="s">
        <v>1</v>
      </c>
      <c r="AF163" s="105" t="s">
        <v>1</v>
      </c>
      <c r="AG163" s="108" t="s">
        <v>1</v>
      </c>
      <c r="AH163" s="102" t="s">
        <v>1</v>
      </c>
      <c r="AI163" s="109" t="s">
        <v>1</v>
      </c>
      <c r="AJ163" s="111" t="s">
        <v>1</v>
      </c>
      <c r="AK163" s="805" t="s">
        <v>1</v>
      </c>
      <c r="AL163" s="856" t="s">
        <v>1</v>
      </c>
      <c r="AM163" s="856" t="s">
        <v>1</v>
      </c>
      <c r="AN163" s="856" t="s">
        <v>1</v>
      </c>
      <c r="AO163" s="856" t="s">
        <v>1</v>
      </c>
      <c r="AP163" s="856" t="s">
        <v>1</v>
      </c>
      <c r="AQ163" s="856" t="s">
        <v>1</v>
      </c>
      <c r="AR163" s="856" t="s">
        <v>1</v>
      </c>
    </row>
    <row r="164" spans="1:44">
      <c r="A164" s="104" t="s">
        <v>136</v>
      </c>
      <c r="B164" s="94"/>
      <c r="C164" s="95" t="s">
        <v>1</v>
      </c>
      <c r="D164" s="95" t="s">
        <v>1</v>
      </c>
      <c r="E164" s="95" t="s">
        <v>1</v>
      </c>
      <c r="F164" s="95" t="s">
        <v>1</v>
      </c>
      <c r="G164" s="95" t="s">
        <v>1</v>
      </c>
      <c r="H164" s="95" t="s">
        <v>1</v>
      </c>
      <c r="I164" s="95" t="s">
        <v>1</v>
      </c>
      <c r="J164" s="95" t="s">
        <v>1</v>
      </c>
      <c r="K164" s="95" t="s">
        <v>1</v>
      </c>
      <c r="L164" s="95" t="s">
        <v>1</v>
      </c>
      <c r="M164" s="95" t="s">
        <v>1</v>
      </c>
      <c r="N164" s="95" t="s">
        <v>1</v>
      </c>
      <c r="O164" s="95" t="s">
        <v>1</v>
      </c>
      <c r="P164" s="95" t="s">
        <v>1</v>
      </c>
      <c r="Q164" s="95" t="s">
        <v>1</v>
      </c>
      <c r="R164" s="95" t="s">
        <v>1</v>
      </c>
      <c r="S164" s="90">
        <v>3.1</v>
      </c>
      <c r="T164" s="90">
        <v>3</v>
      </c>
      <c r="U164" s="90">
        <v>3.3</v>
      </c>
      <c r="V164" s="90">
        <v>3.6</v>
      </c>
      <c r="W164" s="90">
        <v>3.9</v>
      </c>
      <c r="X164" s="90">
        <v>3.8</v>
      </c>
      <c r="Y164" s="90">
        <v>3.7</v>
      </c>
      <c r="Z164" s="90">
        <v>5</v>
      </c>
      <c r="AA164" s="90">
        <v>5</v>
      </c>
      <c r="AB164" s="90">
        <v>6</v>
      </c>
      <c r="AC164" s="105" t="s">
        <v>1</v>
      </c>
      <c r="AD164" s="95" t="s">
        <v>1</v>
      </c>
      <c r="AE164" s="105" t="s">
        <v>1</v>
      </c>
      <c r="AF164" s="105" t="s">
        <v>1</v>
      </c>
      <c r="AG164" s="108" t="s">
        <v>1</v>
      </c>
      <c r="AH164" s="102" t="s">
        <v>1</v>
      </c>
      <c r="AI164" s="109" t="s">
        <v>1</v>
      </c>
      <c r="AJ164" s="111" t="s">
        <v>1</v>
      </c>
      <c r="AK164" s="805" t="s">
        <v>1</v>
      </c>
      <c r="AL164" s="856" t="s">
        <v>1</v>
      </c>
      <c r="AM164" s="856" t="s">
        <v>1</v>
      </c>
      <c r="AN164" s="856" t="s">
        <v>1</v>
      </c>
      <c r="AO164" s="856" t="s">
        <v>1</v>
      </c>
      <c r="AP164" s="856" t="s">
        <v>1</v>
      </c>
      <c r="AQ164" s="856" t="s">
        <v>1</v>
      </c>
      <c r="AR164" s="856" t="s">
        <v>1</v>
      </c>
    </row>
    <row r="165" spans="1:44">
      <c r="A165" s="104" t="s">
        <v>112</v>
      </c>
      <c r="B165" s="94"/>
      <c r="C165" s="95" t="s">
        <v>1</v>
      </c>
      <c r="D165" s="95" t="s">
        <v>1</v>
      </c>
      <c r="E165" s="95" t="s">
        <v>1</v>
      </c>
      <c r="F165" s="95" t="s">
        <v>1</v>
      </c>
      <c r="G165" s="95" t="s">
        <v>1</v>
      </c>
      <c r="H165" s="95" t="s">
        <v>1</v>
      </c>
      <c r="I165" s="95" t="s">
        <v>1</v>
      </c>
      <c r="J165" s="95" t="s">
        <v>1</v>
      </c>
      <c r="K165" s="95" t="s">
        <v>1</v>
      </c>
      <c r="L165" s="95" t="s">
        <v>1</v>
      </c>
      <c r="M165" s="95" t="s">
        <v>1</v>
      </c>
      <c r="N165" s="95" t="s">
        <v>1</v>
      </c>
      <c r="O165" s="95" t="s">
        <v>1</v>
      </c>
      <c r="P165" s="95" t="s">
        <v>1</v>
      </c>
      <c r="Q165" s="95" t="s">
        <v>1</v>
      </c>
      <c r="R165" s="95" t="s">
        <v>1</v>
      </c>
      <c r="S165" s="90"/>
      <c r="T165" s="90"/>
      <c r="U165" s="90"/>
      <c r="V165" s="90"/>
      <c r="W165" s="90"/>
      <c r="X165" s="90"/>
      <c r="Y165" s="90"/>
      <c r="Z165" s="90">
        <v>1</v>
      </c>
      <c r="AA165" s="90">
        <v>1.2</v>
      </c>
      <c r="AB165" s="90">
        <v>2</v>
      </c>
      <c r="AC165" s="105" t="s">
        <v>1</v>
      </c>
      <c r="AD165" s="95" t="s">
        <v>1</v>
      </c>
      <c r="AE165" s="105" t="s">
        <v>1</v>
      </c>
      <c r="AF165" s="105" t="s">
        <v>1</v>
      </c>
      <c r="AG165" s="108" t="s">
        <v>1</v>
      </c>
      <c r="AH165" s="102" t="s">
        <v>1</v>
      </c>
      <c r="AI165" s="109" t="s">
        <v>1</v>
      </c>
      <c r="AJ165" s="111" t="s">
        <v>1</v>
      </c>
      <c r="AK165" s="805" t="s">
        <v>1</v>
      </c>
      <c r="AL165" s="856" t="s">
        <v>1</v>
      </c>
      <c r="AM165" s="856" t="s">
        <v>1</v>
      </c>
      <c r="AN165" s="856" t="s">
        <v>1</v>
      </c>
      <c r="AO165" s="856" t="s">
        <v>1</v>
      </c>
      <c r="AP165" s="856" t="s">
        <v>1</v>
      </c>
      <c r="AQ165" s="856" t="s">
        <v>1</v>
      </c>
      <c r="AR165" s="856" t="s">
        <v>1</v>
      </c>
    </row>
    <row r="166" spans="1:44">
      <c r="A166" s="104" t="s">
        <v>113</v>
      </c>
      <c r="B166" s="94"/>
      <c r="C166" s="95" t="s">
        <v>1</v>
      </c>
      <c r="D166" s="95" t="s">
        <v>1</v>
      </c>
      <c r="E166" s="95" t="s">
        <v>1</v>
      </c>
      <c r="F166" s="95" t="s">
        <v>1</v>
      </c>
      <c r="G166" s="95" t="s">
        <v>1</v>
      </c>
      <c r="H166" s="95" t="s">
        <v>1</v>
      </c>
      <c r="I166" s="95" t="s">
        <v>1</v>
      </c>
      <c r="J166" s="95" t="s">
        <v>1</v>
      </c>
      <c r="K166" s="95" t="s">
        <v>1</v>
      </c>
      <c r="L166" s="95" t="s">
        <v>1</v>
      </c>
      <c r="M166" s="95" t="s">
        <v>1</v>
      </c>
      <c r="N166" s="95" t="s">
        <v>1</v>
      </c>
      <c r="O166" s="95" t="s">
        <v>1</v>
      </c>
      <c r="P166" s="95" t="s">
        <v>1</v>
      </c>
      <c r="Q166" s="95" t="s">
        <v>1</v>
      </c>
      <c r="R166" s="95" t="s">
        <v>1</v>
      </c>
      <c r="S166" s="90">
        <v>2.9</v>
      </c>
      <c r="T166" s="90">
        <v>3.1</v>
      </c>
      <c r="U166" s="90">
        <v>3.1</v>
      </c>
      <c r="V166" s="90">
        <v>3.2</v>
      </c>
      <c r="W166" s="90">
        <v>3.8</v>
      </c>
      <c r="X166" s="90">
        <v>3.9</v>
      </c>
      <c r="Y166" s="90">
        <v>3.7</v>
      </c>
      <c r="Z166" s="90">
        <v>4.7</v>
      </c>
      <c r="AA166" s="90">
        <v>4.8</v>
      </c>
      <c r="AB166" s="90">
        <v>5.6</v>
      </c>
      <c r="AC166" s="105" t="s">
        <v>1</v>
      </c>
      <c r="AD166" s="95" t="s">
        <v>1</v>
      </c>
      <c r="AE166" s="105" t="s">
        <v>1</v>
      </c>
      <c r="AF166" s="105" t="s">
        <v>1</v>
      </c>
      <c r="AG166" s="108" t="s">
        <v>1</v>
      </c>
      <c r="AH166" s="102" t="s">
        <v>1</v>
      </c>
      <c r="AI166" s="109" t="s">
        <v>1</v>
      </c>
      <c r="AJ166" s="111" t="s">
        <v>1</v>
      </c>
      <c r="AK166" s="805" t="s">
        <v>1</v>
      </c>
      <c r="AL166" s="856" t="s">
        <v>1</v>
      </c>
      <c r="AM166" s="856" t="s">
        <v>1</v>
      </c>
      <c r="AN166" s="856" t="s">
        <v>1</v>
      </c>
      <c r="AO166" s="856" t="s">
        <v>1</v>
      </c>
      <c r="AP166" s="856" t="s">
        <v>1</v>
      </c>
      <c r="AQ166" s="856" t="s">
        <v>1</v>
      </c>
      <c r="AR166" s="856" t="s">
        <v>1</v>
      </c>
    </row>
    <row r="167" spans="1:44" ht="15">
      <c r="A167" s="93" t="s">
        <v>409</v>
      </c>
      <c r="B167" s="89" t="s">
        <v>185</v>
      </c>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100"/>
      <c r="AD167" s="92"/>
      <c r="AE167" s="40"/>
      <c r="AF167" s="48"/>
      <c r="AG167" s="41"/>
      <c r="AH167" s="50"/>
      <c r="AI167" s="48"/>
      <c r="AJ167" s="16"/>
      <c r="AK167" s="812"/>
      <c r="AL167" s="856" t="s">
        <v>1</v>
      </c>
      <c r="AM167" s="856" t="s">
        <v>1</v>
      </c>
      <c r="AN167" s="856" t="s">
        <v>1</v>
      </c>
      <c r="AO167" s="856" t="s">
        <v>1</v>
      </c>
      <c r="AP167" s="856" t="s">
        <v>1</v>
      </c>
      <c r="AQ167" s="856" t="s">
        <v>1</v>
      </c>
      <c r="AR167" s="856" t="s">
        <v>1</v>
      </c>
    </row>
    <row r="168" spans="1:44">
      <c r="A168" s="93" t="s">
        <v>190</v>
      </c>
      <c r="B168" s="94"/>
      <c r="C168" s="95">
        <v>187</v>
      </c>
      <c r="D168" s="95">
        <v>187</v>
      </c>
      <c r="E168" s="95">
        <v>190</v>
      </c>
      <c r="F168" s="95">
        <v>203</v>
      </c>
      <c r="G168" s="95">
        <v>203</v>
      </c>
      <c r="H168" s="95">
        <v>194</v>
      </c>
      <c r="I168" s="95">
        <v>175</v>
      </c>
      <c r="J168" s="95">
        <v>174</v>
      </c>
      <c r="K168" s="95">
        <v>180</v>
      </c>
      <c r="L168" s="95">
        <v>189</v>
      </c>
      <c r="M168" s="95">
        <v>190</v>
      </c>
      <c r="N168" s="95">
        <v>193</v>
      </c>
      <c r="O168" s="95">
        <v>243</v>
      </c>
      <c r="P168" s="95">
        <v>244</v>
      </c>
      <c r="Q168" s="95">
        <v>243</v>
      </c>
      <c r="R168" s="95">
        <v>241</v>
      </c>
      <c r="S168" s="95">
        <v>239</v>
      </c>
      <c r="T168" s="95">
        <v>239</v>
      </c>
      <c r="U168" s="95">
        <v>242</v>
      </c>
      <c r="V168" s="95">
        <v>241</v>
      </c>
      <c r="W168" s="95">
        <v>236</v>
      </c>
      <c r="X168" s="95">
        <v>235</v>
      </c>
      <c r="Y168" s="95">
        <v>238</v>
      </c>
      <c r="Z168" s="95">
        <v>244</v>
      </c>
      <c r="AA168" s="95">
        <v>244</v>
      </c>
      <c r="AB168" s="95">
        <v>268</v>
      </c>
      <c r="AC168" s="100">
        <v>274</v>
      </c>
      <c r="AD168" s="95">
        <v>282</v>
      </c>
      <c r="AE168" s="95">
        <v>290</v>
      </c>
      <c r="AF168" s="100">
        <v>300</v>
      </c>
      <c r="AG168" s="108">
        <v>317</v>
      </c>
      <c r="AH168" s="102">
        <v>333</v>
      </c>
      <c r="AI168" s="109">
        <v>358</v>
      </c>
      <c r="AJ168" s="16">
        <v>367</v>
      </c>
      <c r="AK168" s="812">
        <v>383</v>
      </c>
      <c r="AL168" s="856" t="s">
        <v>1</v>
      </c>
      <c r="AM168" s="856" t="s">
        <v>1</v>
      </c>
      <c r="AN168" s="856" t="s">
        <v>1</v>
      </c>
      <c r="AO168" s="856" t="s">
        <v>1</v>
      </c>
      <c r="AP168" s="856" t="s">
        <v>1</v>
      </c>
      <c r="AQ168" s="856" t="s">
        <v>1</v>
      </c>
      <c r="AR168" s="856" t="s">
        <v>1</v>
      </c>
    </row>
    <row r="169" spans="1:44">
      <c r="A169" s="99" t="s">
        <v>169</v>
      </c>
      <c r="B169" s="94"/>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100"/>
      <c r="AD169" s="95"/>
      <c r="AE169" s="95"/>
      <c r="AF169" s="100"/>
      <c r="AG169" s="108"/>
      <c r="AH169" s="102"/>
      <c r="AI169" s="109"/>
      <c r="AJ169" s="16"/>
      <c r="AK169" s="812"/>
      <c r="AL169" s="812"/>
      <c r="AM169" s="812"/>
      <c r="AN169" s="812"/>
      <c r="AO169" s="812"/>
      <c r="AP169" s="812"/>
      <c r="AQ169" s="812"/>
      <c r="AR169" s="812"/>
    </row>
    <row r="170" spans="1:44">
      <c r="A170" s="104" t="s">
        <v>109</v>
      </c>
      <c r="B170" s="94"/>
      <c r="C170" s="95" t="s">
        <v>1</v>
      </c>
      <c r="D170" s="95" t="s">
        <v>1</v>
      </c>
      <c r="E170" s="95" t="s">
        <v>1</v>
      </c>
      <c r="F170" s="95" t="s">
        <v>1</v>
      </c>
      <c r="G170" s="95" t="s">
        <v>1</v>
      </c>
      <c r="H170" s="95" t="s">
        <v>1</v>
      </c>
      <c r="I170" s="95" t="s">
        <v>1</v>
      </c>
      <c r="J170" s="95" t="s">
        <v>1</v>
      </c>
      <c r="K170" s="95" t="s">
        <v>1</v>
      </c>
      <c r="L170" s="95" t="s">
        <v>1</v>
      </c>
      <c r="M170" s="95" t="s">
        <v>1</v>
      </c>
      <c r="N170" s="95" t="s">
        <v>1</v>
      </c>
      <c r="O170" s="95" t="s">
        <v>1</v>
      </c>
      <c r="P170" s="95" t="s">
        <v>1</v>
      </c>
      <c r="Q170" s="95" t="s">
        <v>1</v>
      </c>
      <c r="R170" s="95">
        <v>35</v>
      </c>
      <c r="S170" s="95">
        <v>34</v>
      </c>
      <c r="T170" s="95">
        <v>35</v>
      </c>
      <c r="U170" s="95">
        <v>38</v>
      </c>
      <c r="V170" s="95">
        <v>39</v>
      </c>
      <c r="W170" s="95">
        <v>36</v>
      </c>
      <c r="X170" s="95">
        <v>36</v>
      </c>
      <c r="Y170" s="95">
        <v>36</v>
      </c>
      <c r="Z170" s="95">
        <v>38</v>
      </c>
      <c r="AA170" s="95">
        <v>38</v>
      </c>
      <c r="AB170" s="95">
        <v>43</v>
      </c>
      <c r="AC170" s="100">
        <v>43</v>
      </c>
      <c r="AD170" s="95">
        <v>46</v>
      </c>
      <c r="AE170" s="95">
        <v>45</v>
      </c>
      <c r="AF170" s="100">
        <v>44</v>
      </c>
      <c r="AG170" s="108">
        <v>46</v>
      </c>
      <c r="AH170" s="102">
        <v>46</v>
      </c>
      <c r="AI170" s="109">
        <v>47</v>
      </c>
      <c r="AJ170" s="16">
        <v>49</v>
      </c>
      <c r="AK170" s="812">
        <v>55</v>
      </c>
      <c r="AL170" s="856" t="s">
        <v>1</v>
      </c>
      <c r="AM170" s="856" t="s">
        <v>1</v>
      </c>
      <c r="AN170" s="856" t="s">
        <v>1</v>
      </c>
      <c r="AO170" s="856" t="s">
        <v>1</v>
      </c>
      <c r="AP170" s="856" t="s">
        <v>1</v>
      </c>
      <c r="AQ170" s="856" t="s">
        <v>1</v>
      </c>
      <c r="AR170" s="856" t="s">
        <v>1</v>
      </c>
    </row>
    <row r="171" spans="1:44">
      <c r="A171" s="104" t="s">
        <v>135</v>
      </c>
      <c r="B171" s="94"/>
      <c r="C171" s="95" t="s">
        <v>1</v>
      </c>
      <c r="D171" s="95" t="s">
        <v>1</v>
      </c>
      <c r="E171" s="95" t="s">
        <v>1</v>
      </c>
      <c r="F171" s="95" t="s">
        <v>1</v>
      </c>
      <c r="G171" s="95" t="s">
        <v>1</v>
      </c>
      <c r="H171" s="95" t="s">
        <v>1</v>
      </c>
      <c r="I171" s="95" t="s">
        <v>1</v>
      </c>
      <c r="J171" s="95" t="s">
        <v>1</v>
      </c>
      <c r="K171" s="95" t="s">
        <v>1</v>
      </c>
      <c r="L171" s="95" t="s">
        <v>1</v>
      </c>
      <c r="M171" s="95" t="s">
        <v>1</v>
      </c>
      <c r="N171" s="95" t="s">
        <v>1</v>
      </c>
      <c r="O171" s="95" t="s">
        <v>1</v>
      </c>
      <c r="P171" s="95" t="s">
        <v>1</v>
      </c>
      <c r="Q171" s="95" t="s">
        <v>1</v>
      </c>
      <c r="R171" s="95"/>
      <c r="S171" s="95"/>
      <c r="T171" s="95">
        <v>15</v>
      </c>
      <c r="U171" s="95">
        <v>18</v>
      </c>
      <c r="V171" s="95">
        <v>18</v>
      </c>
      <c r="W171" s="95">
        <v>18</v>
      </c>
      <c r="X171" s="95">
        <v>18</v>
      </c>
      <c r="Y171" s="95">
        <v>23</v>
      </c>
      <c r="Z171" s="95">
        <v>26</v>
      </c>
      <c r="AA171" s="95">
        <v>26</v>
      </c>
      <c r="AB171" s="95">
        <v>27</v>
      </c>
      <c r="AC171" s="100">
        <v>28</v>
      </c>
      <c r="AD171" s="95">
        <v>28</v>
      </c>
      <c r="AE171" s="95">
        <v>29</v>
      </c>
      <c r="AF171" s="100">
        <v>29</v>
      </c>
      <c r="AG171" s="108">
        <v>30</v>
      </c>
      <c r="AH171" s="102">
        <v>33</v>
      </c>
      <c r="AI171" s="109">
        <v>40</v>
      </c>
      <c r="AJ171" s="16">
        <v>43</v>
      </c>
      <c r="AK171" s="812">
        <v>46</v>
      </c>
      <c r="AL171" s="856" t="s">
        <v>1</v>
      </c>
      <c r="AM171" s="856" t="s">
        <v>1</v>
      </c>
      <c r="AN171" s="856" t="s">
        <v>1</v>
      </c>
      <c r="AO171" s="856" t="s">
        <v>1</v>
      </c>
      <c r="AP171" s="856" t="s">
        <v>1</v>
      </c>
      <c r="AQ171" s="856" t="s">
        <v>1</v>
      </c>
      <c r="AR171" s="856" t="s">
        <v>1</v>
      </c>
    </row>
    <row r="172" spans="1:44">
      <c r="A172" s="104" t="s">
        <v>110</v>
      </c>
      <c r="B172" s="94"/>
      <c r="C172" s="95" t="s">
        <v>1</v>
      </c>
      <c r="D172" s="95" t="s">
        <v>1</v>
      </c>
      <c r="E172" s="95" t="s">
        <v>1</v>
      </c>
      <c r="F172" s="95" t="s">
        <v>1</v>
      </c>
      <c r="G172" s="95" t="s">
        <v>1</v>
      </c>
      <c r="H172" s="95" t="s">
        <v>1</v>
      </c>
      <c r="I172" s="95" t="s">
        <v>1</v>
      </c>
      <c r="J172" s="95" t="s">
        <v>1</v>
      </c>
      <c r="K172" s="95" t="s">
        <v>1</v>
      </c>
      <c r="L172" s="95" t="s">
        <v>1</v>
      </c>
      <c r="M172" s="95" t="s">
        <v>1</v>
      </c>
      <c r="N172" s="95" t="s">
        <v>1</v>
      </c>
      <c r="O172" s="95" t="s">
        <v>1</v>
      </c>
      <c r="P172" s="95" t="s">
        <v>1</v>
      </c>
      <c r="Q172" s="95" t="s">
        <v>1</v>
      </c>
      <c r="R172" s="95">
        <v>56</v>
      </c>
      <c r="S172" s="95">
        <v>55</v>
      </c>
      <c r="T172" s="95">
        <v>47</v>
      </c>
      <c r="U172" s="95">
        <v>51</v>
      </c>
      <c r="V172" s="95">
        <v>52</v>
      </c>
      <c r="W172" s="95">
        <v>51</v>
      </c>
      <c r="X172" s="95">
        <v>52</v>
      </c>
      <c r="Y172" s="95">
        <v>51</v>
      </c>
      <c r="Z172" s="95">
        <v>41</v>
      </c>
      <c r="AA172" s="95">
        <v>41</v>
      </c>
      <c r="AB172" s="95">
        <v>44</v>
      </c>
      <c r="AC172" s="100">
        <v>44</v>
      </c>
      <c r="AD172" s="95">
        <v>45</v>
      </c>
      <c r="AE172" s="95">
        <v>45</v>
      </c>
      <c r="AF172" s="100">
        <v>47</v>
      </c>
      <c r="AG172" s="108">
        <v>50</v>
      </c>
      <c r="AH172" s="102">
        <v>54</v>
      </c>
      <c r="AI172" s="109">
        <v>61</v>
      </c>
      <c r="AJ172" s="16">
        <v>62</v>
      </c>
      <c r="AK172" s="812">
        <v>63</v>
      </c>
      <c r="AL172" s="856" t="s">
        <v>1</v>
      </c>
      <c r="AM172" s="856" t="s">
        <v>1</v>
      </c>
      <c r="AN172" s="856" t="s">
        <v>1</v>
      </c>
      <c r="AO172" s="856" t="s">
        <v>1</v>
      </c>
      <c r="AP172" s="856" t="s">
        <v>1</v>
      </c>
      <c r="AQ172" s="856" t="s">
        <v>1</v>
      </c>
      <c r="AR172" s="856" t="s">
        <v>1</v>
      </c>
    </row>
    <row r="173" spans="1:44">
      <c r="A173" s="104" t="s">
        <v>111</v>
      </c>
      <c r="B173" s="94"/>
      <c r="C173" s="95" t="s">
        <v>1</v>
      </c>
      <c r="D173" s="95" t="s">
        <v>1</v>
      </c>
      <c r="E173" s="95" t="s">
        <v>1</v>
      </c>
      <c r="F173" s="95" t="s">
        <v>1</v>
      </c>
      <c r="G173" s="95" t="s">
        <v>1</v>
      </c>
      <c r="H173" s="95" t="s">
        <v>1</v>
      </c>
      <c r="I173" s="95" t="s">
        <v>1</v>
      </c>
      <c r="J173" s="95" t="s">
        <v>1</v>
      </c>
      <c r="K173" s="95" t="s">
        <v>1</v>
      </c>
      <c r="L173" s="95" t="s">
        <v>1</v>
      </c>
      <c r="M173" s="95" t="s">
        <v>1</v>
      </c>
      <c r="N173" s="95" t="s">
        <v>1</v>
      </c>
      <c r="O173" s="95" t="s">
        <v>1</v>
      </c>
      <c r="P173" s="95" t="s">
        <v>1</v>
      </c>
      <c r="Q173" s="95" t="s">
        <v>1</v>
      </c>
      <c r="R173" s="95">
        <v>50</v>
      </c>
      <c r="S173" s="95">
        <v>51</v>
      </c>
      <c r="T173" s="95">
        <v>51</v>
      </c>
      <c r="U173" s="95">
        <v>48</v>
      </c>
      <c r="V173" s="95">
        <v>46</v>
      </c>
      <c r="W173" s="95">
        <v>45</v>
      </c>
      <c r="X173" s="95">
        <v>44</v>
      </c>
      <c r="Y173" s="95">
        <v>44</v>
      </c>
      <c r="Z173" s="95">
        <v>46</v>
      </c>
      <c r="AA173" s="95">
        <v>46</v>
      </c>
      <c r="AB173" s="95">
        <v>56</v>
      </c>
      <c r="AC173" s="100">
        <v>57</v>
      </c>
      <c r="AD173" s="95">
        <v>59</v>
      </c>
      <c r="AE173" s="95">
        <v>64</v>
      </c>
      <c r="AF173" s="100">
        <v>64</v>
      </c>
      <c r="AG173" s="108">
        <v>68</v>
      </c>
      <c r="AH173" s="102">
        <v>71</v>
      </c>
      <c r="AI173" s="109">
        <v>74</v>
      </c>
      <c r="AJ173" s="16">
        <v>75</v>
      </c>
      <c r="AK173" s="812">
        <v>78</v>
      </c>
      <c r="AL173" s="856" t="s">
        <v>1</v>
      </c>
      <c r="AM173" s="856" t="s">
        <v>1</v>
      </c>
      <c r="AN173" s="856" t="s">
        <v>1</v>
      </c>
      <c r="AO173" s="856" t="s">
        <v>1</v>
      </c>
      <c r="AP173" s="856" t="s">
        <v>1</v>
      </c>
      <c r="AQ173" s="856" t="s">
        <v>1</v>
      </c>
      <c r="AR173" s="856" t="s">
        <v>1</v>
      </c>
    </row>
    <row r="174" spans="1:44">
      <c r="A174" s="104" t="s">
        <v>388</v>
      </c>
      <c r="B174" s="94"/>
      <c r="C174" s="95" t="s">
        <v>1</v>
      </c>
      <c r="D174" s="95" t="s">
        <v>1</v>
      </c>
      <c r="E174" s="95" t="s">
        <v>1</v>
      </c>
      <c r="F174" s="95" t="s">
        <v>1</v>
      </c>
      <c r="G174" s="95" t="s">
        <v>1</v>
      </c>
      <c r="H174" s="95" t="s">
        <v>1</v>
      </c>
      <c r="I174" s="95" t="s">
        <v>1</v>
      </c>
      <c r="J174" s="95" t="s">
        <v>1</v>
      </c>
      <c r="K174" s="95" t="s">
        <v>1</v>
      </c>
      <c r="L174" s="95" t="s">
        <v>1</v>
      </c>
      <c r="M174" s="95" t="s">
        <v>1</v>
      </c>
      <c r="N174" s="95" t="s">
        <v>1</v>
      </c>
      <c r="O174" s="95" t="s">
        <v>1</v>
      </c>
      <c r="P174" s="95" t="s">
        <v>1</v>
      </c>
      <c r="Q174" s="95" t="s">
        <v>1</v>
      </c>
      <c r="R174" s="95">
        <v>32</v>
      </c>
      <c r="S174" s="95">
        <v>31</v>
      </c>
      <c r="T174" s="95">
        <v>25</v>
      </c>
      <c r="U174" s="95">
        <v>21</v>
      </c>
      <c r="V174" s="95">
        <v>20</v>
      </c>
      <c r="W174" s="95">
        <v>21</v>
      </c>
      <c r="X174" s="95">
        <v>21</v>
      </c>
      <c r="Y174" s="95">
        <v>21</v>
      </c>
      <c r="Z174" s="95">
        <v>21</v>
      </c>
      <c r="AA174" s="95">
        <v>21</v>
      </c>
      <c r="AB174" s="95">
        <v>21</v>
      </c>
      <c r="AC174" s="100">
        <v>21</v>
      </c>
      <c r="AD174" s="95">
        <v>21</v>
      </c>
      <c r="AE174" s="95">
        <v>21</v>
      </c>
      <c r="AF174" s="100">
        <v>22</v>
      </c>
      <c r="AG174" s="108">
        <v>23</v>
      </c>
      <c r="AH174" s="102">
        <v>22</v>
      </c>
      <c r="AI174" s="109">
        <v>22</v>
      </c>
      <c r="AJ174" s="16">
        <v>22</v>
      </c>
      <c r="AK174" s="812">
        <v>22</v>
      </c>
      <c r="AL174" s="856" t="s">
        <v>1</v>
      </c>
      <c r="AM174" s="856" t="s">
        <v>1</v>
      </c>
      <c r="AN174" s="856" t="s">
        <v>1</v>
      </c>
      <c r="AO174" s="856" t="s">
        <v>1</v>
      </c>
      <c r="AP174" s="856" t="s">
        <v>1</v>
      </c>
      <c r="AQ174" s="856" t="s">
        <v>1</v>
      </c>
      <c r="AR174" s="856" t="s">
        <v>1</v>
      </c>
    </row>
    <row r="175" spans="1:44">
      <c r="A175" s="104" t="s">
        <v>136</v>
      </c>
      <c r="B175" s="94"/>
      <c r="C175" s="95" t="s">
        <v>1</v>
      </c>
      <c r="D175" s="95" t="s">
        <v>1</v>
      </c>
      <c r="E175" s="95" t="s">
        <v>1</v>
      </c>
      <c r="F175" s="95" t="s">
        <v>1</v>
      </c>
      <c r="G175" s="95" t="s">
        <v>1</v>
      </c>
      <c r="H175" s="95" t="s">
        <v>1</v>
      </c>
      <c r="I175" s="95" t="s">
        <v>1</v>
      </c>
      <c r="J175" s="95" t="s">
        <v>1</v>
      </c>
      <c r="K175" s="95" t="s">
        <v>1</v>
      </c>
      <c r="L175" s="95" t="s">
        <v>1</v>
      </c>
      <c r="M175" s="95" t="s">
        <v>1</v>
      </c>
      <c r="N175" s="95" t="s">
        <v>1</v>
      </c>
      <c r="O175" s="95" t="s">
        <v>1</v>
      </c>
      <c r="P175" s="95" t="s">
        <v>1</v>
      </c>
      <c r="Q175" s="95" t="s">
        <v>1</v>
      </c>
      <c r="R175" s="95">
        <v>36</v>
      </c>
      <c r="S175" s="95">
        <v>36</v>
      </c>
      <c r="T175" s="95">
        <v>36</v>
      </c>
      <c r="U175" s="95">
        <v>36</v>
      </c>
      <c r="V175" s="95">
        <v>37</v>
      </c>
      <c r="W175" s="95">
        <v>37</v>
      </c>
      <c r="X175" s="95">
        <v>36</v>
      </c>
      <c r="Y175" s="95">
        <v>36</v>
      </c>
      <c r="Z175" s="95">
        <v>34</v>
      </c>
      <c r="AA175" s="95">
        <v>34</v>
      </c>
      <c r="AB175" s="95">
        <v>37</v>
      </c>
      <c r="AC175" s="100">
        <v>40</v>
      </c>
      <c r="AD175" s="95">
        <v>40</v>
      </c>
      <c r="AE175" s="95">
        <v>41</v>
      </c>
      <c r="AF175" s="100">
        <v>47</v>
      </c>
      <c r="AG175" s="108">
        <v>52</v>
      </c>
      <c r="AH175" s="102">
        <v>53</v>
      </c>
      <c r="AI175" s="109">
        <v>54</v>
      </c>
      <c r="AJ175" s="16">
        <v>53</v>
      </c>
      <c r="AK175" s="812">
        <v>54</v>
      </c>
      <c r="AL175" s="856" t="s">
        <v>1</v>
      </c>
      <c r="AM175" s="856" t="s">
        <v>1</v>
      </c>
      <c r="AN175" s="856" t="s">
        <v>1</v>
      </c>
      <c r="AO175" s="856" t="s">
        <v>1</v>
      </c>
      <c r="AP175" s="856" t="s">
        <v>1</v>
      </c>
      <c r="AQ175" s="856" t="s">
        <v>1</v>
      </c>
      <c r="AR175" s="856" t="s">
        <v>1</v>
      </c>
    </row>
    <row r="176" spans="1:44">
      <c r="A176" s="104" t="s">
        <v>112</v>
      </c>
      <c r="B176" s="94"/>
      <c r="C176" s="95" t="s">
        <v>1</v>
      </c>
      <c r="D176" s="95" t="s">
        <v>1</v>
      </c>
      <c r="E176" s="95" t="s">
        <v>1</v>
      </c>
      <c r="F176" s="95" t="s">
        <v>1</v>
      </c>
      <c r="G176" s="95" t="s">
        <v>1</v>
      </c>
      <c r="H176" s="95" t="s">
        <v>1</v>
      </c>
      <c r="I176" s="95" t="s">
        <v>1</v>
      </c>
      <c r="J176" s="95" t="s">
        <v>1</v>
      </c>
      <c r="K176" s="95" t="s">
        <v>1</v>
      </c>
      <c r="L176" s="95" t="s">
        <v>1</v>
      </c>
      <c r="M176" s="95" t="s">
        <v>1</v>
      </c>
      <c r="N176" s="95" t="s">
        <v>1</v>
      </c>
      <c r="O176" s="95" t="s">
        <v>1</v>
      </c>
      <c r="P176" s="95" t="s">
        <v>1</v>
      </c>
      <c r="Q176" s="95" t="s">
        <v>1</v>
      </c>
      <c r="R176" s="95"/>
      <c r="S176" s="95"/>
      <c r="T176" s="95"/>
      <c r="U176" s="95"/>
      <c r="V176" s="95"/>
      <c r="W176" s="95"/>
      <c r="X176" s="95"/>
      <c r="Y176" s="95"/>
      <c r="Z176" s="95">
        <v>10</v>
      </c>
      <c r="AA176" s="95">
        <v>10</v>
      </c>
      <c r="AB176" s="95">
        <v>12</v>
      </c>
      <c r="AC176" s="100">
        <v>13</v>
      </c>
      <c r="AD176" s="95">
        <v>15</v>
      </c>
      <c r="AE176" s="95">
        <v>17</v>
      </c>
      <c r="AF176" s="100">
        <v>18</v>
      </c>
      <c r="AG176" s="108">
        <v>18</v>
      </c>
      <c r="AH176" s="102">
        <v>23</v>
      </c>
      <c r="AI176" s="109">
        <v>27</v>
      </c>
      <c r="AJ176" s="16">
        <v>30</v>
      </c>
      <c r="AK176" s="812">
        <v>32</v>
      </c>
      <c r="AL176" s="856" t="s">
        <v>1</v>
      </c>
      <c r="AM176" s="856" t="s">
        <v>1</v>
      </c>
      <c r="AN176" s="856" t="s">
        <v>1</v>
      </c>
      <c r="AO176" s="856" t="s">
        <v>1</v>
      </c>
      <c r="AP176" s="856" t="s">
        <v>1</v>
      </c>
      <c r="AQ176" s="856" t="s">
        <v>1</v>
      </c>
      <c r="AR176" s="856" t="s">
        <v>1</v>
      </c>
    </row>
    <row r="177" spans="1:44">
      <c r="A177" s="104" t="s">
        <v>113</v>
      </c>
      <c r="B177" s="94"/>
      <c r="C177" s="95" t="s">
        <v>1</v>
      </c>
      <c r="D177" s="95" t="s">
        <v>1</v>
      </c>
      <c r="E177" s="95" t="s">
        <v>1</v>
      </c>
      <c r="F177" s="95" t="s">
        <v>1</v>
      </c>
      <c r="G177" s="95" t="s">
        <v>1</v>
      </c>
      <c r="H177" s="95" t="s">
        <v>1</v>
      </c>
      <c r="I177" s="95" t="s">
        <v>1</v>
      </c>
      <c r="J177" s="95" t="s">
        <v>1</v>
      </c>
      <c r="K177" s="95" t="s">
        <v>1</v>
      </c>
      <c r="L177" s="95" t="s">
        <v>1</v>
      </c>
      <c r="M177" s="95" t="s">
        <v>1</v>
      </c>
      <c r="N177" s="95" t="s">
        <v>1</v>
      </c>
      <c r="O177" s="95" t="s">
        <v>1</v>
      </c>
      <c r="P177" s="95" t="s">
        <v>1</v>
      </c>
      <c r="Q177" s="95" t="s">
        <v>1</v>
      </c>
      <c r="R177" s="95">
        <v>32</v>
      </c>
      <c r="S177" s="95">
        <v>32</v>
      </c>
      <c r="T177" s="95">
        <v>30</v>
      </c>
      <c r="U177" s="95">
        <v>30</v>
      </c>
      <c r="V177" s="95">
        <v>29</v>
      </c>
      <c r="W177" s="95">
        <v>28</v>
      </c>
      <c r="X177" s="95">
        <v>28</v>
      </c>
      <c r="Y177" s="95">
        <v>27</v>
      </c>
      <c r="Z177" s="95">
        <v>28</v>
      </c>
      <c r="AA177" s="95">
        <v>28</v>
      </c>
      <c r="AB177" s="95">
        <v>28</v>
      </c>
      <c r="AC177" s="100">
        <v>28</v>
      </c>
      <c r="AD177" s="95">
        <v>28</v>
      </c>
      <c r="AE177" s="95">
        <v>28</v>
      </c>
      <c r="AF177" s="100">
        <v>29</v>
      </c>
      <c r="AG177" s="108">
        <v>30</v>
      </c>
      <c r="AH177" s="102">
        <v>31</v>
      </c>
      <c r="AI177" s="109">
        <v>33</v>
      </c>
      <c r="AJ177" s="16">
        <v>33</v>
      </c>
      <c r="AK177" s="812">
        <v>33</v>
      </c>
      <c r="AL177" s="856" t="s">
        <v>1</v>
      </c>
      <c r="AM177" s="856" t="s">
        <v>1</v>
      </c>
      <c r="AN177" s="856" t="s">
        <v>1</v>
      </c>
      <c r="AO177" s="856" t="s">
        <v>1</v>
      </c>
      <c r="AP177" s="856" t="s">
        <v>1</v>
      </c>
      <c r="AQ177" s="856" t="s">
        <v>1</v>
      </c>
      <c r="AR177" s="856" t="s">
        <v>1</v>
      </c>
    </row>
    <row r="178" spans="1:44" ht="15">
      <c r="A178" s="93" t="s">
        <v>410</v>
      </c>
      <c r="B178" s="112" t="s">
        <v>181</v>
      </c>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100"/>
      <c r="AD178" s="92"/>
      <c r="AE178" s="40"/>
      <c r="AF178" s="48"/>
      <c r="AG178" s="41"/>
      <c r="AH178" s="50"/>
      <c r="AI178" s="48"/>
      <c r="AJ178" s="16"/>
      <c r="AK178" s="812"/>
      <c r="AL178" s="812"/>
      <c r="AM178" s="812"/>
      <c r="AN178" s="812"/>
      <c r="AO178" s="812"/>
      <c r="AP178" s="812"/>
      <c r="AQ178" s="812"/>
      <c r="AR178" s="812"/>
    </row>
    <row r="179" spans="1:44">
      <c r="A179" s="93" t="s">
        <v>190</v>
      </c>
      <c r="B179" s="94"/>
      <c r="C179" s="90">
        <v>159</v>
      </c>
      <c r="D179" s="90">
        <v>157.69999999999999</v>
      </c>
      <c r="E179" s="90">
        <v>157.5</v>
      </c>
      <c r="F179" s="90">
        <v>162.80000000000001</v>
      </c>
      <c r="G179" s="90">
        <v>165.6</v>
      </c>
      <c r="H179" s="90">
        <v>174</v>
      </c>
      <c r="I179" s="90">
        <v>176.1</v>
      </c>
      <c r="J179" s="90">
        <v>176.8</v>
      </c>
      <c r="K179" s="90">
        <v>182.3</v>
      </c>
      <c r="L179" s="90">
        <v>188</v>
      </c>
      <c r="M179" s="90">
        <v>189.9</v>
      </c>
      <c r="N179" s="90">
        <v>194.1</v>
      </c>
      <c r="O179" s="90">
        <v>196.8</v>
      </c>
      <c r="P179" s="90">
        <v>189</v>
      </c>
      <c r="Q179" s="90">
        <v>183.4</v>
      </c>
      <c r="R179" s="90">
        <v>178.4</v>
      </c>
      <c r="S179" s="90">
        <v>175.8</v>
      </c>
      <c r="T179" s="90">
        <v>173.6</v>
      </c>
      <c r="U179" s="90">
        <v>175.3</v>
      </c>
      <c r="V179" s="90">
        <v>173.7</v>
      </c>
      <c r="W179" s="90">
        <v>175.2</v>
      </c>
      <c r="X179" s="90">
        <v>179.2</v>
      </c>
      <c r="Y179" s="90">
        <v>187.9</v>
      </c>
      <c r="Z179" s="90">
        <v>209</v>
      </c>
      <c r="AA179" s="90">
        <v>223.7</v>
      </c>
      <c r="AB179" s="90">
        <v>240.4</v>
      </c>
      <c r="AC179" s="114">
        <v>254</v>
      </c>
      <c r="AD179" s="90">
        <v>268</v>
      </c>
      <c r="AE179" s="90">
        <v>286.7</v>
      </c>
      <c r="AF179" s="100">
        <v>298.5</v>
      </c>
      <c r="AG179" s="115">
        <v>314.7</v>
      </c>
      <c r="AH179" s="119">
        <v>331.43599999999998</v>
      </c>
      <c r="AI179" s="117">
        <v>349.18700000000001</v>
      </c>
      <c r="AJ179" s="120">
        <v>360</v>
      </c>
      <c r="AK179" s="812">
        <v>367.7</v>
      </c>
      <c r="AL179" s="856" t="s">
        <v>1</v>
      </c>
      <c r="AM179" s="856" t="s">
        <v>1</v>
      </c>
      <c r="AN179" s="856" t="s">
        <v>1</v>
      </c>
      <c r="AO179" s="856" t="s">
        <v>1</v>
      </c>
      <c r="AP179" s="856" t="s">
        <v>1</v>
      </c>
      <c r="AQ179" s="856" t="s">
        <v>1</v>
      </c>
      <c r="AR179" s="856" t="s">
        <v>1</v>
      </c>
    </row>
    <row r="180" spans="1:44">
      <c r="A180" s="99" t="s">
        <v>169</v>
      </c>
      <c r="B180" s="94"/>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114"/>
      <c r="AD180" s="90"/>
      <c r="AE180" s="90"/>
      <c r="AF180" s="100"/>
      <c r="AG180" s="115"/>
      <c r="AH180" s="119"/>
      <c r="AI180" s="117"/>
      <c r="AJ180" s="120"/>
      <c r="AK180" s="854"/>
      <c r="AL180" s="856" t="s">
        <v>1</v>
      </c>
      <c r="AM180" s="856" t="s">
        <v>1</v>
      </c>
      <c r="AN180" s="856" t="s">
        <v>1</v>
      </c>
      <c r="AO180" s="856" t="s">
        <v>1</v>
      </c>
      <c r="AP180" s="856" t="s">
        <v>1</v>
      </c>
      <c r="AQ180" s="856" t="s">
        <v>1</v>
      </c>
      <c r="AR180" s="856" t="s">
        <v>1</v>
      </c>
    </row>
    <row r="181" spans="1:44">
      <c r="A181" s="104" t="s">
        <v>109</v>
      </c>
      <c r="B181" s="94"/>
      <c r="C181" s="95" t="s">
        <v>1</v>
      </c>
      <c r="D181" s="95" t="s">
        <v>1</v>
      </c>
      <c r="E181" s="95" t="s">
        <v>1</v>
      </c>
      <c r="F181" s="95" t="s">
        <v>1</v>
      </c>
      <c r="G181" s="95" t="s">
        <v>1</v>
      </c>
      <c r="H181" s="95" t="s">
        <v>1</v>
      </c>
      <c r="I181" s="95" t="s">
        <v>1</v>
      </c>
      <c r="J181" s="95" t="s">
        <v>1</v>
      </c>
      <c r="K181" s="95" t="s">
        <v>1</v>
      </c>
      <c r="L181" s="95" t="s">
        <v>1</v>
      </c>
      <c r="M181" s="95" t="s">
        <v>1</v>
      </c>
      <c r="N181" s="95" t="s">
        <v>1</v>
      </c>
      <c r="O181" s="95" t="s">
        <v>1</v>
      </c>
      <c r="P181" s="95" t="s">
        <v>1</v>
      </c>
      <c r="Q181" s="95" t="s">
        <v>1</v>
      </c>
      <c r="R181" s="90">
        <v>24.6</v>
      </c>
      <c r="S181" s="90">
        <v>23.9</v>
      </c>
      <c r="T181" s="90">
        <v>26.8</v>
      </c>
      <c r="U181" s="90">
        <v>28.1</v>
      </c>
      <c r="V181" s="90">
        <v>28</v>
      </c>
      <c r="W181" s="90">
        <v>27.4</v>
      </c>
      <c r="X181" s="90">
        <v>27.8</v>
      </c>
      <c r="Y181" s="90">
        <v>28.1</v>
      </c>
      <c r="Z181" s="90">
        <v>25.5</v>
      </c>
      <c r="AA181" s="90">
        <v>28.5</v>
      </c>
      <c r="AB181" s="90">
        <v>31.6</v>
      </c>
      <c r="AC181" s="100">
        <v>32.799999999999997</v>
      </c>
      <c r="AD181" s="90">
        <v>34.200000000000003</v>
      </c>
      <c r="AE181" s="90">
        <v>35.1</v>
      </c>
      <c r="AF181" s="100">
        <v>35.9</v>
      </c>
      <c r="AG181" s="115">
        <v>37.799999999999997</v>
      </c>
      <c r="AH181" s="119">
        <v>38.484999999999999</v>
      </c>
      <c r="AI181" s="117">
        <v>40.07</v>
      </c>
      <c r="AJ181" s="120">
        <v>40.6</v>
      </c>
      <c r="AK181" s="812">
        <v>41.9</v>
      </c>
      <c r="AL181" s="856" t="s">
        <v>1</v>
      </c>
      <c r="AM181" s="856" t="s">
        <v>1</v>
      </c>
      <c r="AN181" s="856" t="s">
        <v>1</v>
      </c>
      <c r="AO181" s="856" t="s">
        <v>1</v>
      </c>
      <c r="AP181" s="856" t="s">
        <v>1</v>
      </c>
      <c r="AQ181" s="856" t="s">
        <v>1</v>
      </c>
      <c r="AR181" s="856" t="s">
        <v>1</v>
      </c>
    </row>
    <row r="182" spans="1:44">
      <c r="A182" s="104" t="s">
        <v>135</v>
      </c>
      <c r="B182" s="94"/>
      <c r="C182" s="95" t="s">
        <v>1</v>
      </c>
      <c r="D182" s="95" t="s">
        <v>1</v>
      </c>
      <c r="E182" s="95" t="s">
        <v>1</v>
      </c>
      <c r="F182" s="95" t="s">
        <v>1</v>
      </c>
      <c r="G182" s="95" t="s">
        <v>1</v>
      </c>
      <c r="H182" s="95" t="s">
        <v>1</v>
      </c>
      <c r="I182" s="95" t="s">
        <v>1</v>
      </c>
      <c r="J182" s="95" t="s">
        <v>1</v>
      </c>
      <c r="K182" s="95" t="s">
        <v>1</v>
      </c>
      <c r="L182" s="95" t="s">
        <v>1</v>
      </c>
      <c r="M182" s="95" t="s">
        <v>1</v>
      </c>
      <c r="N182" s="95" t="s">
        <v>1</v>
      </c>
      <c r="O182" s="95" t="s">
        <v>1</v>
      </c>
      <c r="P182" s="95" t="s">
        <v>1</v>
      </c>
      <c r="Q182" s="95" t="s">
        <v>1</v>
      </c>
      <c r="R182" s="90"/>
      <c r="S182" s="90"/>
      <c r="T182" s="90">
        <v>18.899999999999999</v>
      </c>
      <c r="U182" s="90">
        <v>20.100000000000001</v>
      </c>
      <c r="V182" s="90">
        <v>20</v>
      </c>
      <c r="W182" s="90">
        <v>20.3</v>
      </c>
      <c r="X182" s="90">
        <v>20.2</v>
      </c>
      <c r="Y182" s="90">
        <v>24</v>
      </c>
      <c r="Z182" s="90">
        <v>29.1</v>
      </c>
      <c r="AA182" s="90">
        <v>32.200000000000003</v>
      </c>
      <c r="AB182" s="90">
        <v>36.700000000000003</v>
      </c>
      <c r="AC182" s="100">
        <v>39.9</v>
      </c>
      <c r="AD182" s="90">
        <v>42.3</v>
      </c>
      <c r="AE182" s="90">
        <v>45.8</v>
      </c>
      <c r="AF182" s="100">
        <v>47.8</v>
      </c>
      <c r="AG182" s="115">
        <v>50.5</v>
      </c>
      <c r="AH182" s="119">
        <v>53.9</v>
      </c>
      <c r="AI182" s="117">
        <v>57.999000000000002</v>
      </c>
      <c r="AJ182" s="120">
        <v>61.5</v>
      </c>
      <c r="AK182" s="815">
        <v>64</v>
      </c>
      <c r="AL182" s="856" t="s">
        <v>1</v>
      </c>
      <c r="AM182" s="856" t="s">
        <v>1</v>
      </c>
      <c r="AN182" s="856" t="s">
        <v>1</v>
      </c>
      <c r="AO182" s="856" t="s">
        <v>1</v>
      </c>
      <c r="AP182" s="856" t="s">
        <v>1</v>
      </c>
      <c r="AQ182" s="856" t="s">
        <v>1</v>
      </c>
      <c r="AR182" s="856" t="s">
        <v>1</v>
      </c>
    </row>
    <row r="183" spans="1:44">
      <c r="A183" s="104" t="s">
        <v>110</v>
      </c>
      <c r="B183" s="94"/>
      <c r="C183" s="95" t="s">
        <v>1</v>
      </c>
      <c r="D183" s="95" t="s">
        <v>1</v>
      </c>
      <c r="E183" s="95" t="s">
        <v>1</v>
      </c>
      <c r="F183" s="95" t="s">
        <v>1</v>
      </c>
      <c r="G183" s="95" t="s">
        <v>1</v>
      </c>
      <c r="H183" s="95" t="s">
        <v>1</v>
      </c>
      <c r="I183" s="95" t="s">
        <v>1</v>
      </c>
      <c r="J183" s="95" t="s">
        <v>1</v>
      </c>
      <c r="K183" s="95" t="s">
        <v>1</v>
      </c>
      <c r="L183" s="95" t="s">
        <v>1</v>
      </c>
      <c r="M183" s="95" t="s">
        <v>1</v>
      </c>
      <c r="N183" s="95" t="s">
        <v>1</v>
      </c>
      <c r="O183" s="95" t="s">
        <v>1</v>
      </c>
      <c r="P183" s="95" t="s">
        <v>1</v>
      </c>
      <c r="Q183" s="95" t="s">
        <v>1</v>
      </c>
      <c r="R183" s="90">
        <v>49.5</v>
      </c>
      <c r="S183" s="90">
        <v>49.8</v>
      </c>
      <c r="T183" s="90">
        <v>39.1</v>
      </c>
      <c r="U183" s="90">
        <v>40.799999999999997</v>
      </c>
      <c r="V183" s="90">
        <v>41</v>
      </c>
      <c r="W183" s="90">
        <v>41.9</v>
      </c>
      <c r="X183" s="90">
        <v>42.9</v>
      </c>
      <c r="Y183" s="90">
        <v>43.6</v>
      </c>
      <c r="Z183" s="90">
        <v>37.700000000000003</v>
      </c>
      <c r="AA183" s="90">
        <v>40.700000000000003</v>
      </c>
      <c r="AB183" s="90">
        <v>44.3</v>
      </c>
      <c r="AC183" s="100">
        <v>45.8</v>
      </c>
      <c r="AD183" s="90">
        <v>47.4</v>
      </c>
      <c r="AE183" s="90">
        <v>50.8</v>
      </c>
      <c r="AF183" s="100">
        <v>52.2</v>
      </c>
      <c r="AG183" s="115">
        <v>54.4</v>
      </c>
      <c r="AH183" s="119">
        <v>57.136000000000003</v>
      </c>
      <c r="AI183" s="117">
        <v>60.225000000000001</v>
      </c>
      <c r="AJ183" s="120">
        <v>61.5</v>
      </c>
      <c r="AK183" s="815">
        <v>61.4</v>
      </c>
      <c r="AL183" s="856" t="s">
        <v>1</v>
      </c>
      <c r="AM183" s="856" t="s">
        <v>1</v>
      </c>
      <c r="AN183" s="856" t="s">
        <v>1</v>
      </c>
      <c r="AO183" s="856" t="s">
        <v>1</v>
      </c>
      <c r="AP183" s="856" t="s">
        <v>1</v>
      </c>
      <c r="AQ183" s="856" t="s">
        <v>1</v>
      </c>
      <c r="AR183" s="856" t="s">
        <v>1</v>
      </c>
    </row>
    <row r="184" spans="1:44">
      <c r="A184" s="104" t="s">
        <v>111</v>
      </c>
      <c r="B184" s="94"/>
      <c r="C184" s="95" t="s">
        <v>1</v>
      </c>
      <c r="D184" s="95" t="s">
        <v>1</v>
      </c>
      <c r="E184" s="95" t="s">
        <v>1</v>
      </c>
      <c r="F184" s="95" t="s">
        <v>1</v>
      </c>
      <c r="G184" s="95" t="s">
        <v>1</v>
      </c>
      <c r="H184" s="95" t="s">
        <v>1</v>
      </c>
      <c r="I184" s="95" t="s">
        <v>1</v>
      </c>
      <c r="J184" s="95" t="s">
        <v>1</v>
      </c>
      <c r="K184" s="95" t="s">
        <v>1</v>
      </c>
      <c r="L184" s="95" t="s">
        <v>1</v>
      </c>
      <c r="M184" s="95" t="s">
        <v>1</v>
      </c>
      <c r="N184" s="95" t="s">
        <v>1</v>
      </c>
      <c r="O184" s="95" t="s">
        <v>1</v>
      </c>
      <c r="P184" s="95" t="s">
        <v>1</v>
      </c>
      <c r="Q184" s="95" t="s">
        <v>1</v>
      </c>
      <c r="R184" s="90">
        <v>31.3</v>
      </c>
      <c r="S184" s="90">
        <v>29.8</v>
      </c>
      <c r="T184" s="90">
        <v>28.5</v>
      </c>
      <c r="U184" s="90">
        <v>27.5</v>
      </c>
      <c r="V184" s="90">
        <v>26.8</v>
      </c>
      <c r="W184" s="90">
        <v>26.8</v>
      </c>
      <c r="X184" s="90">
        <v>27.6</v>
      </c>
      <c r="Y184" s="90">
        <v>28.7</v>
      </c>
      <c r="Z184" s="90">
        <v>25</v>
      </c>
      <c r="AA184" s="90">
        <v>30.8</v>
      </c>
      <c r="AB184" s="90">
        <v>37.5</v>
      </c>
      <c r="AC184" s="100">
        <v>40.1</v>
      </c>
      <c r="AD184" s="90">
        <v>42.3</v>
      </c>
      <c r="AE184" s="90">
        <v>46.4</v>
      </c>
      <c r="AF184" s="100">
        <v>48.7</v>
      </c>
      <c r="AG184" s="115">
        <v>51.7</v>
      </c>
      <c r="AH184" s="119">
        <v>54.104999999999997</v>
      </c>
      <c r="AI184" s="117">
        <v>57.048000000000002</v>
      </c>
      <c r="AJ184" s="120">
        <v>56.9</v>
      </c>
      <c r="AK184" s="815">
        <v>59.1</v>
      </c>
      <c r="AL184" s="856" t="s">
        <v>1</v>
      </c>
      <c r="AM184" s="856" t="s">
        <v>1</v>
      </c>
      <c r="AN184" s="856" t="s">
        <v>1</v>
      </c>
      <c r="AO184" s="856" t="s">
        <v>1</v>
      </c>
      <c r="AP184" s="856" t="s">
        <v>1</v>
      </c>
      <c r="AQ184" s="856" t="s">
        <v>1</v>
      </c>
      <c r="AR184" s="856" t="s">
        <v>1</v>
      </c>
    </row>
    <row r="185" spans="1:44">
      <c r="A185" s="104" t="s">
        <v>388</v>
      </c>
      <c r="B185" s="94"/>
      <c r="C185" s="95" t="s">
        <v>1</v>
      </c>
      <c r="D185" s="95" t="s">
        <v>1</v>
      </c>
      <c r="E185" s="95" t="s">
        <v>1</v>
      </c>
      <c r="F185" s="95" t="s">
        <v>1</v>
      </c>
      <c r="G185" s="95" t="s">
        <v>1</v>
      </c>
      <c r="H185" s="95" t="s">
        <v>1</v>
      </c>
      <c r="I185" s="95" t="s">
        <v>1</v>
      </c>
      <c r="J185" s="95" t="s">
        <v>1</v>
      </c>
      <c r="K185" s="95" t="s">
        <v>1</v>
      </c>
      <c r="L185" s="95" t="s">
        <v>1</v>
      </c>
      <c r="M185" s="95" t="s">
        <v>1</v>
      </c>
      <c r="N185" s="95" t="s">
        <v>1</v>
      </c>
      <c r="O185" s="95" t="s">
        <v>1</v>
      </c>
      <c r="P185" s="95" t="s">
        <v>1</v>
      </c>
      <c r="Q185" s="95" t="s">
        <v>1</v>
      </c>
      <c r="R185" s="90">
        <v>26.8</v>
      </c>
      <c r="S185" s="90">
        <v>26.8</v>
      </c>
      <c r="T185" s="90">
        <v>16.5</v>
      </c>
      <c r="U185" s="90">
        <v>15.4</v>
      </c>
      <c r="V185" s="90">
        <v>15</v>
      </c>
      <c r="W185" s="90">
        <v>15.7</v>
      </c>
      <c r="X185" s="90">
        <v>16.899999999999999</v>
      </c>
      <c r="Y185" s="90">
        <v>17.8</v>
      </c>
      <c r="Z185" s="90">
        <v>19.8</v>
      </c>
      <c r="AA185" s="90">
        <v>21.1</v>
      </c>
      <c r="AB185" s="90">
        <v>23.3</v>
      </c>
      <c r="AC185" s="100">
        <v>24.3</v>
      </c>
      <c r="AD185" s="90">
        <v>25.7</v>
      </c>
      <c r="AE185" s="90">
        <v>26.9</v>
      </c>
      <c r="AF185" s="114">
        <v>28</v>
      </c>
      <c r="AG185" s="115">
        <v>28.7</v>
      </c>
      <c r="AH185" s="119">
        <v>29.291</v>
      </c>
      <c r="AI185" s="117">
        <v>29.504999999999999</v>
      </c>
      <c r="AJ185" s="120">
        <v>29.8</v>
      </c>
      <c r="AK185" s="815">
        <v>29.2</v>
      </c>
      <c r="AL185" s="856" t="s">
        <v>1</v>
      </c>
      <c r="AM185" s="856" t="s">
        <v>1</v>
      </c>
      <c r="AN185" s="856" t="s">
        <v>1</v>
      </c>
      <c r="AO185" s="856" t="s">
        <v>1</v>
      </c>
      <c r="AP185" s="856" t="s">
        <v>1</v>
      </c>
      <c r="AQ185" s="856" t="s">
        <v>1</v>
      </c>
      <c r="AR185" s="856" t="s">
        <v>1</v>
      </c>
    </row>
    <row r="186" spans="1:44">
      <c r="A186" s="104" t="s">
        <v>136</v>
      </c>
      <c r="B186" s="94"/>
      <c r="C186" s="95" t="s">
        <v>1</v>
      </c>
      <c r="D186" s="95" t="s">
        <v>1</v>
      </c>
      <c r="E186" s="95" t="s">
        <v>1</v>
      </c>
      <c r="F186" s="95" t="s">
        <v>1</v>
      </c>
      <c r="G186" s="95" t="s">
        <v>1</v>
      </c>
      <c r="H186" s="95" t="s">
        <v>1</v>
      </c>
      <c r="I186" s="95" t="s">
        <v>1</v>
      </c>
      <c r="J186" s="95" t="s">
        <v>1</v>
      </c>
      <c r="K186" s="95" t="s">
        <v>1</v>
      </c>
      <c r="L186" s="95" t="s">
        <v>1</v>
      </c>
      <c r="M186" s="95" t="s">
        <v>1</v>
      </c>
      <c r="N186" s="95" t="s">
        <v>1</v>
      </c>
      <c r="O186" s="95" t="s">
        <v>1</v>
      </c>
      <c r="P186" s="95" t="s">
        <v>1</v>
      </c>
      <c r="Q186" s="95" t="s">
        <v>1</v>
      </c>
      <c r="R186" s="90">
        <v>22.7</v>
      </c>
      <c r="S186" s="90">
        <v>22.3</v>
      </c>
      <c r="T186" s="90">
        <v>22.1</v>
      </c>
      <c r="U186" s="90">
        <v>22.2</v>
      </c>
      <c r="V186" s="90">
        <v>22.1</v>
      </c>
      <c r="W186" s="90">
        <v>22.4</v>
      </c>
      <c r="X186" s="90">
        <v>22.7</v>
      </c>
      <c r="Y186" s="90">
        <v>23.7</v>
      </c>
      <c r="Z186" s="90">
        <v>22.4</v>
      </c>
      <c r="AA186" s="90">
        <v>25</v>
      </c>
      <c r="AB186" s="90">
        <v>28</v>
      </c>
      <c r="AC186" s="100">
        <v>29.3</v>
      </c>
      <c r="AD186" s="90">
        <v>30.7</v>
      </c>
      <c r="AE186" s="90">
        <v>32.200000000000003</v>
      </c>
      <c r="AF186" s="100">
        <v>34.1</v>
      </c>
      <c r="AG186" s="115">
        <v>36</v>
      </c>
      <c r="AH186" s="119">
        <v>37.735999999999997</v>
      </c>
      <c r="AI186" s="117">
        <v>38.246000000000002</v>
      </c>
      <c r="AJ186" s="120">
        <v>39</v>
      </c>
      <c r="AK186" s="815">
        <v>39</v>
      </c>
      <c r="AL186" s="856" t="s">
        <v>1</v>
      </c>
      <c r="AM186" s="856" t="s">
        <v>1</v>
      </c>
      <c r="AN186" s="856" t="s">
        <v>1</v>
      </c>
      <c r="AO186" s="856" t="s">
        <v>1</v>
      </c>
      <c r="AP186" s="856" t="s">
        <v>1</v>
      </c>
      <c r="AQ186" s="856" t="s">
        <v>1</v>
      </c>
      <c r="AR186" s="856" t="s">
        <v>1</v>
      </c>
    </row>
    <row r="187" spans="1:44">
      <c r="A187" s="104" t="s">
        <v>112</v>
      </c>
      <c r="B187" s="94"/>
      <c r="C187" s="95" t="s">
        <v>1</v>
      </c>
      <c r="D187" s="95" t="s">
        <v>1</v>
      </c>
      <c r="E187" s="95" t="s">
        <v>1</v>
      </c>
      <c r="F187" s="95" t="s">
        <v>1</v>
      </c>
      <c r="G187" s="95" t="s">
        <v>1</v>
      </c>
      <c r="H187" s="95" t="s">
        <v>1</v>
      </c>
      <c r="I187" s="95" t="s">
        <v>1</v>
      </c>
      <c r="J187" s="95" t="s">
        <v>1</v>
      </c>
      <c r="K187" s="95" t="s">
        <v>1</v>
      </c>
      <c r="L187" s="95" t="s">
        <v>1</v>
      </c>
      <c r="M187" s="95" t="s">
        <v>1</v>
      </c>
      <c r="N187" s="95" t="s">
        <v>1</v>
      </c>
      <c r="O187" s="95" t="s">
        <v>1</v>
      </c>
      <c r="P187" s="95" t="s">
        <v>1</v>
      </c>
      <c r="Q187" s="95" t="s">
        <v>1</v>
      </c>
      <c r="R187" s="90"/>
      <c r="S187" s="90"/>
      <c r="T187" s="90"/>
      <c r="U187" s="90"/>
      <c r="V187" s="90"/>
      <c r="W187" s="90"/>
      <c r="X187" s="90"/>
      <c r="Y187" s="90"/>
      <c r="Z187" s="90">
        <v>8.6999999999999993</v>
      </c>
      <c r="AA187" s="90">
        <v>9.6</v>
      </c>
      <c r="AB187" s="90">
        <v>11.8</v>
      </c>
      <c r="AC187" s="100">
        <v>13.3</v>
      </c>
      <c r="AD187" s="90">
        <v>15.3</v>
      </c>
      <c r="AE187" s="90">
        <v>17.5</v>
      </c>
      <c r="AF187" s="100">
        <v>19.100000000000001</v>
      </c>
      <c r="AG187" s="115">
        <v>21.7</v>
      </c>
      <c r="AH187" s="119">
        <v>25.452999999999999</v>
      </c>
      <c r="AI187" s="117">
        <v>29.425999999999998</v>
      </c>
      <c r="AJ187" s="120">
        <v>33</v>
      </c>
      <c r="AK187" s="815">
        <v>35.299999999999997</v>
      </c>
      <c r="AL187" s="856" t="s">
        <v>1</v>
      </c>
      <c r="AM187" s="856" t="s">
        <v>1</v>
      </c>
      <c r="AN187" s="856" t="s">
        <v>1</v>
      </c>
      <c r="AO187" s="856" t="s">
        <v>1</v>
      </c>
      <c r="AP187" s="856" t="s">
        <v>1</v>
      </c>
      <c r="AQ187" s="856" t="s">
        <v>1</v>
      </c>
      <c r="AR187" s="856" t="s">
        <v>1</v>
      </c>
    </row>
    <row r="188" spans="1:44">
      <c r="A188" s="104" t="s">
        <v>113</v>
      </c>
      <c r="B188" s="94"/>
      <c r="C188" s="95" t="s">
        <v>1</v>
      </c>
      <c r="D188" s="95" t="s">
        <v>1</v>
      </c>
      <c r="E188" s="95" t="s">
        <v>1</v>
      </c>
      <c r="F188" s="95" t="s">
        <v>1</v>
      </c>
      <c r="G188" s="95" t="s">
        <v>1</v>
      </c>
      <c r="H188" s="95" t="s">
        <v>1</v>
      </c>
      <c r="I188" s="95" t="s">
        <v>1</v>
      </c>
      <c r="J188" s="95" t="s">
        <v>1</v>
      </c>
      <c r="K188" s="95" t="s">
        <v>1</v>
      </c>
      <c r="L188" s="95" t="s">
        <v>1</v>
      </c>
      <c r="M188" s="95" t="s">
        <v>1</v>
      </c>
      <c r="N188" s="95" t="s">
        <v>1</v>
      </c>
      <c r="O188" s="95" t="s">
        <v>1</v>
      </c>
      <c r="P188" s="95" t="s">
        <v>1</v>
      </c>
      <c r="Q188" s="95" t="s">
        <v>1</v>
      </c>
      <c r="R188" s="90">
        <v>23.5</v>
      </c>
      <c r="S188" s="90">
        <v>23.2</v>
      </c>
      <c r="T188" s="90">
        <v>21.6</v>
      </c>
      <c r="U188" s="90">
        <v>21.2</v>
      </c>
      <c r="V188" s="90">
        <v>20.8</v>
      </c>
      <c r="W188" s="90">
        <v>20.7</v>
      </c>
      <c r="X188" s="90">
        <v>21.2</v>
      </c>
      <c r="Y188" s="90">
        <v>22</v>
      </c>
      <c r="Z188" s="90">
        <v>23.5</v>
      </c>
      <c r="AA188" s="90">
        <v>24.6</v>
      </c>
      <c r="AB188" s="90">
        <v>27.1</v>
      </c>
      <c r="AC188" s="100">
        <v>28.5</v>
      </c>
      <c r="AD188" s="90">
        <v>30.1</v>
      </c>
      <c r="AE188" s="90">
        <v>32</v>
      </c>
      <c r="AF188" s="100">
        <v>32.799999999999997</v>
      </c>
      <c r="AG188" s="115">
        <v>33.9</v>
      </c>
      <c r="AH188" s="119">
        <v>35.33</v>
      </c>
      <c r="AI188" s="117">
        <v>36.667999999999999</v>
      </c>
      <c r="AJ188" s="120">
        <v>37.700000000000003</v>
      </c>
      <c r="AK188" s="812">
        <v>37.799999999999997</v>
      </c>
      <c r="AL188" s="856" t="s">
        <v>1</v>
      </c>
      <c r="AM188" s="856" t="s">
        <v>1</v>
      </c>
      <c r="AN188" s="856" t="s">
        <v>1</v>
      </c>
      <c r="AO188" s="856" t="s">
        <v>1</v>
      </c>
      <c r="AP188" s="856" t="s">
        <v>1</v>
      </c>
      <c r="AQ188" s="856" t="s">
        <v>1</v>
      </c>
      <c r="AR188" s="856" t="s">
        <v>1</v>
      </c>
    </row>
    <row r="189" spans="1:44" ht="15">
      <c r="A189" s="93" t="s">
        <v>411</v>
      </c>
      <c r="B189" s="89" t="s">
        <v>185</v>
      </c>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1"/>
      <c r="AD189" s="92"/>
      <c r="AE189" s="40"/>
      <c r="AF189" s="48"/>
      <c r="AG189" s="121"/>
      <c r="AH189" s="50"/>
      <c r="AI189" s="48"/>
      <c r="AJ189" s="16"/>
      <c r="AK189" s="812"/>
      <c r="AL189" s="812"/>
      <c r="AM189" s="812"/>
      <c r="AN189" s="812"/>
      <c r="AO189" s="812"/>
      <c r="AP189" s="812"/>
      <c r="AQ189" s="812"/>
      <c r="AR189" s="812"/>
    </row>
    <row r="190" spans="1:44">
      <c r="A190" s="93" t="s">
        <v>190</v>
      </c>
      <c r="B190" s="94"/>
      <c r="C190" s="95">
        <v>22</v>
      </c>
      <c r="D190" s="95">
        <v>23</v>
      </c>
      <c r="E190" s="95">
        <v>23</v>
      </c>
      <c r="F190" s="95">
        <v>26</v>
      </c>
      <c r="G190" s="95">
        <v>25</v>
      </c>
      <c r="H190" s="95">
        <v>23</v>
      </c>
      <c r="I190" s="95">
        <v>34</v>
      </c>
      <c r="J190" s="95">
        <v>40</v>
      </c>
      <c r="K190" s="95">
        <v>49</v>
      </c>
      <c r="L190" s="95">
        <v>42</v>
      </c>
      <c r="M190" s="95">
        <v>44</v>
      </c>
      <c r="N190" s="95">
        <v>42</v>
      </c>
      <c r="O190" s="95">
        <v>49</v>
      </c>
      <c r="P190" s="95">
        <v>54</v>
      </c>
      <c r="Q190" s="95">
        <v>58</v>
      </c>
      <c r="R190" s="95">
        <v>58</v>
      </c>
      <c r="S190" s="95">
        <v>52</v>
      </c>
      <c r="T190" s="95">
        <v>56</v>
      </c>
      <c r="U190" s="95">
        <v>55</v>
      </c>
      <c r="V190" s="95">
        <v>54</v>
      </c>
      <c r="W190" s="95">
        <v>69</v>
      </c>
      <c r="X190" s="95">
        <v>72</v>
      </c>
      <c r="Y190" s="95">
        <v>74</v>
      </c>
      <c r="Z190" s="95">
        <v>79</v>
      </c>
      <c r="AA190" s="95">
        <v>85</v>
      </c>
      <c r="AB190" s="95">
        <v>85</v>
      </c>
      <c r="AC190" s="100">
        <v>83</v>
      </c>
      <c r="AD190" s="40">
        <v>78</v>
      </c>
      <c r="AE190" s="105">
        <v>76</v>
      </c>
      <c r="AF190" s="100">
        <v>82</v>
      </c>
      <c r="AG190" s="41">
        <v>81</v>
      </c>
      <c r="AH190" s="102">
        <v>96</v>
      </c>
      <c r="AI190" s="122">
        <v>95</v>
      </c>
      <c r="AJ190" s="16">
        <v>96</v>
      </c>
      <c r="AK190" s="812">
        <v>97</v>
      </c>
      <c r="AL190" s="856" t="s">
        <v>1</v>
      </c>
      <c r="AM190" s="856" t="s">
        <v>1</v>
      </c>
      <c r="AN190" s="856" t="s">
        <v>1</v>
      </c>
      <c r="AO190" s="856" t="s">
        <v>1</v>
      </c>
      <c r="AP190" s="856" t="s">
        <v>1</v>
      </c>
      <c r="AQ190" s="856" t="s">
        <v>1</v>
      </c>
      <c r="AR190" s="856" t="s">
        <v>1</v>
      </c>
    </row>
    <row r="191" spans="1:44">
      <c r="A191" s="99" t="s">
        <v>169</v>
      </c>
      <c r="B191" s="94"/>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100"/>
      <c r="AD191" s="40"/>
      <c r="AE191" s="97"/>
      <c r="AF191" s="100"/>
      <c r="AG191" s="41"/>
      <c r="AH191" s="50"/>
      <c r="AI191" s="122"/>
      <c r="AJ191" s="16"/>
      <c r="AK191" s="812"/>
      <c r="AL191" s="812"/>
      <c r="AM191" s="812"/>
      <c r="AN191" s="812"/>
      <c r="AO191" s="812"/>
      <c r="AP191" s="812"/>
      <c r="AQ191" s="812"/>
      <c r="AR191" s="812"/>
    </row>
    <row r="192" spans="1:44">
      <c r="A192" s="104" t="s">
        <v>109</v>
      </c>
      <c r="B192" s="94"/>
      <c r="C192" s="95" t="s">
        <v>1</v>
      </c>
      <c r="D192" s="95" t="s">
        <v>1</v>
      </c>
      <c r="E192" s="95" t="s">
        <v>1</v>
      </c>
      <c r="F192" s="95" t="s">
        <v>1</v>
      </c>
      <c r="G192" s="95" t="s">
        <v>1</v>
      </c>
      <c r="H192" s="95" t="s">
        <v>1</v>
      </c>
      <c r="I192" s="95" t="s">
        <v>1</v>
      </c>
      <c r="J192" s="95" t="s">
        <v>1</v>
      </c>
      <c r="K192" s="95" t="s">
        <v>1</v>
      </c>
      <c r="L192" s="95" t="s">
        <v>1</v>
      </c>
      <c r="M192" s="95" t="s">
        <v>1</v>
      </c>
      <c r="N192" s="95" t="s">
        <v>1</v>
      </c>
      <c r="O192" s="95" t="s">
        <v>1</v>
      </c>
      <c r="P192" s="95" t="s">
        <v>1</v>
      </c>
      <c r="Q192" s="95" t="s">
        <v>1</v>
      </c>
      <c r="R192" s="95">
        <v>15</v>
      </c>
      <c r="S192" s="95">
        <v>14</v>
      </c>
      <c r="T192" s="95">
        <v>13</v>
      </c>
      <c r="U192" s="95">
        <v>21</v>
      </c>
      <c r="V192" s="95">
        <v>20</v>
      </c>
      <c r="W192" s="95">
        <v>23</v>
      </c>
      <c r="X192" s="95">
        <v>25</v>
      </c>
      <c r="Y192" s="95">
        <v>26</v>
      </c>
      <c r="Z192" s="95">
        <v>25</v>
      </c>
      <c r="AA192" s="95">
        <v>27</v>
      </c>
      <c r="AB192" s="95">
        <v>26</v>
      </c>
      <c r="AC192" s="100">
        <v>24</v>
      </c>
      <c r="AD192" s="40">
        <v>23</v>
      </c>
      <c r="AE192" s="105">
        <v>22</v>
      </c>
      <c r="AF192" s="100">
        <v>24</v>
      </c>
      <c r="AG192" s="41">
        <v>26</v>
      </c>
      <c r="AH192" s="102">
        <v>33</v>
      </c>
      <c r="AI192" s="122">
        <v>35</v>
      </c>
      <c r="AJ192" s="111">
        <v>35</v>
      </c>
      <c r="AK192" s="816">
        <v>33</v>
      </c>
      <c r="AL192" s="856" t="s">
        <v>1</v>
      </c>
      <c r="AM192" s="856" t="s">
        <v>1</v>
      </c>
      <c r="AN192" s="856" t="s">
        <v>1</v>
      </c>
      <c r="AO192" s="856" t="s">
        <v>1</v>
      </c>
      <c r="AP192" s="856" t="s">
        <v>1</v>
      </c>
      <c r="AQ192" s="856" t="s">
        <v>1</v>
      </c>
      <c r="AR192" s="856" t="s">
        <v>1</v>
      </c>
    </row>
    <row r="193" spans="1:44">
      <c r="A193" s="104" t="s">
        <v>135</v>
      </c>
      <c r="B193" s="94"/>
      <c r="C193" s="95" t="s">
        <v>1</v>
      </c>
      <c r="D193" s="95" t="s">
        <v>1</v>
      </c>
      <c r="E193" s="95" t="s">
        <v>1</v>
      </c>
      <c r="F193" s="95" t="s">
        <v>1</v>
      </c>
      <c r="G193" s="95" t="s">
        <v>1</v>
      </c>
      <c r="H193" s="95" t="s">
        <v>1</v>
      </c>
      <c r="I193" s="95" t="s">
        <v>1</v>
      </c>
      <c r="J193" s="95" t="s">
        <v>1</v>
      </c>
      <c r="K193" s="95" t="s">
        <v>1</v>
      </c>
      <c r="L193" s="95" t="s">
        <v>1</v>
      </c>
      <c r="M193" s="95" t="s">
        <v>1</v>
      </c>
      <c r="N193" s="95" t="s">
        <v>1</v>
      </c>
      <c r="O193" s="95" t="s">
        <v>1</v>
      </c>
      <c r="P193" s="95" t="s">
        <v>1</v>
      </c>
      <c r="Q193" s="95" t="s">
        <v>1</v>
      </c>
      <c r="R193" s="95"/>
      <c r="S193" s="95"/>
      <c r="T193" s="95"/>
      <c r="U193" s="95"/>
      <c r="V193" s="95"/>
      <c r="W193" s="95">
        <v>1</v>
      </c>
      <c r="X193" s="95">
        <v>1</v>
      </c>
      <c r="Y193" s="95">
        <v>1</v>
      </c>
      <c r="Z193" s="95">
        <v>2</v>
      </c>
      <c r="AA193" s="95">
        <v>2</v>
      </c>
      <c r="AB193" s="95">
        <v>2</v>
      </c>
      <c r="AC193" s="100">
        <v>2</v>
      </c>
      <c r="AD193" s="40">
        <v>2</v>
      </c>
      <c r="AE193" s="105">
        <v>2</v>
      </c>
      <c r="AF193" s="100">
        <v>2</v>
      </c>
      <c r="AG193" s="41">
        <v>3</v>
      </c>
      <c r="AH193" s="102">
        <v>3</v>
      </c>
      <c r="AI193" s="122">
        <v>3</v>
      </c>
      <c r="AJ193" s="111">
        <v>3</v>
      </c>
      <c r="AK193" s="816">
        <v>3</v>
      </c>
      <c r="AL193" s="856" t="s">
        <v>1</v>
      </c>
      <c r="AM193" s="856" t="s">
        <v>1</v>
      </c>
      <c r="AN193" s="856" t="s">
        <v>1</v>
      </c>
      <c r="AO193" s="856" t="s">
        <v>1</v>
      </c>
      <c r="AP193" s="856" t="s">
        <v>1</v>
      </c>
      <c r="AQ193" s="856" t="s">
        <v>1</v>
      </c>
      <c r="AR193" s="856" t="s">
        <v>1</v>
      </c>
    </row>
    <row r="194" spans="1:44">
      <c r="A194" s="104" t="s">
        <v>110</v>
      </c>
      <c r="B194" s="94"/>
      <c r="C194" s="95" t="s">
        <v>1</v>
      </c>
      <c r="D194" s="95" t="s">
        <v>1</v>
      </c>
      <c r="E194" s="95" t="s">
        <v>1</v>
      </c>
      <c r="F194" s="95" t="s">
        <v>1</v>
      </c>
      <c r="G194" s="95" t="s">
        <v>1</v>
      </c>
      <c r="H194" s="95" t="s">
        <v>1</v>
      </c>
      <c r="I194" s="95" t="s">
        <v>1</v>
      </c>
      <c r="J194" s="95" t="s">
        <v>1</v>
      </c>
      <c r="K194" s="95" t="s">
        <v>1</v>
      </c>
      <c r="L194" s="95" t="s">
        <v>1</v>
      </c>
      <c r="M194" s="95" t="s">
        <v>1</v>
      </c>
      <c r="N194" s="95" t="s">
        <v>1</v>
      </c>
      <c r="O194" s="95" t="s">
        <v>1</v>
      </c>
      <c r="P194" s="95" t="s">
        <v>1</v>
      </c>
      <c r="Q194" s="95" t="s">
        <v>1</v>
      </c>
      <c r="R194" s="95">
        <v>10</v>
      </c>
      <c r="S194" s="95">
        <v>9</v>
      </c>
      <c r="T194" s="95">
        <v>12</v>
      </c>
      <c r="U194" s="95">
        <v>12</v>
      </c>
      <c r="V194" s="95">
        <v>11</v>
      </c>
      <c r="W194" s="95">
        <v>16</v>
      </c>
      <c r="X194" s="95">
        <v>18</v>
      </c>
      <c r="Y194" s="95">
        <v>18</v>
      </c>
      <c r="Z194" s="95">
        <v>21</v>
      </c>
      <c r="AA194" s="95">
        <v>22</v>
      </c>
      <c r="AB194" s="95">
        <v>22</v>
      </c>
      <c r="AC194" s="100">
        <v>22</v>
      </c>
      <c r="AD194" s="40">
        <v>22</v>
      </c>
      <c r="AE194" s="105">
        <v>21</v>
      </c>
      <c r="AF194" s="100">
        <v>21</v>
      </c>
      <c r="AG194" s="41">
        <v>19</v>
      </c>
      <c r="AH194" s="102">
        <v>19</v>
      </c>
      <c r="AI194" s="122">
        <v>19</v>
      </c>
      <c r="AJ194" s="111">
        <v>19</v>
      </c>
      <c r="AK194" s="816">
        <v>21</v>
      </c>
      <c r="AL194" s="856" t="s">
        <v>1</v>
      </c>
      <c r="AM194" s="856" t="s">
        <v>1</v>
      </c>
      <c r="AN194" s="856" t="s">
        <v>1</v>
      </c>
      <c r="AO194" s="856" t="s">
        <v>1</v>
      </c>
      <c r="AP194" s="856" t="s">
        <v>1</v>
      </c>
      <c r="AQ194" s="856" t="s">
        <v>1</v>
      </c>
      <c r="AR194" s="856" t="s">
        <v>1</v>
      </c>
    </row>
    <row r="195" spans="1:44">
      <c r="A195" s="104" t="s">
        <v>111</v>
      </c>
      <c r="B195" s="94"/>
      <c r="C195" s="95" t="s">
        <v>1</v>
      </c>
      <c r="D195" s="95" t="s">
        <v>1</v>
      </c>
      <c r="E195" s="95" t="s">
        <v>1</v>
      </c>
      <c r="F195" s="95" t="s">
        <v>1</v>
      </c>
      <c r="G195" s="95" t="s">
        <v>1</v>
      </c>
      <c r="H195" s="95" t="s">
        <v>1</v>
      </c>
      <c r="I195" s="95" t="s">
        <v>1</v>
      </c>
      <c r="J195" s="95" t="s">
        <v>1</v>
      </c>
      <c r="K195" s="95" t="s">
        <v>1</v>
      </c>
      <c r="L195" s="95" t="s">
        <v>1</v>
      </c>
      <c r="M195" s="95" t="s">
        <v>1</v>
      </c>
      <c r="N195" s="95" t="s">
        <v>1</v>
      </c>
      <c r="O195" s="95" t="s">
        <v>1</v>
      </c>
      <c r="P195" s="95" t="s">
        <v>1</v>
      </c>
      <c r="Q195" s="95" t="s">
        <v>1</v>
      </c>
      <c r="R195" s="95">
        <v>13</v>
      </c>
      <c r="S195" s="95">
        <v>11</v>
      </c>
      <c r="T195" s="95">
        <v>11</v>
      </c>
      <c r="U195" s="95">
        <v>9</v>
      </c>
      <c r="V195" s="95">
        <v>10</v>
      </c>
      <c r="W195" s="95">
        <v>12</v>
      </c>
      <c r="X195" s="95">
        <v>13</v>
      </c>
      <c r="Y195" s="95">
        <v>13</v>
      </c>
      <c r="Z195" s="95">
        <v>14</v>
      </c>
      <c r="AA195" s="95">
        <v>19</v>
      </c>
      <c r="AB195" s="95">
        <v>16</v>
      </c>
      <c r="AC195" s="100">
        <v>16</v>
      </c>
      <c r="AD195" s="40">
        <v>12</v>
      </c>
      <c r="AE195" s="105">
        <v>14</v>
      </c>
      <c r="AF195" s="100">
        <v>16</v>
      </c>
      <c r="AG195" s="41">
        <v>15</v>
      </c>
      <c r="AH195" s="102">
        <v>23</v>
      </c>
      <c r="AI195" s="122">
        <v>18</v>
      </c>
      <c r="AJ195" s="111">
        <v>19</v>
      </c>
      <c r="AK195" s="816">
        <v>21</v>
      </c>
      <c r="AL195" s="856" t="s">
        <v>1</v>
      </c>
      <c r="AM195" s="856" t="s">
        <v>1</v>
      </c>
      <c r="AN195" s="856" t="s">
        <v>1</v>
      </c>
      <c r="AO195" s="856" t="s">
        <v>1</v>
      </c>
      <c r="AP195" s="856" t="s">
        <v>1</v>
      </c>
      <c r="AQ195" s="856" t="s">
        <v>1</v>
      </c>
      <c r="AR195" s="856" t="s">
        <v>1</v>
      </c>
    </row>
    <row r="196" spans="1:44">
      <c r="A196" s="104" t="s">
        <v>388</v>
      </c>
      <c r="B196" s="94"/>
      <c r="C196" s="95" t="s">
        <v>1</v>
      </c>
      <c r="D196" s="95" t="s">
        <v>1</v>
      </c>
      <c r="E196" s="95" t="s">
        <v>1</v>
      </c>
      <c r="F196" s="95" t="s">
        <v>1</v>
      </c>
      <c r="G196" s="95" t="s">
        <v>1</v>
      </c>
      <c r="H196" s="95" t="s">
        <v>1</v>
      </c>
      <c r="I196" s="95" t="s">
        <v>1</v>
      </c>
      <c r="J196" s="95" t="s">
        <v>1</v>
      </c>
      <c r="K196" s="95" t="s">
        <v>1</v>
      </c>
      <c r="L196" s="95" t="s">
        <v>1</v>
      </c>
      <c r="M196" s="95" t="s">
        <v>1</v>
      </c>
      <c r="N196" s="95" t="s">
        <v>1</v>
      </c>
      <c r="O196" s="95" t="s">
        <v>1</v>
      </c>
      <c r="P196" s="95" t="s">
        <v>1</v>
      </c>
      <c r="Q196" s="95" t="s">
        <v>1</v>
      </c>
      <c r="R196" s="95">
        <v>6</v>
      </c>
      <c r="S196" s="95">
        <v>8</v>
      </c>
      <c r="T196" s="95">
        <v>10</v>
      </c>
      <c r="U196" s="95">
        <v>5</v>
      </c>
      <c r="V196" s="95">
        <v>5</v>
      </c>
      <c r="W196" s="95">
        <v>7</v>
      </c>
      <c r="X196" s="95">
        <v>5</v>
      </c>
      <c r="Y196" s="95">
        <v>6</v>
      </c>
      <c r="Z196" s="95">
        <v>7</v>
      </c>
      <c r="AA196" s="95">
        <v>7</v>
      </c>
      <c r="AB196" s="95">
        <v>6</v>
      </c>
      <c r="AC196" s="100">
        <v>6</v>
      </c>
      <c r="AD196" s="40">
        <v>5</v>
      </c>
      <c r="AE196" s="105">
        <v>5</v>
      </c>
      <c r="AF196" s="100">
        <v>6</v>
      </c>
      <c r="AG196" s="41">
        <v>6</v>
      </c>
      <c r="AH196" s="102">
        <v>4</v>
      </c>
      <c r="AI196" s="122">
        <v>4</v>
      </c>
      <c r="AJ196" s="111">
        <v>4</v>
      </c>
      <c r="AK196" s="816">
        <v>3</v>
      </c>
      <c r="AL196" s="856" t="s">
        <v>1</v>
      </c>
      <c r="AM196" s="856" t="s">
        <v>1</v>
      </c>
      <c r="AN196" s="856" t="s">
        <v>1</v>
      </c>
      <c r="AO196" s="856" t="s">
        <v>1</v>
      </c>
      <c r="AP196" s="856" t="s">
        <v>1</v>
      </c>
      <c r="AQ196" s="856" t="s">
        <v>1</v>
      </c>
      <c r="AR196" s="856" t="s">
        <v>1</v>
      </c>
    </row>
    <row r="197" spans="1:44">
      <c r="A197" s="104" t="s">
        <v>136</v>
      </c>
      <c r="B197" s="94"/>
      <c r="C197" s="95" t="s">
        <v>1</v>
      </c>
      <c r="D197" s="95" t="s">
        <v>1</v>
      </c>
      <c r="E197" s="95" t="s">
        <v>1</v>
      </c>
      <c r="F197" s="95" t="s">
        <v>1</v>
      </c>
      <c r="G197" s="95" t="s">
        <v>1</v>
      </c>
      <c r="H197" s="95" t="s">
        <v>1</v>
      </c>
      <c r="I197" s="95" t="s">
        <v>1</v>
      </c>
      <c r="J197" s="95" t="s">
        <v>1</v>
      </c>
      <c r="K197" s="95" t="s">
        <v>1</v>
      </c>
      <c r="L197" s="95" t="s">
        <v>1</v>
      </c>
      <c r="M197" s="95" t="s">
        <v>1</v>
      </c>
      <c r="N197" s="95" t="s">
        <v>1</v>
      </c>
      <c r="O197" s="95" t="s">
        <v>1</v>
      </c>
      <c r="P197" s="95" t="s">
        <v>1</v>
      </c>
      <c r="Q197" s="95" t="s">
        <v>1</v>
      </c>
      <c r="R197" s="95">
        <v>9</v>
      </c>
      <c r="S197" s="95">
        <v>7</v>
      </c>
      <c r="T197" s="95">
        <v>6</v>
      </c>
      <c r="U197" s="95">
        <v>6</v>
      </c>
      <c r="V197" s="95">
        <v>6</v>
      </c>
      <c r="W197" s="95">
        <v>7</v>
      </c>
      <c r="X197" s="95">
        <v>7</v>
      </c>
      <c r="Y197" s="95">
        <v>6</v>
      </c>
      <c r="Z197" s="95">
        <v>6</v>
      </c>
      <c r="AA197" s="95">
        <v>6</v>
      </c>
      <c r="AB197" s="95">
        <v>8</v>
      </c>
      <c r="AC197" s="100">
        <v>8</v>
      </c>
      <c r="AD197" s="40">
        <v>9</v>
      </c>
      <c r="AE197" s="105">
        <v>9</v>
      </c>
      <c r="AF197" s="100">
        <v>9</v>
      </c>
      <c r="AG197" s="41">
        <v>8</v>
      </c>
      <c r="AH197" s="102">
        <v>9</v>
      </c>
      <c r="AI197" s="122">
        <v>10</v>
      </c>
      <c r="AJ197" s="111">
        <v>10</v>
      </c>
      <c r="AK197" s="816">
        <v>10</v>
      </c>
      <c r="AL197" s="856" t="s">
        <v>1</v>
      </c>
      <c r="AM197" s="856" t="s">
        <v>1</v>
      </c>
      <c r="AN197" s="856" t="s">
        <v>1</v>
      </c>
      <c r="AO197" s="856" t="s">
        <v>1</v>
      </c>
      <c r="AP197" s="856" t="s">
        <v>1</v>
      </c>
      <c r="AQ197" s="856" t="s">
        <v>1</v>
      </c>
      <c r="AR197" s="856" t="s">
        <v>1</v>
      </c>
    </row>
    <row r="198" spans="1:44">
      <c r="A198" s="104" t="s">
        <v>112</v>
      </c>
      <c r="B198" s="94"/>
      <c r="C198" s="95" t="s">
        <v>1</v>
      </c>
      <c r="D198" s="95" t="s">
        <v>1</v>
      </c>
      <c r="E198" s="95" t="s">
        <v>1</v>
      </c>
      <c r="F198" s="95" t="s">
        <v>1</v>
      </c>
      <c r="G198" s="95" t="s">
        <v>1</v>
      </c>
      <c r="H198" s="95" t="s">
        <v>1</v>
      </c>
      <c r="I198" s="95" t="s">
        <v>1</v>
      </c>
      <c r="J198" s="95" t="s">
        <v>1</v>
      </c>
      <c r="K198" s="95" t="s">
        <v>1</v>
      </c>
      <c r="L198" s="95" t="s">
        <v>1</v>
      </c>
      <c r="M198" s="95" t="s">
        <v>1</v>
      </c>
      <c r="N198" s="95" t="s">
        <v>1</v>
      </c>
      <c r="O198" s="95" t="s">
        <v>1</v>
      </c>
      <c r="P198" s="95" t="s">
        <v>1</v>
      </c>
      <c r="Q198" s="95" t="s">
        <v>1</v>
      </c>
      <c r="R198" s="95"/>
      <c r="S198" s="95"/>
      <c r="T198" s="95"/>
      <c r="U198" s="95"/>
      <c r="V198" s="95"/>
      <c r="W198" s="95"/>
      <c r="X198" s="95"/>
      <c r="Y198" s="95" t="s">
        <v>1</v>
      </c>
      <c r="Z198" s="95" t="s">
        <v>1</v>
      </c>
      <c r="AA198" s="95" t="s">
        <v>1</v>
      </c>
      <c r="AB198" s="95" t="s">
        <v>1</v>
      </c>
      <c r="AC198" s="105" t="s">
        <v>1</v>
      </c>
      <c r="AD198" s="57" t="s">
        <v>1</v>
      </c>
      <c r="AE198" s="123" t="s">
        <v>1</v>
      </c>
      <c r="AF198" s="105" t="s">
        <v>1</v>
      </c>
      <c r="AG198" s="108" t="s">
        <v>1</v>
      </c>
      <c r="AH198" s="102" t="s">
        <v>1</v>
      </c>
      <c r="AI198" s="122" t="s">
        <v>1</v>
      </c>
      <c r="AJ198" s="111" t="s">
        <v>1</v>
      </c>
      <c r="AK198" s="816" t="s">
        <v>1</v>
      </c>
      <c r="AL198" s="856" t="s">
        <v>1</v>
      </c>
      <c r="AM198" s="856" t="s">
        <v>1</v>
      </c>
      <c r="AN198" s="856" t="s">
        <v>1</v>
      </c>
      <c r="AO198" s="856" t="s">
        <v>1</v>
      </c>
      <c r="AP198" s="856" t="s">
        <v>1</v>
      </c>
      <c r="AQ198" s="856" t="s">
        <v>1</v>
      </c>
      <c r="AR198" s="856" t="s">
        <v>1</v>
      </c>
    </row>
    <row r="199" spans="1:44">
      <c r="A199" s="104" t="s">
        <v>113</v>
      </c>
      <c r="B199" s="94"/>
      <c r="C199" s="95" t="s">
        <v>1</v>
      </c>
      <c r="D199" s="95" t="s">
        <v>1</v>
      </c>
      <c r="E199" s="95" t="s">
        <v>1</v>
      </c>
      <c r="F199" s="95" t="s">
        <v>1</v>
      </c>
      <c r="G199" s="95" t="s">
        <v>1</v>
      </c>
      <c r="H199" s="95" t="s">
        <v>1</v>
      </c>
      <c r="I199" s="95" t="s">
        <v>1</v>
      </c>
      <c r="J199" s="95" t="s">
        <v>1</v>
      </c>
      <c r="K199" s="95" t="s">
        <v>1</v>
      </c>
      <c r="L199" s="95" t="s">
        <v>1</v>
      </c>
      <c r="M199" s="95" t="s">
        <v>1</v>
      </c>
      <c r="N199" s="95" t="s">
        <v>1</v>
      </c>
      <c r="O199" s="95" t="s">
        <v>1</v>
      </c>
      <c r="P199" s="95" t="s">
        <v>1</v>
      </c>
      <c r="Q199" s="95" t="s">
        <v>1</v>
      </c>
      <c r="R199" s="95">
        <v>5</v>
      </c>
      <c r="S199" s="95">
        <v>3</v>
      </c>
      <c r="T199" s="95">
        <v>4</v>
      </c>
      <c r="U199" s="95">
        <v>2</v>
      </c>
      <c r="V199" s="95">
        <v>2</v>
      </c>
      <c r="W199" s="95">
        <v>3</v>
      </c>
      <c r="X199" s="95">
        <v>3</v>
      </c>
      <c r="Y199" s="95">
        <v>4</v>
      </c>
      <c r="Z199" s="95">
        <v>4</v>
      </c>
      <c r="AA199" s="95">
        <v>4</v>
      </c>
      <c r="AB199" s="95">
        <v>5</v>
      </c>
      <c r="AC199" s="105">
        <v>5</v>
      </c>
      <c r="AD199" s="40">
        <v>5</v>
      </c>
      <c r="AE199" s="105">
        <v>3</v>
      </c>
      <c r="AF199" s="100">
        <v>4</v>
      </c>
      <c r="AG199" s="124">
        <v>4</v>
      </c>
      <c r="AH199" s="102">
        <v>5</v>
      </c>
      <c r="AI199" s="122">
        <v>6</v>
      </c>
      <c r="AJ199" s="16">
        <v>6</v>
      </c>
      <c r="AK199" s="816">
        <v>6</v>
      </c>
      <c r="AL199" s="856" t="s">
        <v>1</v>
      </c>
      <c r="AM199" s="856" t="s">
        <v>1</v>
      </c>
      <c r="AN199" s="856" t="s">
        <v>1</v>
      </c>
      <c r="AO199" s="856" t="s">
        <v>1</v>
      </c>
      <c r="AP199" s="856" t="s">
        <v>1</v>
      </c>
      <c r="AQ199" s="856" t="s">
        <v>1</v>
      </c>
      <c r="AR199" s="856" t="s">
        <v>1</v>
      </c>
    </row>
    <row r="200" spans="1:44">
      <c r="A200" s="93" t="s">
        <v>187</v>
      </c>
      <c r="B200" s="112" t="s">
        <v>181</v>
      </c>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1"/>
      <c r="AD200" s="125"/>
      <c r="AE200" s="40"/>
      <c r="AF200" s="48"/>
      <c r="AG200" s="41"/>
      <c r="AH200" s="50"/>
      <c r="AI200" s="43"/>
      <c r="AJ200" s="16"/>
      <c r="AK200" s="812"/>
      <c r="AL200" s="812"/>
      <c r="AM200" s="812"/>
      <c r="AN200" s="812"/>
      <c r="AO200" s="812"/>
      <c r="AP200" s="812"/>
      <c r="AQ200" s="812"/>
      <c r="AR200" s="812"/>
    </row>
    <row r="201" spans="1:44">
      <c r="A201" s="93" t="s">
        <v>190</v>
      </c>
      <c r="B201" s="94"/>
      <c r="C201" s="90">
        <v>26</v>
      </c>
      <c r="D201" s="90">
        <v>26</v>
      </c>
      <c r="E201" s="90">
        <v>22</v>
      </c>
      <c r="F201" s="90">
        <v>20.8</v>
      </c>
      <c r="G201" s="90">
        <v>18.899999999999999</v>
      </c>
      <c r="H201" s="90">
        <v>17.3</v>
      </c>
      <c r="I201" s="90">
        <v>17.3</v>
      </c>
      <c r="J201" s="90">
        <v>18.600000000000001</v>
      </c>
      <c r="K201" s="90">
        <v>16.8</v>
      </c>
      <c r="L201" s="90">
        <v>17.5</v>
      </c>
      <c r="M201" s="90">
        <v>21.1</v>
      </c>
      <c r="N201" s="90">
        <v>25.2</v>
      </c>
      <c r="O201" s="90">
        <v>31.5</v>
      </c>
      <c r="P201" s="90">
        <v>45.2</v>
      </c>
      <c r="Q201" s="90">
        <v>54.5</v>
      </c>
      <c r="R201" s="90">
        <v>64.3</v>
      </c>
      <c r="S201" s="90">
        <v>73.400000000000006</v>
      </c>
      <c r="T201" s="90">
        <v>71.2</v>
      </c>
      <c r="U201" s="90">
        <v>65.400000000000006</v>
      </c>
      <c r="V201" s="90">
        <v>72.7</v>
      </c>
      <c r="W201" s="90">
        <v>70.900000000000006</v>
      </c>
      <c r="X201" s="90">
        <v>71.2</v>
      </c>
      <c r="Y201" s="90">
        <v>67.900000000000006</v>
      </c>
      <c r="Z201" s="90">
        <v>67.400000000000006</v>
      </c>
      <c r="AA201" s="90">
        <v>67.900000000000006</v>
      </c>
      <c r="AB201" s="90">
        <v>67.900000000000006</v>
      </c>
      <c r="AC201" s="123">
        <v>68.900000000000006</v>
      </c>
      <c r="AD201" s="126">
        <v>71</v>
      </c>
      <c r="AE201" s="127">
        <v>72.400000000000006</v>
      </c>
      <c r="AF201" s="127">
        <v>74.599999999999994</v>
      </c>
      <c r="AG201" s="128">
        <v>78.900000000000006</v>
      </c>
      <c r="AH201" s="252">
        <v>85.3</v>
      </c>
      <c r="AI201" s="135">
        <v>88.284999999999997</v>
      </c>
      <c r="AJ201" s="117">
        <v>90.533000000000001</v>
      </c>
      <c r="AK201" s="812">
        <v>91.4</v>
      </c>
      <c r="AL201" s="856" t="s">
        <v>1</v>
      </c>
      <c r="AM201" s="856" t="s">
        <v>1</v>
      </c>
      <c r="AN201" s="856" t="s">
        <v>1</v>
      </c>
      <c r="AO201" s="856" t="s">
        <v>1</v>
      </c>
      <c r="AP201" s="856" t="s">
        <v>1</v>
      </c>
      <c r="AQ201" s="856" t="s">
        <v>1</v>
      </c>
      <c r="AR201" s="856" t="s">
        <v>1</v>
      </c>
    </row>
    <row r="202" spans="1:44">
      <c r="A202" s="99" t="s">
        <v>169</v>
      </c>
      <c r="B202" s="94"/>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123"/>
      <c r="AD202" s="126"/>
      <c r="AE202" s="97"/>
      <c r="AF202" s="127"/>
      <c r="AG202" s="128"/>
      <c r="AH202" s="319"/>
      <c r="AI202" s="135"/>
      <c r="AJ202" s="117"/>
      <c r="AK202" s="812"/>
      <c r="AL202" s="812"/>
      <c r="AM202" s="812"/>
      <c r="AN202" s="812"/>
      <c r="AO202" s="812"/>
      <c r="AP202" s="812"/>
      <c r="AQ202" s="812"/>
      <c r="AR202" s="812"/>
    </row>
    <row r="203" spans="1:44">
      <c r="A203" s="104" t="s">
        <v>109</v>
      </c>
      <c r="B203" s="94"/>
      <c r="C203" s="95" t="s">
        <v>1</v>
      </c>
      <c r="D203" s="95" t="s">
        <v>1</v>
      </c>
      <c r="E203" s="95" t="s">
        <v>1</v>
      </c>
      <c r="F203" s="95" t="s">
        <v>1</v>
      </c>
      <c r="G203" s="95" t="s">
        <v>1</v>
      </c>
      <c r="H203" s="95" t="s">
        <v>1</v>
      </c>
      <c r="I203" s="95" t="s">
        <v>1</v>
      </c>
      <c r="J203" s="95" t="s">
        <v>1</v>
      </c>
      <c r="K203" s="95" t="s">
        <v>1</v>
      </c>
      <c r="L203" s="95" t="s">
        <v>1</v>
      </c>
      <c r="M203" s="95" t="s">
        <v>1</v>
      </c>
      <c r="N203" s="95" t="s">
        <v>1</v>
      </c>
      <c r="O203" s="95" t="s">
        <v>1</v>
      </c>
      <c r="P203" s="95" t="s">
        <v>1</v>
      </c>
      <c r="Q203" s="95" t="s">
        <v>1</v>
      </c>
      <c r="R203" s="90">
        <v>18.3</v>
      </c>
      <c r="S203" s="90">
        <v>20.9</v>
      </c>
      <c r="T203" s="90">
        <v>18.5</v>
      </c>
      <c r="U203" s="90">
        <v>20.6</v>
      </c>
      <c r="V203" s="90">
        <v>23</v>
      </c>
      <c r="W203" s="90">
        <v>23.5</v>
      </c>
      <c r="X203" s="90">
        <v>24.5</v>
      </c>
      <c r="Y203" s="90">
        <v>22.2</v>
      </c>
      <c r="Z203" s="90">
        <v>19.5</v>
      </c>
      <c r="AA203" s="90">
        <v>20.100000000000001</v>
      </c>
      <c r="AB203" s="90">
        <v>19.2</v>
      </c>
      <c r="AC203" s="123">
        <v>18.8</v>
      </c>
      <c r="AD203" s="126">
        <v>19.899999999999999</v>
      </c>
      <c r="AE203" s="127">
        <v>20.100000000000001</v>
      </c>
      <c r="AF203" s="127">
        <v>20.9</v>
      </c>
      <c r="AG203" s="128">
        <v>23.1</v>
      </c>
      <c r="AH203" s="252">
        <v>27.1</v>
      </c>
      <c r="AI203" s="135">
        <v>30</v>
      </c>
      <c r="AJ203" s="117">
        <v>31.324999999999999</v>
      </c>
      <c r="AK203" s="816">
        <v>30.1</v>
      </c>
      <c r="AL203" s="856" t="s">
        <v>1</v>
      </c>
      <c r="AM203" s="856" t="s">
        <v>1</v>
      </c>
      <c r="AN203" s="856" t="s">
        <v>1</v>
      </c>
      <c r="AO203" s="856" t="s">
        <v>1</v>
      </c>
      <c r="AP203" s="856" t="s">
        <v>1</v>
      </c>
      <c r="AQ203" s="856" t="s">
        <v>1</v>
      </c>
      <c r="AR203" s="856" t="s">
        <v>1</v>
      </c>
    </row>
    <row r="204" spans="1:44">
      <c r="A204" s="104" t="s">
        <v>135</v>
      </c>
      <c r="B204" s="94"/>
      <c r="C204" s="95" t="s">
        <v>1</v>
      </c>
      <c r="D204" s="95" t="s">
        <v>1</v>
      </c>
      <c r="E204" s="95" t="s">
        <v>1</v>
      </c>
      <c r="F204" s="95" t="s">
        <v>1</v>
      </c>
      <c r="G204" s="95" t="s">
        <v>1</v>
      </c>
      <c r="H204" s="95" t="s">
        <v>1</v>
      </c>
      <c r="I204" s="95" t="s">
        <v>1</v>
      </c>
      <c r="J204" s="95" t="s">
        <v>1</v>
      </c>
      <c r="K204" s="95" t="s">
        <v>1</v>
      </c>
      <c r="L204" s="95" t="s">
        <v>1</v>
      </c>
      <c r="M204" s="95" t="s">
        <v>1</v>
      </c>
      <c r="N204" s="95" t="s">
        <v>1</v>
      </c>
      <c r="O204" s="95" t="s">
        <v>1</v>
      </c>
      <c r="P204" s="95" t="s">
        <v>1</v>
      </c>
      <c r="Q204" s="95" t="s">
        <v>1</v>
      </c>
      <c r="R204" s="95" t="s">
        <v>1</v>
      </c>
      <c r="S204" s="95" t="s">
        <v>1</v>
      </c>
      <c r="T204" s="95" t="s">
        <v>1</v>
      </c>
      <c r="U204" s="95" t="s">
        <v>1</v>
      </c>
      <c r="V204" s="95" t="s">
        <v>1</v>
      </c>
      <c r="W204" s="90">
        <v>0.1</v>
      </c>
      <c r="X204" s="90">
        <v>0.2</v>
      </c>
      <c r="Y204" s="90">
        <v>0.2</v>
      </c>
      <c r="Z204" s="90">
        <v>1.2</v>
      </c>
      <c r="AA204" s="90">
        <v>1.2</v>
      </c>
      <c r="AB204" s="90">
        <v>1.1000000000000001</v>
      </c>
      <c r="AC204" s="123">
        <v>1.1000000000000001</v>
      </c>
      <c r="AD204" s="126">
        <v>1</v>
      </c>
      <c r="AE204" s="127">
        <v>1</v>
      </c>
      <c r="AF204" s="127">
        <v>0.8</v>
      </c>
      <c r="AG204" s="128">
        <v>1.1000000000000001</v>
      </c>
      <c r="AH204" s="252">
        <v>1.2</v>
      </c>
      <c r="AI204" s="135">
        <v>1.0349999999999999</v>
      </c>
      <c r="AJ204" s="117">
        <v>1.1259999999999999</v>
      </c>
      <c r="AK204" s="816">
        <v>1.3</v>
      </c>
      <c r="AL204" s="856" t="s">
        <v>1</v>
      </c>
      <c r="AM204" s="856" t="s">
        <v>1</v>
      </c>
      <c r="AN204" s="856" t="s">
        <v>1</v>
      </c>
      <c r="AO204" s="856" t="s">
        <v>1</v>
      </c>
      <c r="AP204" s="856" t="s">
        <v>1</v>
      </c>
      <c r="AQ204" s="856" t="s">
        <v>1</v>
      </c>
      <c r="AR204" s="856" t="s">
        <v>1</v>
      </c>
    </row>
    <row r="205" spans="1:44">
      <c r="A205" s="104" t="s">
        <v>110</v>
      </c>
      <c r="B205" s="94"/>
      <c r="C205" s="95" t="s">
        <v>1</v>
      </c>
      <c r="D205" s="95" t="s">
        <v>1</v>
      </c>
      <c r="E205" s="95" t="s">
        <v>1</v>
      </c>
      <c r="F205" s="95" t="s">
        <v>1</v>
      </c>
      <c r="G205" s="95" t="s">
        <v>1</v>
      </c>
      <c r="H205" s="95" t="s">
        <v>1</v>
      </c>
      <c r="I205" s="95" t="s">
        <v>1</v>
      </c>
      <c r="J205" s="95" t="s">
        <v>1</v>
      </c>
      <c r="K205" s="95" t="s">
        <v>1</v>
      </c>
      <c r="L205" s="95" t="s">
        <v>1</v>
      </c>
      <c r="M205" s="95" t="s">
        <v>1</v>
      </c>
      <c r="N205" s="95" t="s">
        <v>1</v>
      </c>
      <c r="O205" s="95" t="s">
        <v>1</v>
      </c>
      <c r="P205" s="95" t="s">
        <v>1</v>
      </c>
      <c r="Q205" s="95" t="s">
        <v>1</v>
      </c>
      <c r="R205" s="90">
        <v>12.9</v>
      </c>
      <c r="S205" s="90">
        <v>17.3</v>
      </c>
      <c r="T205" s="90">
        <v>17.399999999999999</v>
      </c>
      <c r="U205" s="90">
        <v>18.3</v>
      </c>
      <c r="V205" s="90">
        <v>21.6</v>
      </c>
      <c r="W205" s="90">
        <v>19.5</v>
      </c>
      <c r="X205" s="90">
        <v>19.399999999999999</v>
      </c>
      <c r="Y205" s="90">
        <v>19.600000000000001</v>
      </c>
      <c r="Z205" s="90">
        <v>20.2</v>
      </c>
      <c r="AA205" s="90">
        <v>20.7</v>
      </c>
      <c r="AB205" s="90">
        <v>20.2</v>
      </c>
      <c r="AC205" s="123">
        <v>20.399999999999999</v>
      </c>
      <c r="AD205" s="126">
        <v>20.3</v>
      </c>
      <c r="AE205" s="127">
        <v>20.3</v>
      </c>
      <c r="AF205" s="127">
        <v>19.7</v>
      </c>
      <c r="AG205" s="128">
        <v>19.899999999999999</v>
      </c>
      <c r="AH205" s="252">
        <v>20.2</v>
      </c>
      <c r="AI205" s="135">
        <v>20.393000000000001</v>
      </c>
      <c r="AJ205" s="117">
        <v>20.016999999999999</v>
      </c>
      <c r="AK205" s="816">
        <v>20.100000000000001</v>
      </c>
      <c r="AL205" s="856" t="s">
        <v>1</v>
      </c>
      <c r="AM205" s="856" t="s">
        <v>1</v>
      </c>
      <c r="AN205" s="856" t="s">
        <v>1</v>
      </c>
      <c r="AO205" s="856" t="s">
        <v>1</v>
      </c>
      <c r="AP205" s="856" t="s">
        <v>1</v>
      </c>
      <c r="AQ205" s="856" t="s">
        <v>1</v>
      </c>
      <c r="AR205" s="856" t="s">
        <v>1</v>
      </c>
    </row>
    <row r="206" spans="1:44">
      <c r="A206" s="104" t="s">
        <v>111</v>
      </c>
      <c r="B206" s="94"/>
      <c r="C206" s="95" t="s">
        <v>1</v>
      </c>
      <c r="D206" s="95" t="s">
        <v>1</v>
      </c>
      <c r="E206" s="95" t="s">
        <v>1</v>
      </c>
      <c r="F206" s="95" t="s">
        <v>1</v>
      </c>
      <c r="G206" s="95" t="s">
        <v>1</v>
      </c>
      <c r="H206" s="95" t="s">
        <v>1</v>
      </c>
      <c r="I206" s="95" t="s">
        <v>1</v>
      </c>
      <c r="J206" s="95" t="s">
        <v>1</v>
      </c>
      <c r="K206" s="95" t="s">
        <v>1</v>
      </c>
      <c r="L206" s="95" t="s">
        <v>1</v>
      </c>
      <c r="M206" s="95" t="s">
        <v>1</v>
      </c>
      <c r="N206" s="95" t="s">
        <v>1</v>
      </c>
      <c r="O206" s="95" t="s">
        <v>1</v>
      </c>
      <c r="P206" s="95" t="s">
        <v>1</v>
      </c>
      <c r="Q206" s="95" t="s">
        <v>1</v>
      </c>
      <c r="R206" s="90">
        <v>12</v>
      </c>
      <c r="S206" s="90">
        <v>16.3</v>
      </c>
      <c r="T206" s="90">
        <v>15</v>
      </c>
      <c r="U206" s="90">
        <v>11.4</v>
      </c>
      <c r="V206" s="90">
        <v>12</v>
      </c>
      <c r="W206" s="90">
        <v>11.9</v>
      </c>
      <c r="X206" s="90">
        <v>11.7</v>
      </c>
      <c r="Y206" s="90">
        <v>10.8</v>
      </c>
      <c r="Z206" s="90">
        <v>10.7</v>
      </c>
      <c r="AA206" s="90">
        <v>10.3</v>
      </c>
      <c r="AB206" s="90">
        <v>10.1</v>
      </c>
      <c r="AC206" s="123">
        <v>11.1</v>
      </c>
      <c r="AD206" s="126">
        <v>11.9</v>
      </c>
      <c r="AE206" s="127">
        <v>12.8</v>
      </c>
      <c r="AF206" s="127">
        <v>13.8</v>
      </c>
      <c r="AG206" s="128">
        <v>15.6</v>
      </c>
      <c r="AH206" s="252">
        <v>17.3</v>
      </c>
      <c r="AI206" s="135">
        <v>15.45</v>
      </c>
      <c r="AJ206" s="117">
        <v>16.125</v>
      </c>
      <c r="AK206" s="816">
        <v>17.8</v>
      </c>
      <c r="AL206" s="856" t="s">
        <v>1</v>
      </c>
      <c r="AM206" s="856" t="s">
        <v>1</v>
      </c>
      <c r="AN206" s="856" t="s">
        <v>1</v>
      </c>
      <c r="AO206" s="856" t="s">
        <v>1</v>
      </c>
      <c r="AP206" s="856" t="s">
        <v>1</v>
      </c>
      <c r="AQ206" s="856" t="s">
        <v>1</v>
      </c>
      <c r="AR206" s="856" t="s">
        <v>1</v>
      </c>
    </row>
    <row r="207" spans="1:44">
      <c r="A207" s="104" t="s">
        <v>388</v>
      </c>
      <c r="B207" s="94"/>
      <c r="C207" s="95" t="s">
        <v>1</v>
      </c>
      <c r="D207" s="95" t="s">
        <v>1</v>
      </c>
      <c r="E207" s="95" t="s">
        <v>1</v>
      </c>
      <c r="F207" s="95" t="s">
        <v>1</v>
      </c>
      <c r="G207" s="95" t="s">
        <v>1</v>
      </c>
      <c r="H207" s="95" t="s">
        <v>1</v>
      </c>
      <c r="I207" s="95" t="s">
        <v>1</v>
      </c>
      <c r="J207" s="95" t="s">
        <v>1</v>
      </c>
      <c r="K207" s="95" t="s">
        <v>1</v>
      </c>
      <c r="L207" s="95" t="s">
        <v>1</v>
      </c>
      <c r="M207" s="95" t="s">
        <v>1</v>
      </c>
      <c r="N207" s="95" t="s">
        <v>1</v>
      </c>
      <c r="O207" s="95" t="s">
        <v>1</v>
      </c>
      <c r="P207" s="95" t="s">
        <v>1</v>
      </c>
      <c r="Q207" s="95" t="s">
        <v>1</v>
      </c>
      <c r="R207" s="90">
        <v>9.5</v>
      </c>
      <c r="S207" s="90">
        <v>7.8</v>
      </c>
      <c r="T207" s="90">
        <v>9.1999999999999993</v>
      </c>
      <c r="U207" s="90">
        <v>4.5999999999999996</v>
      </c>
      <c r="V207" s="90">
        <v>3.9</v>
      </c>
      <c r="W207" s="90">
        <v>3.1</v>
      </c>
      <c r="X207" s="90">
        <v>2.6</v>
      </c>
      <c r="Y207" s="90">
        <v>2.6</v>
      </c>
      <c r="Z207" s="90">
        <v>3.9</v>
      </c>
      <c r="AA207" s="90">
        <v>3.8</v>
      </c>
      <c r="AB207" s="90">
        <v>3.6</v>
      </c>
      <c r="AC207" s="123">
        <v>3.8</v>
      </c>
      <c r="AD207" s="126">
        <v>3.7</v>
      </c>
      <c r="AE207" s="127">
        <v>4</v>
      </c>
      <c r="AF207" s="127">
        <v>4.2</v>
      </c>
      <c r="AG207" s="128">
        <v>4.3</v>
      </c>
      <c r="AH207" s="252">
        <v>3</v>
      </c>
      <c r="AI207" s="135">
        <v>3.117</v>
      </c>
      <c r="AJ207" s="117">
        <v>3.327</v>
      </c>
      <c r="AK207" s="816">
        <v>3.6</v>
      </c>
      <c r="AL207" s="856" t="s">
        <v>1</v>
      </c>
      <c r="AM207" s="856" t="s">
        <v>1</v>
      </c>
      <c r="AN207" s="856" t="s">
        <v>1</v>
      </c>
      <c r="AO207" s="856" t="s">
        <v>1</v>
      </c>
      <c r="AP207" s="856" t="s">
        <v>1</v>
      </c>
      <c r="AQ207" s="856" t="s">
        <v>1</v>
      </c>
      <c r="AR207" s="856" t="s">
        <v>1</v>
      </c>
    </row>
    <row r="208" spans="1:44">
      <c r="A208" s="104" t="s">
        <v>136</v>
      </c>
      <c r="B208" s="94"/>
      <c r="C208" s="95" t="s">
        <v>1</v>
      </c>
      <c r="D208" s="95" t="s">
        <v>1</v>
      </c>
      <c r="E208" s="95" t="s">
        <v>1</v>
      </c>
      <c r="F208" s="95" t="s">
        <v>1</v>
      </c>
      <c r="G208" s="95" t="s">
        <v>1</v>
      </c>
      <c r="H208" s="95" t="s">
        <v>1</v>
      </c>
      <c r="I208" s="95" t="s">
        <v>1</v>
      </c>
      <c r="J208" s="95" t="s">
        <v>1</v>
      </c>
      <c r="K208" s="95" t="s">
        <v>1</v>
      </c>
      <c r="L208" s="95" t="s">
        <v>1</v>
      </c>
      <c r="M208" s="95" t="s">
        <v>1</v>
      </c>
      <c r="N208" s="95" t="s">
        <v>1</v>
      </c>
      <c r="O208" s="95" t="s">
        <v>1</v>
      </c>
      <c r="P208" s="95" t="s">
        <v>1</v>
      </c>
      <c r="Q208" s="95" t="s">
        <v>1</v>
      </c>
      <c r="R208" s="90">
        <v>7.8</v>
      </c>
      <c r="S208" s="90">
        <v>7.8</v>
      </c>
      <c r="T208" s="90">
        <v>8</v>
      </c>
      <c r="U208" s="90">
        <v>7.5</v>
      </c>
      <c r="V208" s="90">
        <v>8.3000000000000007</v>
      </c>
      <c r="W208" s="90">
        <v>8.4</v>
      </c>
      <c r="X208" s="90">
        <v>8</v>
      </c>
      <c r="Y208" s="90">
        <v>7.5</v>
      </c>
      <c r="Z208" s="90">
        <v>6.7</v>
      </c>
      <c r="AA208" s="90">
        <v>6.5</v>
      </c>
      <c r="AB208" s="90">
        <v>8.1</v>
      </c>
      <c r="AC208" s="123">
        <v>8.3000000000000007</v>
      </c>
      <c r="AD208" s="126">
        <v>8.6999999999999993</v>
      </c>
      <c r="AE208" s="127">
        <v>9</v>
      </c>
      <c r="AF208" s="127">
        <v>9.8000000000000007</v>
      </c>
      <c r="AG208" s="128">
        <v>9</v>
      </c>
      <c r="AH208" s="252">
        <v>10.1</v>
      </c>
      <c r="AI208" s="135">
        <v>11.023999999999999</v>
      </c>
      <c r="AJ208" s="117">
        <v>11.342000000000001</v>
      </c>
      <c r="AK208" s="816">
        <v>11.1</v>
      </c>
      <c r="AL208" s="856" t="s">
        <v>1</v>
      </c>
      <c r="AM208" s="856" t="s">
        <v>1</v>
      </c>
      <c r="AN208" s="856" t="s">
        <v>1</v>
      </c>
      <c r="AO208" s="856" t="s">
        <v>1</v>
      </c>
      <c r="AP208" s="856" t="s">
        <v>1</v>
      </c>
      <c r="AQ208" s="856" t="s">
        <v>1</v>
      </c>
      <c r="AR208" s="856" t="s">
        <v>1</v>
      </c>
    </row>
    <row r="209" spans="1:44">
      <c r="A209" s="104" t="s">
        <v>112</v>
      </c>
      <c r="B209" s="94"/>
      <c r="C209" s="95" t="s">
        <v>1</v>
      </c>
      <c r="D209" s="95" t="s">
        <v>1</v>
      </c>
      <c r="E209" s="95" t="s">
        <v>1</v>
      </c>
      <c r="F209" s="95" t="s">
        <v>1</v>
      </c>
      <c r="G209" s="95" t="s">
        <v>1</v>
      </c>
      <c r="H209" s="95" t="s">
        <v>1</v>
      </c>
      <c r="I209" s="95" t="s">
        <v>1</v>
      </c>
      <c r="J209" s="95" t="s">
        <v>1</v>
      </c>
      <c r="K209" s="95" t="s">
        <v>1</v>
      </c>
      <c r="L209" s="95" t="s">
        <v>1</v>
      </c>
      <c r="M209" s="95" t="s">
        <v>1</v>
      </c>
      <c r="N209" s="95" t="s">
        <v>1</v>
      </c>
      <c r="O209" s="95" t="s">
        <v>1</v>
      </c>
      <c r="P209" s="95" t="s">
        <v>1</v>
      </c>
      <c r="Q209" s="95" t="s">
        <v>1</v>
      </c>
      <c r="R209" s="95" t="s">
        <v>1</v>
      </c>
      <c r="S209" s="95" t="s">
        <v>1</v>
      </c>
      <c r="T209" s="95" t="s">
        <v>1</v>
      </c>
      <c r="U209" s="95" t="s">
        <v>1</v>
      </c>
      <c r="V209" s="95" t="s">
        <v>1</v>
      </c>
      <c r="W209" s="95" t="s">
        <v>1</v>
      </c>
      <c r="X209" s="95" t="s">
        <v>1</v>
      </c>
      <c r="Y209" s="95" t="s">
        <v>1</v>
      </c>
      <c r="Z209" s="95" t="s">
        <v>1</v>
      </c>
      <c r="AA209" s="95" t="s">
        <v>1</v>
      </c>
      <c r="AB209" s="95" t="s">
        <v>1</v>
      </c>
      <c r="AC209" s="130" t="s">
        <v>1</v>
      </c>
      <c r="AD209" s="131" t="s">
        <v>1</v>
      </c>
      <c r="AE209" s="132" t="s">
        <v>1</v>
      </c>
      <c r="AF209" s="105" t="s">
        <v>1</v>
      </c>
      <c r="AG209" s="108" t="s">
        <v>1</v>
      </c>
      <c r="AH209" s="702" t="s">
        <v>1</v>
      </c>
      <c r="AI209" s="135" t="s">
        <v>1</v>
      </c>
      <c r="AJ209" s="117" t="s">
        <v>1</v>
      </c>
      <c r="AK209" s="816" t="s">
        <v>1</v>
      </c>
      <c r="AL209" s="856" t="s">
        <v>1</v>
      </c>
      <c r="AM209" s="856" t="s">
        <v>1</v>
      </c>
      <c r="AN209" s="856" t="s">
        <v>1</v>
      </c>
      <c r="AO209" s="856" t="s">
        <v>1</v>
      </c>
      <c r="AP209" s="856" t="s">
        <v>1</v>
      </c>
      <c r="AQ209" s="856" t="s">
        <v>1</v>
      </c>
      <c r="AR209" s="856" t="s">
        <v>1</v>
      </c>
    </row>
    <row r="210" spans="1:44">
      <c r="A210" s="104" t="s">
        <v>113</v>
      </c>
      <c r="B210" s="94"/>
      <c r="C210" s="95" t="s">
        <v>1</v>
      </c>
      <c r="D210" s="95" t="s">
        <v>1</v>
      </c>
      <c r="E210" s="95" t="s">
        <v>1</v>
      </c>
      <c r="F210" s="95" t="s">
        <v>1</v>
      </c>
      <c r="G210" s="95" t="s">
        <v>1</v>
      </c>
      <c r="H210" s="95" t="s">
        <v>1</v>
      </c>
      <c r="I210" s="95" t="s">
        <v>1</v>
      </c>
      <c r="J210" s="95" t="s">
        <v>1</v>
      </c>
      <c r="K210" s="95" t="s">
        <v>1</v>
      </c>
      <c r="L210" s="95" t="s">
        <v>1</v>
      </c>
      <c r="M210" s="95" t="s">
        <v>1</v>
      </c>
      <c r="N210" s="95" t="s">
        <v>1</v>
      </c>
      <c r="O210" s="95" t="s">
        <v>1</v>
      </c>
      <c r="P210" s="95" t="s">
        <v>1</v>
      </c>
      <c r="Q210" s="95" t="s">
        <v>1</v>
      </c>
      <c r="R210" s="90">
        <v>3.8</v>
      </c>
      <c r="S210" s="90">
        <v>3.3</v>
      </c>
      <c r="T210" s="90">
        <v>3.1</v>
      </c>
      <c r="U210" s="90">
        <v>3</v>
      </c>
      <c r="V210" s="90">
        <v>3.9</v>
      </c>
      <c r="W210" s="90">
        <v>4.2</v>
      </c>
      <c r="X210" s="90">
        <v>4.8</v>
      </c>
      <c r="Y210" s="90">
        <v>5</v>
      </c>
      <c r="Z210" s="90">
        <v>5.2</v>
      </c>
      <c r="AA210" s="90">
        <v>5.3</v>
      </c>
      <c r="AB210" s="90">
        <v>5.4</v>
      </c>
      <c r="AC210" s="123">
        <v>5.4</v>
      </c>
      <c r="AD210" s="126">
        <v>5.5</v>
      </c>
      <c r="AE210" s="127">
        <v>5.4</v>
      </c>
      <c r="AF210" s="127">
        <v>5.4</v>
      </c>
      <c r="AG210" s="128">
        <v>5.9</v>
      </c>
      <c r="AH210" s="252">
        <v>6.5</v>
      </c>
      <c r="AI210" s="135">
        <v>7.266</v>
      </c>
      <c r="AJ210" s="117">
        <v>7.2709999999999999</v>
      </c>
      <c r="AK210" s="816">
        <v>7.4</v>
      </c>
      <c r="AL210" s="856" t="s">
        <v>1</v>
      </c>
      <c r="AM210" s="856" t="s">
        <v>1</v>
      </c>
      <c r="AN210" s="856" t="s">
        <v>1</v>
      </c>
      <c r="AO210" s="856" t="s">
        <v>1</v>
      </c>
      <c r="AP210" s="856" t="s">
        <v>1</v>
      </c>
      <c r="AQ210" s="856" t="s">
        <v>1</v>
      </c>
      <c r="AR210" s="856" t="s">
        <v>1</v>
      </c>
    </row>
    <row r="211" spans="1:44">
      <c r="A211" s="93" t="s">
        <v>188</v>
      </c>
      <c r="B211" s="89" t="s">
        <v>185</v>
      </c>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1"/>
      <c r="AD211" s="125"/>
      <c r="AE211" s="40"/>
      <c r="AF211" s="48"/>
      <c r="AG211" s="41"/>
      <c r="AH211" s="50"/>
      <c r="AI211" s="43"/>
      <c r="AJ211" s="111"/>
      <c r="AK211" s="812"/>
      <c r="AL211" s="812"/>
      <c r="AM211" s="812"/>
      <c r="AN211" s="812"/>
      <c r="AO211" s="812"/>
      <c r="AP211" s="812"/>
      <c r="AQ211" s="812"/>
      <c r="AR211" s="812"/>
    </row>
    <row r="212" spans="1:44">
      <c r="A212" s="93" t="s">
        <v>190</v>
      </c>
      <c r="B212" s="94"/>
      <c r="C212" s="95">
        <v>17</v>
      </c>
      <c r="D212" s="95">
        <v>18</v>
      </c>
      <c r="E212" s="95">
        <v>21</v>
      </c>
      <c r="F212" s="95">
        <v>21</v>
      </c>
      <c r="G212" s="95">
        <v>21</v>
      </c>
      <c r="H212" s="95">
        <v>42</v>
      </c>
      <c r="I212" s="95">
        <v>45</v>
      </c>
      <c r="J212" s="95">
        <v>53</v>
      </c>
      <c r="K212" s="95">
        <v>64</v>
      </c>
      <c r="L212" s="95">
        <v>68</v>
      </c>
      <c r="M212" s="95">
        <v>73</v>
      </c>
      <c r="N212" s="95">
        <v>69</v>
      </c>
      <c r="O212" s="95">
        <v>69</v>
      </c>
      <c r="P212" s="95">
        <v>66</v>
      </c>
      <c r="Q212" s="95">
        <v>66</v>
      </c>
      <c r="R212" s="95">
        <v>62</v>
      </c>
      <c r="S212" s="95">
        <v>63</v>
      </c>
      <c r="T212" s="95">
        <v>48</v>
      </c>
      <c r="U212" s="95">
        <v>52</v>
      </c>
      <c r="V212" s="95">
        <v>52</v>
      </c>
      <c r="W212" s="95">
        <v>47</v>
      </c>
      <c r="X212" s="95">
        <v>45</v>
      </c>
      <c r="Y212" s="95">
        <v>43</v>
      </c>
      <c r="Z212" s="95">
        <v>40</v>
      </c>
      <c r="AA212" s="95">
        <v>42</v>
      </c>
      <c r="AB212" s="95">
        <v>40</v>
      </c>
      <c r="AC212" s="100">
        <v>40</v>
      </c>
      <c r="AD212" s="40">
        <v>41</v>
      </c>
      <c r="AE212" s="133">
        <v>41</v>
      </c>
      <c r="AF212" s="100">
        <v>41</v>
      </c>
      <c r="AG212" s="41">
        <v>42</v>
      </c>
      <c r="AH212" s="102">
        <v>39</v>
      </c>
      <c r="AI212" s="109">
        <v>37</v>
      </c>
      <c r="AJ212" s="111">
        <v>37</v>
      </c>
      <c r="AK212" s="805">
        <v>37</v>
      </c>
      <c r="AL212" s="856" t="s">
        <v>1</v>
      </c>
      <c r="AM212" s="856" t="s">
        <v>1</v>
      </c>
      <c r="AN212" s="856" t="s">
        <v>1</v>
      </c>
      <c r="AO212" s="856" t="s">
        <v>1</v>
      </c>
      <c r="AP212" s="856" t="s">
        <v>1</v>
      </c>
      <c r="AQ212" s="856" t="s">
        <v>1</v>
      </c>
      <c r="AR212" s="856" t="s">
        <v>1</v>
      </c>
    </row>
    <row r="213" spans="1:44">
      <c r="A213" s="99" t="s">
        <v>169</v>
      </c>
      <c r="B213" s="94"/>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100"/>
      <c r="AD213" s="40"/>
      <c r="AE213" s="97"/>
      <c r="AF213" s="100"/>
      <c r="AG213" s="41"/>
      <c r="AH213" s="102"/>
      <c r="AI213" s="109"/>
      <c r="AJ213" s="111"/>
      <c r="AK213" s="812"/>
      <c r="AL213" s="812"/>
      <c r="AM213" s="812"/>
      <c r="AN213" s="812"/>
      <c r="AO213" s="812"/>
      <c r="AP213" s="812"/>
      <c r="AQ213" s="812"/>
      <c r="AR213" s="812"/>
    </row>
    <row r="214" spans="1:44">
      <c r="A214" s="104" t="s">
        <v>109</v>
      </c>
      <c r="B214" s="94"/>
      <c r="C214" s="95" t="s">
        <v>1</v>
      </c>
      <c r="D214" s="95" t="s">
        <v>1</v>
      </c>
      <c r="E214" s="95" t="s">
        <v>1</v>
      </c>
      <c r="F214" s="95" t="s">
        <v>1</v>
      </c>
      <c r="G214" s="95" t="s">
        <v>1</v>
      </c>
      <c r="H214" s="95" t="s">
        <v>1</v>
      </c>
      <c r="I214" s="95" t="s">
        <v>1</v>
      </c>
      <c r="J214" s="95" t="s">
        <v>1</v>
      </c>
      <c r="K214" s="95" t="s">
        <v>1</v>
      </c>
      <c r="L214" s="95" t="s">
        <v>1</v>
      </c>
      <c r="M214" s="95" t="s">
        <v>1</v>
      </c>
      <c r="N214" s="95" t="s">
        <v>1</v>
      </c>
      <c r="O214" s="95" t="s">
        <v>1</v>
      </c>
      <c r="P214" s="95" t="s">
        <v>1</v>
      </c>
      <c r="Q214" s="95" t="s">
        <v>1</v>
      </c>
      <c r="R214" s="95">
        <v>21</v>
      </c>
      <c r="S214" s="95">
        <v>21</v>
      </c>
      <c r="T214" s="95">
        <v>14</v>
      </c>
      <c r="U214" s="95">
        <v>18</v>
      </c>
      <c r="V214" s="95">
        <v>18</v>
      </c>
      <c r="W214" s="95">
        <v>16</v>
      </c>
      <c r="X214" s="95">
        <v>17</v>
      </c>
      <c r="Y214" s="95">
        <v>16</v>
      </c>
      <c r="Z214" s="95">
        <v>16</v>
      </c>
      <c r="AA214" s="95">
        <v>16</v>
      </c>
      <c r="AB214" s="95">
        <v>15</v>
      </c>
      <c r="AC214" s="105">
        <v>15</v>
      </c>
      <c r="AD214" s="40">
        <v>15</v>
      </c>
      <c r="AE214" s="133">
        <v>15</v>
      </c>
      <c r="AF214" s="100">
        <v>15</v>
      </c>
      <c r="AG214" s="41">
        <v>16</v>
      </c>
      <c r="AH214" s="102">
        <v>15</v>
      </c>
      <c r="AI214" s="109">
        <v>14</v>
      </c>
      <c r="AJ214" s="111">
        <v>14</v>
      </c>
      <c r="AK214" s="805">
        <v>14</v>
      </c>
      <c r="AL214" s="856" t="s">
        <v>1</v>
      </c>
      <c r="AM214" s="856" t="s">
        <v>1</v>
      </c>
      <c r="AN214" s="856" t="s">
        <v>1</v>
      </c>
      <c r="AO214" s="856" t="s">
        <v>1</v>
      </c>
      <c r="AP214" s="856" t="s">
        <v>1</v>
      </c>
      <c r="AQ214" s="856" t="s">
        <v>1</v>
      </c>
      <c r="AR214" s="856" t="s">
        <v>1</v>
      </c>
    </row>
    <row r="215" spans="1:44">
      <c r="A215" s="104" t="s">
        <v>135</v>
      </c>
      <c r="B215" s="94"/>
      <c r="C215" s="95" t="s">
        <v>1</v>
      </c>
      <c r="D215" s="95" t="s">
        <v>1</v>
      </c>
      <c r="E215" s="95" t="s">
        <v>1</v>
      </c>
      <c r="F215" s="95" t="s">
        <v>1</v>
      </c>
      <c r="G215" s="95" t="s">
        <v>1</v>
      </c>
      <c r="H215" s="95" t="s">
        <v>1</v>
      </c>
      <c r="I215" s="95" t="s">
        <v>1</v>
      </c>
      <c r="J215" s="95" t="s">
        <v>1</v>
      </c>
      <c r="K215" s="95" t="s">
        <v>1</v>
      </c>
      <c r="L215" s="95" t="s">
        <v>1</v>
      </c>
      <c r="M215" s="95" t="s">
        <v>1</v>
      </c>
      <c r="N215" s="95" t="s">
        <v>1</v>
      </c>
      <c r="O215" s="95" t="s">
        <v>1</v>
      </c>
      <c r="P215" s="95" t="s">
        <v>1</v>
      </c>
      <c r="Q215" s="95" t="s">
        <v>1</v>
      </c>
      <c r="R215" s="95" t="s">
        <v>1</v>
      </c>
      <c r="S215" s="95" t="s">
        <v>1</v>
      </c>
      <c r="T215" s="95" t="s">
        <v>1</v>
      </c>
      <c r="U215" s="95" t="s">
        <v>1</v>
      </c>
      <c r="V215" s="95" t="s">
        <v>1</v>
      </c>
      <c r="W215" s="95">
        <v>1</v>
      </c>
      <c r="X215" s="95">
        <v>1</v>
      </c>
      <c r="Y215" s="95">
        <v>1</v>
      </c>
      <c r="Z215" s="95">
        <v>1</v>
      </c>
      <c r="AA215" s="95">
        <v>1</v>
      </c>
      <c r="AB215" s="95">
        <v>1</v>
      </c>
      <c r="AC215" s="105">
        <v>1</v>
      </c>
      <c r="AD215" s="40">
        <v>1</v>
      </c>
      <c r="AE215" s="133">
        <v>1</v>
      </c>
      <c r="AF215" s="100">
        <v>1</v>
      </c>
      <c r="AG215" s="41">
        <v>1</v>
      </c>
      <c r="AH215" s="102">
        <v>1</v>
      </c>
      <c r="AI215" s="109">
        <v>1</v>
      </c>
      <c r="AJ215" s="111">
        <v>1</v>
      </c>
      <c r="AK215" s="805">
        <v>1</v>
      </c>
      <c r="AL215" s="856" t="s">
        <v>1</v>
      </c>
      <c r="AM215" s="856" t="s">
        <v>1</v>
      </c>
      <c r="AN215" s="856" t="s">
        <v>1</v>
      </c>
      <c r="AO215" s="856" t="s">
        <v>1</v>
      </c>
      <c r="AP215" s="856" t="s">
        <v>1</v>
      </c>
      <c r="AQ215" s="856" t="s">
        <v>1</v>
      </c>
      <c r="AR215" s="856" t="s">
        <v>1</v>
      </c>
    </row>
    <row r="216" spans="1:44">
      <c r="A216" s="104" t="s">
        <v>110</v>
      </c>
      <c r="B216" s="94"/>
      <c r="C216" s="95" t="s">
        <v>1</v>
      </c>
      <c r="D216" s="95" t="s">
        <v>1</v>
      </c>
      <c r="E216" s="95" t="s">
        <v>1</v>
      </c>
      <c r="F216" s="95" t="s">
        <v>1</v>
      </c>
      <c r="G216" s="95" t="s">
        <v>1</v>
      </c>
      <c r="H216" s="95" t="s">
        <v>1</v>
      </c>
      <c r="I216" s="95" t="s">
        <v>1</v>
      </c>
      <c r="J216" s="95" t="s">
        <v>1</v>
      </c>
      <c r="K216" s="95" t="s">
        <v>1</v>
      </c>
      <c r="L216" s="95" t="s">
        <v>1</v>
      </c>
      <c r="M216" s="95" t="s">
        <v>1</v>
      </c>
      <c r="N216" s="95" t="s">
        <v>1</v>
      </c>
      <c r="O216" s="95" t="s">
        <v>1</v>
      </c>
      <c r="P216" s="95" t="s">
        <v>1</v>
      </c>
      <c r="Q216" s="95" t="s">
        <v>1</v>
      </c>
      <c r="R216" s="95">
        <v>8</v>
      </c>
      <c r="S216" s="95">
        <v>8</v>
      </c>
      <c r="T216" s="95">
        <v>7</v>
      </c>
      <c r="U216" s="95">
        <v>6</v>
      </c>
      <c r="V216" s="95">
        <v>6</v>
      </c>
      <c r="W216" s="95">
        <v>5</v>
      </c>
      <c r="X216" s="95">
        <v>5</v>
      </c>
      <c r="Y216" s="95">
        <v>5</v>
      </c>
      <c r="Z216" s="95">
        <v>4</v>
      </c>
      <c r="AA216" s="95">
        <v>5</v>
      </c>
      <c r="AB216" s="95">
        <v>5</v>
      </c>
      <c r="AC216" s="105">
        <v>5</v>
      </c>
      <c r="AD216" s="40">
        <v>5</v>
      </c>
      <c r="AE216" s="133">
        <v>5</v>
      </c>
      <c r="AF216" s="100">
        <v>5</v>
      </c>
      <c r="AG216" s="41">
        <v>4</v>
      </c>
      <c r="AH216" s="102">
        <v>4</v>
      </c>
      <c r="AI216" s="109">
        <v>4</v>
      </c>
      <c r="AJ216" s="111">
        <v>4</v>
      </c>
      <c r="AK216" s="805">
        <v>4</v>
      </c>
      <c r="AL216" s="856" t="s">
        <v>1</v>
      </c>
      <c r="AM216" s="856" t="s">
        <v>1</v>
      </c>
      <c r="AN216" s="856" t="s">
        <v>1</v>
      </c>
      <c r="AO216" s="856" t="s">
        <v>1</v>
      </c>
      <c r="AP216" s="856" t="s">
        <v>1</v>
      </c>
      <c r="AQ216" s="856" t="s">
        <v>1</v>
      </c>
      <c r="AR216" s="856" t="s">
        <v>1</v>
      </c>
    </row>
    <row r="217" spans="1:44">
      <c r="A217" s="104" t="s">
        <v>111</v>
      </c>
      <c r="B217" s="94"/>
      <c r="C217" s="95" t="s">
        <v>1</v>
      </c>
      <c r="D217" s="95" t="s">
        <v>1</v>
      </c>
      <c r="E217" s="95" t="s">
        <v>1</v>
      </c>
      <c r="F217" s="95" t="s">
        <v>1</v>
      </c>
      <c r="G217" s="95" t="s">
        <v>1</v>
      </c>
      <c r="H217" s="95" t="s">
        <v>1</v>
      </c>
      <c r="I217" s="95" t="s">
        <v>1</v>
      </c>
      <c r="J217" s="95" t="s">
        <v>1</v>
      </c>
      <c r="K217" s="95" t="s">
        <v>1</v>
      </c>
      <c r="L217" s="95" t="s">
        <v>1</v>
      </c>
      <c r="M217" s="95" t="s">
        <v>1</v>
      </c>
      <c r="N217" s="95" t="s">
        <v>1</v>
      </c>
      <c r="O217" s="95" t="s">
        <v>1</v>
      </c>
      <c r="P217" s="95" t="s">
        <v>1</v>
      </c>
      <c r="Q217" s="95" t="s">
        <v>1</v>
      </c>
      <c r="R217" s="95">
        <v>19</v>
      </c>
      <c r="S217" s="95">
        <v>19</v>
      </c>
      <c r="T217" s="95">
        <v>14</v>
      </c>
      <c r="U217" s="95">
        <v>15</v>
      </c>
      <c r="V217" s="95">
        <v>17</v>
      </c>
      <c r="W217" s="95">
        <v>15</v>
      </c>
      <c r="X217" s="95">
        <v>13</v>
      </c>
      <c r="Y217" s="95">
        <v>12</v>
      </c>
      <c r="Z217" s="95">
        <v>13</v>
      </c>
      <c r="AA217" s="95">
        <v>13</v>
      </c>
      <c r="AB217" s="95">
        <v>12</v>
      </c>
      <c r="AC217" s="105">
        <v>12</v>
      </c>
      <c r="AD217" s="40">
        <v>13</v>
      </c>
      <c r="AE217" s="133">
        <v>13</v>
      </c>
      <c r="AF217" s="100">
        <v>13</v>
      </c>
      <c r="AG217" s="41">
        <v>13</v>
      </c>
      <c r="AH217" s="102">
        <v>11</v>
      </c>
      <c r="AI217" s="109">
        <v>10</v>
      </c>
      <c r="AJ217" s="111">
        <v>10</v>
      </c>
      <c r="AK217" s="805">
        <v>10</v>
      </c>
      <c r="AL217" s="856" t="s">
        <v>1</v>
      </c>
      <c r="AM217" s="856" t="s">
        <v>1</v>
      </c>
      <c r="AN217" s="856" t="s">
        <v>1</v>
      </c>
      <c r="AO217" s="856" t="s">
        <v>1</v>
      </c>
      <c r="AP217" s="856" t="s">
        <v>1</v>
      </c>
      <c r="AQ217" s="856" t="s">
        <v>1</v>
      </c>
      <c r="AR217" s="856" t="s">
        <v>1</v>
      </c>
    </row>
    <row r="218" spans="1:44">
      <c r="A218" s="104" t="s">
        <v>388</v>
      </c>
      <c r="B218" s="94"/>
      <c r="C218" s="95" t="s">
        <v>1</v>
      </c>
      <c r="D218" s="95" t="s">
        <v>1</v>
      </c>
      <c r="E218" s="95" t="s">
        <v>1</v>
      </c>
      <c r="F218" s="95" t="s">
        <v>1</v>
      </c>
      <c r="G218" s="95" t="s">
        <v>1</v>
      </c>
      <c r="H218" s="95" t="s">
        <v>1</v>
      </c>
      <c r="I218" s="95" t="s">
        <v>1</v>
      </c>
      <c r="J218" s="95" t="s">
        <v>1</v>
      </c>
      <c r="K218" s="95" t="s">
        <v>1</v>
      </c>
      <c r="L218" s="95" t="s">
        <v>1</v>
      </c>
      <c r="M218" s="95" t="s">
        <v>1</v>
      </c>
      <c r="N218" s="95" t="s">
        <v>1</v>
      </c>
      <c r="O218" s="95" t="s">
        <v>1</v>
      </c>
      <c r="P218" s="95" t="s">
        <v>1</v>
      </c>
      <c r="Q218" s="95" t="s">
        <v>1</v>
      </c>
      <c r="R218" s="95">
        <v>5</v>
      </c>
      <c r="S218" s="95">
        <v>6</v>
      </c>
      <c r="T218" s="95">
        <v>4</v>
      </c>
      <c r="U218" s="95">
        <v>2</v>
      </c>
      <c r="V218" s="95">
        <v>1</v>
      </c>
      <c r="W218" s="95">
        <v>1</v>
      </c>
      <c r="X218" s="95" t="s">
        <v>1</v>
      </c>
      <c r="Y218" s="95" t="s">
        <v>1</v>
      </c>
      <c r="Z218" s="95" t="s">
        <v>1</v>
      </c>
      <c r="AA218" s="95" t="s">
        <v>1</v>
      </c>
      <c r="AB218" s="95" t="s">
        <v>1</v>
      </c>
      <c r="AC218" s="105" t="s">
        <v>1</v>
      </c>
      <c r="AD218" s="57" t="s">
        <v>1</v>
      </c>
      <c r="AE218" s="133" t="s">
        <v>1</v>
      </c>
      <c r="AF218" s="105" t="s">
        <v>1</v>
      </c>
      <c r="AG218" s="108" t="s">
        <v>1</v>
      </c>
      <c r="AH218" s="102" t="s">
        <v>1</v>
      </c>
      <c r="AI218" s="109" t="s">
        <v>1</v>
      </c>
      <c r="AJ218" s="111" t="s">
        <v>1</v>
      </c>
      <c r="AK218" s="805" t="s">
        <v>1</v>
      </c>
      <c r="AL218" s="856" t="s">
        <v>1</v>
      </c>
      <c r="AM218" s="856" t="s">
        <v>1</v>
      </c>
      <c r="AN218" s="856" t="s">
        <v>1</v>
      </c>
      <c r="AO218" s="856" t="s">
        <v>1</v>
      </c>
      <c r="AP218" s="856" t="s">
        <v>1</v>
      </c>
      <c r="AQ218" s="856" t="s">
        <v>1</v>
      </c>
      <c r="AR218" s="856" t="s">
        <v>1</v>
      </c>
    </row>
    <row r="219" spans="1:44">
      <c r="A219" s="104" t="s">
        <v>136</v>
      </c>
      <c r="B219" s="94"/>
      <c r="C219" s="95" t="s">
        <v>1</v>
      </c>
      <c r="D219" s="95" t="s">
        <v>1</v>
      </c>
      <c r="E219" s="95" t="s">
        <v>1</v>
      </c>
      <c r="F219" s="95" t="s">
        <v>1</v>
      </c>
      <c r="G219" s="95" t="s">
        <v>1</v>
      </c>
      <c r="H219" s="95" t="s">
        <v>1</v>
      </c>
      <c r="I219" s="95" t="s">
        <v>1</v>
      </c>
      <c r="J219" s="95" t="s">
        <v>1</v>
      </c>
      <c r="K219" s="95" t="s">
        <v>1</v>
      </c>
      <c r="L219" s="95" t="s">
        <v>1</v>
      </c>
      <c r="M219" s="95" t="s">
        <v>1</v>
      </c>
      <c r="N219" s="95" t="s">
        <v>1</v>
      </c>
      <c r="O219" s="95" t="s">
        <v>1</v>
      </c>
      <c r="P219" s="95" t="s">
        <v>1</v>
      </c>
      <c r="Q219" s="95" t="s">
        <v>1</v>
      </c>
      <c r="R219" s="95">
        <v>8</v>
      </c>
      <c r="S219" s="95">
        <v>8</v>
      </c>
      <c r="T219" s="95">
        <v>9</v>
      </c>
      <c r="U219" s="95">
        <v>10</v>
      </c>
      <c r="V219" s="95">
        <v>9</v>
      </c>
      <c r="W219" s="95">
        <v>8</v>
      </c>
      <c r="X219" s="95">
        <v>8</v>
      </c>
      <c r="Y219" s="95">
        <v>6</v>
      </c>
      <c r="Z219" s="95">
        <v>5</v>
      </c>
      <c r="AA219" s="95">
        <v>5</v>
      </c>
      <c r="AB219" s="95">
        <v>5</v>
      </c>
      <c r="AC219" s="105">
        <v>5</v>
      </c>
      <c r="AD219" s="40">
        <v>5</v>
      </c>
      <c r="AE219" s="133">
        <v>5</v>
      </c>
      <c r="AF219" s="100">
        <v>5</v>
      </c>
      <c r="AG219" s="41">
        <v>6</v>
      </c>
      <c r="AH219" s="102">
        <v>6</v>
      </c>
      <c r="AI219" s="109">
        <v>6</v>
      </c>
      <c r="AJ219" s="111">
        <v>6</v>
      </c>
      <c r="AK219" s="805">
        <v>6</v>
      </c>
      <c r="AL219" s="856" t="s">
        <v>1</v>
      </c>
      <c r="AM219" s="856" t="s">
        <v>1</v>
      </c>
      <c r="AN219" s="856" t="s">
        <v>1</v>
      </c>
      <c r="AO219" s="856" t="s">
        <v>1</v>
      </c>
      <c r="AP219" s="856" t="s">
        <v>1</v>
      </c>
      <c r="AQ219" s="856" t="s">
        <v>1</v>
      </c>
      <c r="AR219" s="856" t="s">
        <v>1</v>
      </c>
    </row>
    <row r="220" spans="1:44">
      <c r="A220" s="104" t="s">
        <v>112</v>
      </c>
      <c r="B220" s="94"/>
      <c r="C220" s="95" t="s">
        <v>1</v>
      </c>
      <c r="D220" s="95" t="s">
        <v>1</v>
      </c>
      <c r="E220" s="95" t="s">
        <v>1</v>
      </c>
      <c r="F220" s="95" t="s">
        <v>1</v>
      </c>
      <c r="G220" s="95" t="s">
        <v>1</v>
      </c>
      <c r="H220" s="95" t="s">
        <v>1</v>
      </c>
      <c r="I220" s="95" t="s">
        <v>1</v>
      </c>
      <c r="J220" s="95" t="s">
        <v>1</v>
      </c>
      <c r="K220" s="95" t="s">
        <v>1</v>
      </c>
      <c r="L220" s="95" t="s">
        <v>1</v>
      </c>
      <c r="M220" s="95" t="s">
        <v>1</v>
      </c>
      <c r="N220" s="95" t="s">
        <v>1</v>
      </c>
      <c r="O220" s="95" t="s">
        <v>1</v>
      </c>
      <c r="P220" s="95" t="s">
        <v>1</v>
      </c>
      <c r="Q220" s="95" t="s">
        <v>1</v>
      </c>
      <c r="R220" s="95" t="s">
        <v>1</v>
      </c>
      <c r="S220" s="95" t="s">
        <v>1</v>
      </c>
      <c r="T220" s="95" t="s">
        <v>1</v>
      </c>
      <c r="U220" s="95" t="s">
        <v>1</v>
      </c>
      <c r="V220" s="95" t="s">
        <v>1</v>
      </c>
      <c r="W220" s="95" t="s">
        <v>1</v>
      </c>
      <c r="X220" s="95" t="s">
        <v>1</v>
      </c>
      <c r="Y220" s="95" t="s">
        <v>1</v>
      </c>
      <c r="Z220" s="95" t="s">
        <v>1</v>
      </c>
      <c r="AA220" s="95" t="s">
        <v>1</v>
      </c>
      <c r="AB220" s="95" t="s">
        <v>1</v>
      </c>
      <c r="AC220" s="105" t="s">
        <v>1</v>
      </c>
      <c r="AD220" s="57" t="s">
        <v>1</v>
      </c>
      <c r="AE220" s="133" t="s">
        <v>1</v>
      </c>
      <c r="AF220" s="105" t="s">
        <v>1</v>
      </c>
      <c r="AG220" s="108" t="s">
        <v>1</v>
      </c>
      <c r="AH220" s="102" t="s">
        <v>1</v>
      </c>
      <c r="AI220" s="109" t="s">
        <v>1</v>
      </c>
      <c r="AJ220" s="111" t="s">
        <v>1</v>
      </c>
      <c r="AK220" s="805" t="s">
        <v>1</v>
      </c>
      <c r="AL220" s="856" t="s">
        <v>1</v>
      </c>
      <c r="AM220" s="856" t="s">
        <v>1</v>
      </c>
      <c r="AN220" s="856" t="s">
        <v>1</v>
      </c>
      <c r="AO220" s="856" t="s">
        <v>1</v>
      </c>
      <c r="AP220" s="856" t="s">
        <v>1</v>
      </c>
      <c r="AQ220" s="856" t="s">
        <v>1</v>
      </c>
      <c r="AR220" s="856" t="s">
        <v>1</v>
      </c>
    </row>
    <row r="221" spans="1:44">
      <c r="A221" s="104" t="s">
        <v>113</v>
      </c>
      <c r="B221" s="94"/>
      <c r="C221" s="95" t="s">
        <v>1</v>
      </c>
      <c r="D221" s="95" t="s">
        <v>1</v>
      </c>
      <c r="E221" s="95" t="s">
        <v>1</v>
      </c>
      <c r="F221" s="95" t="s">
        <v>1</v>
      </c>
      <c r="G221" s="95" t="s">
        <v>1</v>
      </c>
      <c r="H221" s="95" t="s">
        <v>1</v>
      </c>
      <c r="I221" s="95" t="s">
        <v>1</v>
      </c>
      <c r="J221" s="95" t="s">
        <v>1</v>
      </c>
      <c r="K221" s="95" t="s">
        <v>1</v>
      </c>
      <c r="L221" s="95" t="s">
        <v>1</v>
      </c>
      <c r="M221" s="95" t="s">
        <v>1</v>
      </c>
      <c r="N221" s="95" t="s">
        <v>1</v>
      </c>
      <c r="O221" s="95" t="s">
        <v>1</v>
      </c>
      <c r="P221" s="95" t="s">
        <v>1</v>
      </c>
      <c r="Q221" s="95" t="s">
        <v>1</v>
      </c>
      <c r="R221" s="95">
        <v>1</v>
      </c>
      <c r="S221" s="95">
        <v>1</v>
      </c>
      <c r="T221" s="95">
        <v>1</v>
      </c>
      <c r="U221" s="95">
        <v>1</v>
      </c>
      <c r="V221" s="95">
        <v>1</v>
      </c>
      <c r="W221" s="95">
        <v>1</v>
      </c>
      <c r="X221" s="95">
        <v>1</v>
      </c>
      <c r="Y221" s="95">
        <v>1</v>
      </c>
      <c r="Z221" s="95">
        <v>1</v>
      </c>
      <c r="AA221" s="95">
        <v>2</v>
      </c>
      <c r="AB221" s="95">
        <v>2</v>
      </c>
      <c r="AC221" s="105">
        <v>2</v>
      </c>
      <c r="AD221" s="40">
        <v>2</v>
      </c>
      <c r="AE221" s="133">
        <v>2</v>
      </c>
      <c r="AF221" s="100">
        <v>2</v>
      </c>
      <c r="AG221" s="41">
        <v>2</v>
      </c>
      <c r="AH221" s="102">
        <v>2</v>
      </c>
      <c r="AI221" s="109">
        <v>2</v>
      </c>
      <c r="AJ221" s="111">
        <v>2</v>
      </c>
      <c r="AK221" s="805">
        <v>2</v>
      </c>
      <c r="AL221" s="856" t="s">
        <v>1</v>
      </c>
      <c r="AM221" s="856" t="s">
        <v>1</v>
      </c>
      <c r="AN221" s="856" t="s">
        <v>1</v>
      </c>
      <c r="AO221" s="856" t="s">
        <v>1</v>
      </c>
      <c r="AP221" s="856" t="s">
        <v>1</v>
      </c>
      <c r="AQ221" s="856" t="s">
        <v>1</v>
      </c>
      <c r="AR221" s="856" t="s">
        <v>1</v>
      </c>
    </row>
    <row r="222" spans="1:44">
      <c r="A222" s="93" t="s">
        <v>189</v>
      </c>
      <c r="B222" s="112" t="s">
        <v>181</v>
      </c>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1"/>
      <c r="AD222" s="126"/>
      <c r="AE222" s="40"/>
      <c r="AF222" s="48"/>
      <c r="AG222" s="41"/>
      <c r="AH222" s="50"/>
      <c r="AI222" s="48"/>
      <c r="AJ222" s="16"/>
      <c r="AK222" s="812"/>
      <c r="AL222" s="812"/>
      <c r="AM222" s="812"/>
      <c r="AN222" s="812"/>
      <c r="AO222" s="812"/>
      <c r="AP222" s="812"/>
      <c r="AQ222" s="812"/>
      <c r="AR222" s="812"/>
    </row>
    <row r="223" spans="1:44">
      <c r="A223" s="93" t="s">
        <v>190</v>
      </c>
      <c r="B223" s="94"/>
      <c r="C223" s="90">
        <v>101.6</v>
      </c>
      <c r="D223" s="90">
        <v>98.9</v>
      </c>
      <c r="E223" s="90">
        <v>88.7</v>
      </c>
      <c r="F223" s="90">
        <v>85</v>
      </c>
      <c r="G223" s="90">
        <v>80.8</v>
      </c>
      <c r="H223" s="90">
        <v>92.5</v>
      </c>
      <c r="I223" s="90">
        <v>97.5</v>
      </c>
      <c r="J223" s="90">
        <v>103.3</v>
      </c>
      <c r="K223" s="90">
        <v>117.4</v>
      </c>
      <c r="L223" s="90">
        <v>123</v>
      </c>
      <c r="M223" s="90">
        <v>136.4</v>
      </c>
      <c r="N223" s="90">
        <v>148</v>
      </c>
      <c r="O223" s="90">
        <v>165.7</v>
      </c>
      <c r="P223" s="90">
        <v>189.6</v>
      </c>
      <c r="Q223" s="90">
        <v>205.7</v>
      </c>
      <c r="R223" s="90">
        <v>221.5</v>
      </c>
      <c r="S223" s="90">
        <v>228.8</v>
      </c>
      <c r="T223" s="90">
        <v>192.4</v>
      </c>
      <c r="U223" s="90">
        <v>187.2</v>
      </c>
      <c r="V223" s="90">
        <v>186.5</v>
      </c>
      <c r="W223" s="90">
        <v>183.2</v>
      </c>
      <c r="X223" s="90">
        <v>158.4</v>
      </c>
      <c r="Y223" s="90">
        <v>148.5</v>
      </c>
      <c r="Z223" s="90">
        <v>133.69999999999999</v>
      </c>
      <c r="AA223" s="90">
        <v>128.69999999999999</v>
      </c>
      <c r="AB223" s="90">
        <v>130.80000000000001</v>
      </c>
      <c r="AC223" s="123">
        <v>131.30000000000001</v>
      </c>
      <c r="AD223" s="126">
        <v>143.80000000000001</v>
      </c>
      <c r="AE223" s="127">
        <v>162.69999999999999</v>
      </c>
      <c r="AF223" s="127">
        <v>163.4</v>
      </c>
      <c r="AG223" s="128">
        <v>172.2</v>
      </c>
      <c r="AH223" s="134">
        <v>177.6</v>
      </c>
      <c r="AI223" s="135">
        <v>186.63300000000001</v>
      </c>
      <c r="AJ223" s="129">
        <v>202</v>
      </c>
      <c r="AK223" s="855">
        <v>218.98500000000001</v>
      </c>
      <c r="AL223" s="856" t="s">
        <v>1</v>
      </c>
      <c r="AM223" s="856" t="s">
        <v>1</v>
      </c>
      <c r="AN223" s="856" t="s">
        <v>1</v>
      </c>
      <c r="AO223" s="856" t="s">
        <v>1</v>
      </c>
      <c r="AP223" s="856" t="s">
        <v>1</v>
      </c>
      <c r="AQ223" s="856" t="s">
        <v>1</v>
      </c>
      <c r="AR223" s="856" t="s">
        <v>1</v>
      </c>
    </row>
    <row r="224" spans="1:44">
      <c r="A224" s="99" t="s">
        <v>169</v>
      </c>
      <c r="B224" s="94"/>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123"/>
      <c r="AD224" s="126"/>
      <c r="AE224" s="97"/>
      <c r="AF224" s="127"/>
      <c r="AG224" s="128"/>
      <c r="AH224" s="134"/>
      <c r="AI224" s="135"/>
      <c r="AJ224" s="129"/>
      <c r="AK224" s="805"/>
      <c r="AL224" s="812"/>
      <c r="AM224" s="812"/>
      <c r="AN224" s="812"/>
      <c r="AO224" s="812"/>
      <c r="AP224" s="812"/>
      <c r="AQ224" s="812"/>
      <c r="AR224" s="812"/>
    </row>
    <row r="225" spans="1:44">
      <c r="A225" s="104" t="s">
        <v>109</v>
      </c>
      <c r="B225" s="94"/>
      <c r="C225" s="95" t="s">
        <v>1</v>
      </c>
      <c r="D225" s="95" t="s">
        <v>1</v>
      </c>
      <c r="E225" s="95" t="s">
        <v>1</v>
      </c>
      <c r="F225" s="95" t="s">
        <v>1</v>
      </c>
      <c r="G225" s="95" t="s">
        <v>1</v>
      </c>
      <c r="H225" s="95" t="s">
        <v>1</v>
      </c>
      <c r="I225" s="95" t="s">
        <v>1</v>
      </c>
      <c r="J225" s="95" t="s">
        <v>1</v>
      </c>
      <c r="K225" s="95" t="s">
        <v>1</v>
      </c>
      <c r="L225" s="95" t="s">
        <v>1</v>
      </c>
      <c r="M225" s="95" t="s">
        <v>1</v>
      </c>
      <c r="N225" s="95" t="s">
        <v>1</v>
      </c>
      <c r="O225" s="95" t="s">
        <v>1</v>
      </c>
      <c r="P225" s="95" t="s">
        <v>1</v>
      </c>
      <c r="Q225" s="95" t="s">
        <v>1</v>
      </c>
      <c r="R225" s="90">
        <v>66.599999999999994</v>
      </c>
      <c r="S225" s="90">
        <v>68.599999999999994</v>
      </c>
      <c r="T225" s="90">
        <v>47.5</v>
      </c>
      <c r="U225" s="90">
        <v>56.6</v>
      </c>
      <c r="V225" s="90">
        <v>57.7</v>
      </c>
      <c r="W225" s="90">
        <v>56.6</v>
      </c>
      <c r="X225" s="90">
        <v>56.1</v>
      </c>
      <c r="Y225" s="90">
        <v>57.1</v>
      </c>
      <c r="Z225" s="90">
        <v>53.7</v>
      </c>
      <c r="AA225" s="90">
        <v>48.3</v>
      </c>
      <c r="AB225" s="90">
        <v>48.5</v>
      </c>
      <c r="AC225" s="123">
        <v>48.1</v>
      </c>
      <c r="AD225" s="126">
        <v>52.3</v>
      </c>
      <c r="AE225" s="127">
        <v>60.8</v>
      </c>
      <c r="AF225" s="127">
        <v>60.9</v>
      </c>
      <c r="AG225" s="128">
        <v>64.900000000000006</v>
      </c>
      <c r="AH225" s="134">
        <v>65.2</v>
      </c>
      <c r="AI225" s="135">
        <v>69.022000000000006</v>
      </c>
      <c r="AJ225" s="129">
        <v>74.599999999999994</v>
      </c>
      <c r="AK225" s="855">
        <v>80.7</v>
      </c>
      <c r="AL225" s="856" t="s">
        <v>1</v>
      </c>
      <c r="AM225" s="856" t="s">
        <v>1</v>
      </c>
      <c r="AN225" s="856" t="s">
        <v>1</v>
      </c>
      <c r="AO225" s="856" t="s">
        <v>1</v>
      </c>
      <c r="AP225" s="856" t="s">
        <v>1</v>
      </c>
      <c r="AQ225" s="856" t="s">
        <v>1</v>
      </c>
      <c r="AR225" s="856" t="s">
        <v>1</v>
      </c>
    </row>
    <row r="226" spans="1:44">
      <c r="A226" s="104" t="s">
        <v>135</v>
      </c>
      <c r="B226" s="94"/>
      <c r="C226" s="95" t="s">
        <v>1</v>
      </c>
      <c r="D226" s="95" t="s">
        <v>1</v>
      </c>
      <c r="E226" s="95" t="s">
        <v>1</v>
      </c>
      <c r="F226" s="95" t="s">
        <v>1</v>
      </c>
      <c r="G226" s="95" t="s">
        <v>1</v>
      </c>
      <c r="H226" s="95" t="s">
        <v>1</v>
      </c>
      <c r="I226" s="95" t="s">
        <v>1</v>
      </c>
      <c r="J226" s="95" t="s">
        <v>1</v>
      </c>
      <c r="K226" s="95" t="s">
        <v>1</v>
      </c>
      <c r="L226" s="95" t="s">
        <v>1</v>
      </c>
      <c r="M226" s="95" t="s">
        <v>1</v>
      </c>
      <c r="N226" s="95" t="s">
        <v>1</v>
      </c>
      <c r="O226" s="95" t="s">
        <v>1</v>
      </c>
      <c r="P226" s="95" t="s">
        <v>1</v>
      </c>
      <c r="Q226" s="95" t="s">
        <v>1</v>
      </c>
      <c r="R226" s="90"/>
      <c r="S226" s="90"/>
      <c r="T226" s="90"/>
      <c r="U226" s="90"/>
      <c r="V226" s="90"/>
      <c r="W226" s="90">
        <v>3.1</v>
      </c>
      <c r="X226" s="90">
        <v>2.5</v>
      </c>
      <c r="Y226" s="90">
        <v>1.9</v>
      </c>
      <c r="Z226" s="90">
        <v>1.4</v>
      </c>
      <c r="AA226" s="90">
        <v>1.2</v>
      </c>
      <c r="AB226" s="90">
        <v>1.2</v>
      </c>
      <c r="AC226" s="123" t="s">
        <v>63</v>
      </c>
      <c r="AD226" s="126">
        <v>1.4</v>
      </c>
      <c r="AE226" s="127">
        <v>1.5</v>
      </c>
      <c r="AF226" s="127">
        <v>1.5</v>
      </c>
      <c r="AG226" s="128">
        <v>1.3</v>
      </c>
      <c r="AH226" s="134">
        <v>1.3</v>
      </c>
      <c r="AI226" s="135">
        <v>1.3879999999999999</v>
      </c>
      <c r="AJ226" s="129">
        <v>1.6</v>
      </c>
      <c r="AK226" s="855">
        <v>1.1000000000000001</v>
      </c>
      <c r="AL226" s="856" t="s">
        <v>1</v>
      </c>
      <c r="AM226" s="856" t="s">
        <v>1</v>
      </c>
      <c r="AN226" s="856" t="s">
        <v>1</v>
      </c>
      <c r="AO226" s="856" t="s">
        <v>1</v>
      </c>
      <c r="AP226" s="856" t="s">
        <v>1</v>
      </c>
      <c r="AQ226" s="856" t="s">
        <v>1</v>
      </c>
      <c r="AR226" s="856" t="s">
        <v>1</v>
      </c>
    </row>
    <row r="227" spans="1:44">
      <c r="A227" s="104" t="s">
        <v>110</v>
      </c>
      <c r="B227" s="94"/>
      <c r="C227" s="95" t="s">
        <v>1</v>
      </c>
      <c r="D227" s="95" t="s">
        <v>1</v>
      </c>
      <c r="E227" s="95" t="s">
        <v>1</v>
      </c>
      <c r="F227" s="95" t="s">
        <v>1</v>
      </c>
      <c r="G227" s="95" t="s">
        <v>1</v>
      </c>
      <c r="H227" s="95" t="s">
        <v>1</v>
      </c>
      <c r="I227" s="95" t="s">
        <v>1</v>
      </c>
      <c r="J227" s="95" t="s">
        <v>1</v>
      </c>
      <c r="K227" s="95" t="s">
        <v>1</v>
      </c>
      <c r="L227" s="95" t="s">
        <v>1</v>
      </c>
      <c r="M227" s="95" t="s">
        <v>1</v>
      </c>
      <c r="N227" s="95" t="s">
        <v>1</v>
      </c>
      <c r="O227" s="95" t="s">
        <v>1</v>
      </c>
      <c r="P227" s="95" t="s">
        <v>1</v>
      </c>
      <c r="Q227" s="95" t="s">
        <v>1</v>
      </c>
      <c r="R227" s="90">
        <v>30.8</v>
      </c>
      <c r="S227" s="90">
        <v>31.2</v>
      </c>
      <c r="T227" s="90">
        <v>33.4</v>
      </c>
      <c r="U227" s="90">
        <v>32.299999999999997</v>
      </c>
      <c r="V227" s="90">
        <v>32.299999999999997</v>
      </c>
      <c r="W227" s="90">
        <v>29</v>
      </c>
      <c r="X227" s="90">
        <v>18</v>
      </c>
      <c r="Y227" s="90">
        <v>18.100000000000001</v>
      </c>
      <c r="Z227" s="90">
        <v>12.8</v>
      </c>
      <c r="AA227" s="90">
        <v>15.8</v>
      </c>
      <c r="AB227" s="90">
        <v>14.4</v>
      </c>
      <c r="AC227" s="123">
        <v>14.1</v>
      </c>
      <c r="AD227" s="126">
        <v>13.5</v>
      </c>
      <c r="AE227" s="127">
        <v>13.3</v>
      </c>
      <c r="AF227" s="127">
        <v>10.9</v>
      </c>
      <c r="AG227" s="128">
        <v>10.8</v>
      </c>
      <c r="AH227" s="134">
        <v>16.5</v>
      </c>
      <c r="AI227" s="135">
        <v>19.689</v>
      </c>
      <c r="AJ227" s="129">
        <v>21.3</v>
      </c>
      <c r="AK227" s="855">
        <v>22.033999999999999</v>
      </c>
      <c r="AL227" s="856" t="s">
        <v>1</v>
      </c>
      <c r="AM227" s="856" t="s">
        <v>1</v>
      </c>
      <c r="AN227" s="856" t="s">
        <v>1</v>
      </c>
      <c r="AO227" s="856" t="s">
        <v>1</v>
      </c>
      <c r="AP227" s="856" t="s">
        <v>1</v>
      </c>
      <c r="AQ227" s="856" t="s">
        <v>1</v>
      </c>
      <c r="AR227" s="856" t="s">
        <v>1</v>
      </c>
    </row>
    <row r="228" spans="1:44">
      <c r="A228" s="104" t="s">
        <v>111</v>
      </c>
      <c r="B228" s="94"/>
      <c r="C228" s="95" t="s">
        <v>1</v>
      </c>
      <c r="D228" s="95" t="s">
        <v>1</v>
      </c>
      <c r="E228" s="95" t="s">
        <v>1</v>
      </c>
      <c r="F228" s="95" t="s">
        <v>1</v>
      </c>
      <c r="G228" s="95" t="s">
        <v>1</v>
      </c>
      <c r="H228" s="95" t="s">
        <v>1</v>
      </c>
      <c r="I228" s="95" t="s">
        <v>1</v>
      </c>
      <c r="J228" s="95" t="s">
        <v>1</v>
      </c>
      <c r="K228" s="95" t="s">
        <v>1</v>
      </c>
      <c r="L228" s="95" t="s">
        <v>1</v>
      </c>
      <c r="M228" s="95" t="s">
        <v>1</v>
      </c>
      <c r="N228" s="95" t="s">
        <v>1</v>
      </c>
      <c r="O228" s="95" t="s">
        <v>1</v>
      </c>
      <c r="P228" s="95" t="s">
        <v>1</v>
      </c>
      <c r="Q228" s="95" t="s">
        <v>1</v>
      </c>
      <c r="R228" s="90">
        <v>65.599999999999994</v>
      </c>
      <c r="S228" s="90">
        <v>69</v>
      </c>
      <c r="T228" s="90">
        <v>60.8</v>
      </c>
      <c r="U228" s="90">
        <v>55.9</v>
      </c>
      <c r="V228" s="90">
        <v>57.8</v>
      </c>
      <c r="W228" s="90">
        <v>56.1</v>
      </c>
      <c r="X228" s="90">
        <v>51.9</v>
      </c>
      <c r="Y228" s="90">
        <v>48.4</v>
      </c>
      <c r="Z228" s="90">
        <v>48.3</v>
      </c>
      <c r="AA228" s="90">
        <v>46.4</v>
      </c>
      <c r="AB228" s="90">
        <v>47.5</v>
      </c>
      <c r="AC228" s="123">
        <v>47.3</v>
      </c>
      <c r="AD228" s="126">
        <v>53.8</v>
      </c>
      <c r="AE228" s="127">
        <v>61.3</v>
      </c>
      <c r="AF228" s="127">
        <v>61.4</v>
      </c>
      <c r="AG228" s="128">
        <v>63.7</v>
      </c>
      <c r="AH228" s="134">
        <v>64.099999999999994</v>
      </c>
      <c r="AI228" s="135">
        <v>65.63</v>
      </c>
      <c r="AJ228" s="129">
        <v>71.8</v>
      </c>
      <c r="AK228" s="855">
        <v>78.22</v>
      </c>
      <c r="AL228" s="856" t="s">
        <v>1</v>
      </c>
      <c r="AM228" s="856" t="s">
        <v>1</v>
      </c>
      <c r="AN228" s="856" t="s">
        <v>1</v>
      </c>
      <c r="AO228" s="856" t="s">
        <v>1</v>
      </c>
      <c r="AP228" s="856" t="s">
        <v>1</v>
      </c>
      <c r="AQ228" s="856" t="s">
        <v>1</v>
      </c>
      <c r="AR228" s="856" t="s">
        <v>1</v>
      </c>
    </row>
    <row r="229" spans="1:44">
      <c r="A229" s="104" t="s">
        <v>388</v>
      </c>
      <c r="B229" s="94"/>
      <c r="C229" s="95" t="s">
        <v>1</v>
      </c>
      <c r="D229" s="95" t="s">
        <v>1</v>
      </c>
      <c r="E229" s="95" t="s">
        <v>1</v>
      </c>
      <c r="F229" s="95" t="s">
        <v>1</v>
      </c>
      <c r="G229" s="95" t="s">
        <v>1</v>
      </c>
      <c r="H229" s="95" t="s">
        <v>1</v>
      </c>
      <c r="I229" s="95" t="s">
        <v>1</v>
      </c>
      <c r="J229" s="95" t="s">
        <v>1</v>
      </c>
      <c r="K229" s="95" t="s">
        <v>1</v>
      </c>
      <c r="L229" s="95" t="s">
        <v>1</v>
      </c>
      <c r="M229" s="95" t="s">
        <v>1</v>
      </c>
      <c r="N229" s="95" t="s">
        <v>1</v>
      </c>
      <c r="O229" s="95" t="s">
        <v>1</v>
      </c>
      <c r="P229" s="95" t="s">
        <v>1</v>
      </c>
      <c r="Q229" s="95" t="s">
        <v>1</v>
      </c>
      <c r="R229" s="90">
        <v>9.1</v>
      </c>
      <c r="S229" s="90">
        <v>9.6</v>
      </c>
      <c r="T229" s="90">
        <v>8.1</v>
      </c>
      <c r="U229" s="90">
        <v>4.3</v>
      </c>
      <c r="V229" s="90">
        <v>2.8</v>
      </c>
      <c r="W229" s="90">
        <v>3</v>
      </c>
      <c r="X229" s="95" t="s">
        <v>1</v>
      </c>
      <c r="Y229" s="95" t="s">
        <v>1</v>
      </c>
      <c r="Z229" s="95" t="s">
        <v>1</v>
      </c>
      <c r="AA229" s="95" t="s">
        <v>1</v>
      </c>
      <c r="AB229" s="95" t="s">
        <v>1</v>
      </c>
      <c r="AC229" s="130" t="s">
        <v>1</v>
      </c>
      <c r="AD229" s="131" t="s">
        <v>1</v>
      </c>
      <c r="AE229" s="127" t="s">
        <v>1</v>
      </c>
      <c r="AF229" s="132" t="s">
        <v>1</v>
      </c>
      <c r="AG229" s="136" t="s">
        <v>1</v>
      </c>
      <c r="AH229" s="134" t="s">
        <v>1</v>
      </c>
      <c r="AI229" s="135" t="s">
        <v>1</v>
      </c>
      <c r="AJ229" s="129" t="s">
        <v>1</v>
      </c>
      <c r="AK229" s="855" t="s">
        <v>1</v>
      </c>
      <c r="AL229" s="856" t="s">
        <v>1</v>
      </c>
      <c r="AM229" s="856" t="s">
        <v>1</v>
      </c>
      <c r="AN229" s="856" t="s">
        <v>1</v>
      </c>
      <c r="AO229" s="856" t="s">
        <v>1</v>
      </c>
      <c r="AP229" s="856" t="s">
        <v>1</v>
      </c>
      <c r="AQ229" s="856" t="s">
        <v>1</v>
      </c>
      <c r="AR229" s="856" t="s">
        <v>1</v>
      </c>
    </row>
    <row r="230" spans="1:44">
      <c r="A230" s="104" t="s">
        <v>136</v>
      </c>
      <c r="B230" s="94"/>
      <c r="C230" s="95" t="s">
        <v>1</v>
      </c>
      <c r="D230" s="95" t="s">
        <v>1</v>
      </c>
      <c r="E230" s="95" t="s">
        <v>1</v>
      </c>
      <c r="F230" s="95" t="s">
        <v>1</v>
      </c>
      <c r="G230" s="95" t="s">
        <v>1</v>
      </c>
      <c r="H230" s="95" t="s">
        <v>1</v>
      </c>
      <c r="I230" s="95" t="s">
        <v>1</v>
      </c>
      <c r="J230" s="95" t="s">
        <v>1</v>
      </c>
      <c r="K230" s="95" t="s">
        <v>1</v>
      </c>
      <c r="L230" s="95" t="s">
        <v>1</v>
      </c>
      <c r="M230" s="95" t="s">
        <v>1</v>
      </c>
      <c r="N230" s="95" t="s">
        <v>1</v>
      </c>
      <c r="O230" s="95" t="s">
        <v>1</v>
      </c>
      <c r="P230" s="95" t="s">
        <v>1</v>
      </c>
      <c r="Q230" s="95" t="s">
        <v>1</v>
      </c>
      <c r="R230" s="90">
        <v>47.6</v>
      </c>
      <c r="S230" s="90">
        <v>48.8</v>
      </c>
      <c r="T230" s="90">
        <v>44</v>
      </c>
      <c r="U230" s="90">
        <v>37.6</v>
      </c>
      <c r="V230" s="90">
        <v>34.4</v>
      </c>
      <c r="W230" s="90">
        <v>34</v>
      </c>
      <c r="X230" s="90">
        <v>28.5</v>
      </c>
      <c r="Y230" s="90">
        <v>21.6</v>
      </c>
      <c r="Z230" s="90">
        <v>16.100000000000001</v>
      </c>
      <c r="AA230" s="90">
        <v>14.2</v>
      </c>
      <c r="AB230" s="90">
        <v>15.6</v>
      </c>
      <c r="AC230" s="123">
        <v>16.8</v>
      </c>
      <c r="AD230" s="126">
        <v>19.100000000000001</v>
      </c>
      <c r="AE230" s="127">
        <v>22.3</v>
      </c>
      <c r="AF230" s="127">
        <v>25.6</v>
      </c>
      <c r="AG230" s="128">
        <v>28.9</v>
      </c>
      <c r="AH230" s="134">
        <v>28.2</v>
      </c>
      <c r="AI230" s="135">
        <v>28.280999999999999</v>
      </c>
      <c r="AJ230" s="129">
        <v>29.6</v>
      </c>
      <c r="AK230" s="855">
        <v>33.347000000000001</v>
      </c>
      <c r="AL230" s="856" t="s">
        <v>1</v>
      </c>
      <c r="AM230" s="856" t="s">
        <v>1</v>
      </c>
      <c r="AN230" s="856" t="s">
        <v>1</v>
      </c>
      <c r="AO230" s="856" t="s">
        <v>1</v>
      </c>
      <c r="AP230" s="856" t="s">
        <v>1</v>
      </c>
      <c r="AQ230" s="856" t="s">
        <v>1</v>
      </c>
      <c r="AR230" s="856" t="s">
        <v>1</v>
      </c>
    </row>
    <row r="231" spans="1:44">
      <c r="A231" s="104" t="s">
        <v>112</v>
      </c>
      <c r="B231" s="94"/>
      <c r="C231" s="95" t="s">
        <v>1</v>
      </c>
      <c r="D231" s="95" t="s">
        <v>1</v>
      </c>
      <c r="E231" s="95" t="s">
        <v>1</v>
      </c>
      <c r="F231" s="95" t="s">
        <v>1</v>
      </c>
      <c r="G231" s="95" t="s">
        <v>1</v>
      </c>
      <c r="H231" s="95" t="s">
        <v>1</v>
      </c>
      <c r="I231" s="95" t="s">
        <v>1</v>
      </c>
      <c r="J231" s="95" t="s">
        <v>1</v>
      </c>
      <c r="K231" s="95" t="s">
        <v>1</v>
      </c>
      <c r="L231" s="95" t="s">
        <v>1</v>
      </c>
      <c r="M231" s="95" t="s">
        <v>1</v>
      </c>
      <c r="N231" s="95" t="s">
        <v>1</v>
      </c>
      <c r="O231" s="95" t="s">
        <v>1</v>
      </c>
      <c r="P231" s="95" t="s">
        <v>1</v>
      </c>
      <c r="Q231" s="95" t="s">
        <v>1</v>
      </c>
      <c r="R231" s="95" t="s">
        <v>1</v>
      </c>
      <c r="S231" s="95" t="s">
        <v>1</v>
      </c>
      <c r="T231" s="95" t="s">
        <v>1</v>
      </c>
      <c r="U231" s="95" t="s">
        <v>1</v>
      </c>
      <c r="V231" s="95" t="s">
        <v>1</v>
      </c>
      <c r="W231" s="95" t="s">
        <v>1</v>
      </c>
      <c r="X231" s="95" t="s">
        <v>1</v>
      </c>
      <c r="Y231" s="95" t="s">
        <v>1</v>
      </c>
      <c r="Z231" s="95" t="s">
        <v>1</v>
      </c>
      <c r="AA231" s="95" t="s">
        <v>1</v>
      </c>
      <c r="AB231" s="95" t="s">
        <v>1</v>
      </c>
      <c r="AC231" s="130" t="s">
        <v>1</v>
      </c>
      <c r="AD231" s="131" t="s">
        <v>1</v>
      </c>
      <c r="AE231" s="127" t="s">
        <v>1</v>
      </c>
      <c r="AF231" s="132" t="s">
        <v>1</v>
      </c>
      <c r="AG231" s="136" t="s">
        <v>1</v>
      </c>
      <c r="AH231" s="134" t="s">
        <v>1</v>
      </c>
      <c r="AI231" s="135" t="s">
        <v>1</v>
      </c>
      <c r="AJ231" s="129" t="s">
        <v>1</v>
      </c>
      <c r="AK231" s="805" t="s">
        <v>1</v>
      </c>
      <c r="AL231" s="856" t="s">
        <v>1</v>
      </c>
      <c r="AM231" s="856" t="s">
        <v>1</v>
      </c>
      <c r="AN231" s="856" t="s">
        <v>1</v>
      </c>
      <c r="AO231" s="856" t="s">
        <v>1</v>
      </c>
      <c r="AP231" s="856" t="s">
        <v>1</v>
      </c>
      <c r="AQ231" s="856" t="s">
        <v>1</v>
      </c>
      <c r="AR231" s="856" t="s">
        <v>1</v>
      </c>
    </row>
    <row r="232" spans="1:44">
      <c r="A232" s="104" t="s">
        <v>113</v>
      </c>
      <c r="B232" s="94"/>
      <c r="C232" s="95" t="s">
        <v>1</v>
      </c>
      <c r="D232" s="95" t="s">
        <v>1</v>
      </c>
      <c r="E232" s="95" t="s">
        <v>1</v>
      </c>
      <c r="F232" s="95" t="s">
        <v>1</v>
      </c>
      <c r="G232" s="95" t="s">
        <v>1</v>
      </c>
      <c r="H232" s="95" t="s">
        <v>1</v>
      </c>
      <c r="I232" s="95" t="s">
        <v>1</v>
      </c>
      <c r="J232" s="95" t="s">
        <v>1</v>
      </c>
      <c r="K232" s="95" t="s">
        <v>1</v>
      </c>
      <c r="L232" s="95" t="s">
        <v>1</v>
      </c>
      <c r="M232" s="95" t="s">
        <v>1</v>
      </c>
      <c r="N232" s="95" t="s">
        <v>1</v>
      </c>
      <c r="O232" s="95" t="s">
        <v>1</v>
      </c>
      <c r="P232" s="95" t="s">
        <v>1</v>
      </c>
      <c r="Q232" s="95" t="s">
        <v>1</v>
      </c>
      <c r="R232" s="90">
        <v>1.7</v>
      </c>
      <c r="S232" s="90">
        <v>1.6</v>
      </c>
      <c r="T232" s="90">
        <v>1.4</v>
      </c>
      <c r="U232" s="90">
        <v>1.4</v>
      </c>
      <c r="V232" s="90">
        <v>1.5</v>
      </c>
      <c r="W232" s="90">
        <v>1.4</v>
      </c>
      <c r="X232" s="90">
        <v>1.4</v>
      </c>
      <c r="Y232" s="90">
        <v>1.4</v>
      </c>
      <c r="Z232" s="90">
        <v>1.4</v>
      </c>
      <c r="AA232" s="90">
        <v>2.8</v>
      </c>
      <c r="AB232" s="90">
        <v>3.6</v>
      </c>
      <c r="AC232" s="123" t="s">
        <v>63</v>
      </c>
      <c r="AD232" s="126">
        <v>3.7</v>
      </c>
      <c r="AE232" s="127">
        <v>3.5</v>
      </c>
      <c r="AF232" s="127">
        <v>3.1</v>
      </c>
      <c r="AG232" s="128">
        <v>2.6</v>
      </c>
      <c r="AH232" s="134">
        <v>2.2999999999999998</v>
      </c>
      <c r="AI232" s="135">
        <v>2.6230000000000002</v>
      </c>
      <c r="AJ232" s="129">
        <v>3.1</v>
      </c>
      <c r="AK232" s="855">
        <v>3.581</v>
      </c>
      <c r="AL232" s="856" t="s">
        <v>1</v>
      </c>
      <c r="AM232" s="856" t="s">
        <v>1</v>
      </c>
      <c r="AN232" s="856" t="s">
        <v>1</v>
      </c>
      <c r="AO232" s="856" t="s">
        <v>1</v>
      </c>
      <c r="AP232" s="856" t="s">
        <v>1</v>
      </c>
      <c r="AQ232" s="856" t="s">
        <v>1</v>
      </c>
      <c r="AR232" s="856" t="s">
        <v>1</v>
      </c>
    </row>
    <row r="233" spans="1:44" ht="15">
      <c r="A233" s="93" t="s">
        <v>412</v>
      </c>
      <c r="B233" s="89" t="s">
        <v>185</v>
      </c>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1"/>
      <c r="AD233" s="125"/>
      <c r="AE233" s="97"/>
      <c r="AF233" s="48"/>
      <c r="AG233" s="41"/>
      <c r="AH233" s="50"/>
      <c r="AI233" s="48"/>
      <c r="AJ233" s="16"/>
      <c r="AK233" s="812"/>
      <c r="AL233" s="812"/>
      <c r="AM233" s="812"/>
      <c r="AN233" s="164"/>
      <c r="AO233" s="164"/>
      <c r="AP233" s="164"/>
      <c r="AQ233" s="164"/>
      <c r="AR233" s="4"/>
    </row>
    <row r="234" spans="1:44">
      <c r="A234" s="93" t="s">
        <v>190</v>
      </c>
      <c r="B234" s="94"/>
      <c r="C234" s="90" t="s">
        <v>4</v>
      </c>
      <c r="D234" s="90" t="s">
        <v>4</v>
      </c>
      <c r="E234" s="90" t="s">
        <v>4</v>
      </c>
      <c r="F234" s="90" t="s">
        <v>4</v>
      </c>
      <c r="G234" s="90" t="s">
        <v>4</v>
      </c>
      <c r="H234" s="90" t="s">
        <v>4</v>
      </c>
      <c r="I234" s="90" t="s">
        <v>4</v>
      </c>
      <c r="J234" s="90" t="s">
        <v>4</v>
      </c>
      <c r="K234" s="95">
        <v>15479</v>
      </c>
      <c r="L234" s="95">
        <v>18719</v>
      </c>
      <c r="M234" s="95">
        <v>19394</v>
      </c>
      <c r="N234" s="95">
        <v>15458</v>
      </c>
      <c r="O234" s="95">
        <v>14879</v>
      </c>
      <c r="P234" s="95">
        <v>18521</v>
      </c>
      <c r="Q234" s="95">
        <v>18341</v>
      </c>
      <c r="R234" s="95">
        <v>17721</v>
      </c>
      <c r="S234" s="95">
        <v>14785</v>
      </c>
      <c r="T234" s="95">
        <v>14830</v>
      </c>
      <c r="U234" s="95">
        <v>12694</v>
      </c>
      <c r="V234" s="95">
        <v>19002</v>
      </c>
      <c r="W234" s="95">
        <v>29695</v>
      </c>
      <c r="X234" s="95">
        <v>52022</v>
      </c>
      <c r="Y234" s="95">
        <v>55482</v>
      </c>
      <c r="Z234" s="95">
        <v>61391</v>
      </c>
      <c r="AA234" s="95">
        <v>73505</v>
      </c>
      <c r="AB234" s="95">
        <v>68702</v>
      </c>
      <c r="AC234" s="105">
        <v>63797</v>
      </c>
      <c r="AD234" s="95">
        <v>62646</v>
      </c>
      <c r="AE234" s="95">
        <v>50344</v>
      </c>
      <c r="AF234" s="137">
        <v>28673</v>
      </c>
      <c r="AG234" s="138">
        <v>27725</v>
      </c>
      <c r="AH234" s="139">
        <v>34891</v>
      </c>
      <c r="AI234" s="109">
        <v>27576</v>
      </c>
      <c r="AJ234" s="111">
        <v>24965</v>
      </c>
      <c r="AK234" s="805">
        <v>22150</v>
      </c>
      <c r="AL234" s="805">
        <v>1865</v>
      </c>
      <c r="AM234" s="798">
        <v>3459</v>
      </c>
      <c r="AN234" s="899">
        <v>5204</v>
      </c>
      <c r="AO234" s="899">
        <v>6696</v>
      </c>
      <c r="AP234" s="899">
        <v>8732</v>
      </c>
      <c r="AQ234" s="899">
        <v>10405</v>
      </c>
      <c r="AR234" s="799">
        <v>12240</v>
      </c>
    </row>
    <row r="235" spans="1:44">
      <c r="A235" s="99" t="s">
        <v>169</v>
      </c>
      <c r="B235" s="94"/>
      <c r="C235" s="90"/>
      <c r="D235" s="90"/>
      <c r="E235" s="90"/>
      <c r="F235" s="90"/>
      <c r="G235" s="90"/>
      <c r="H235" s="90"/>
      <c r="I235" s="90"/>
      <c r="J235" s="90"/>
      <c r="K235" s="95"/>
      <c r="L235" s="95"/>
      <c r="M235" s="95"/>
      <c r="N235" s="95"/>
      <c r="O235" s="95"/>
      <c r="P235" s="95"/>
      <c r="Q235" s="95"/>
      <c r="R235" s="95"/>
      <c r="S235" s="95"/>
      <c r="T235" s="95"/>
      <c r="U235" s="95"/>
      <c r="V235" s="95"/>
      <c r="W235" s="95"/>
      <c r="X235" s="95"/>
      <c r="Y235" s="95"/>
      <c r="Z235" s="95"/>
      <c r="AA235" s="95"/>
      <c r="AB235" s="95"/>
      <c r="AC235" s="105"/>
      <c r="AD235" s="95"/>
      <c r="AE235" s="95"/>
      <c r="AF235" s="137"/>
      <c r="AG235" s="138"/>
      <c r="AH235" s="139"/>
      <c r="AI235" s="109"/>
      <c r="AJ235" s="11"/>
      <c r="AK235" s="805"/>
      <c r="AL235" s="812"/>
      <c r="AM235" s="798"/>
      <c r="AN235" s="899"/>
      <c r="AO235" s="899"/>
      <c r="AP235" s="899"/>
      <c r="AQ235" s="164"/>
      <c r="AR235" s="4"/>
    </row>
    <row r="236" spans="1:44">
      <c r="A236" s="104" t="s">
        <v>109</v>
      </c>
      <c r="B236" s="94"/>
      <c r="C236" s="95" t="s">
        <v>1</v>
      </c>
      <c r="D236" s="95" t="s">
        <v>1</v>
      </c>
      <c r="E236" s="95" t="s">
        <v>1</v>
      </c>
      <c r="F236" s="95" t="s">
        <v>1</v>
      </c>
      <c r="G236" s="95" t="s">
        <v>1</v>
      </c>
      <c r="H236" s="95" t="s">
        <v>1</v>
      </c>
      <c r="I236" s="95" t="s">
        <v>1</v>
      </c>
      <c r="J236" s="95" t="s">
        <v>1</v>
      </c>
      <c r="K236" s="95" t="s">
        <v>1</v>
      </c>
      <c r="L236" s="95" t="s">
        <v>1</v>
      </c>
      <c r="M236" s="95" t="s">
        <v>1</v>
      </c>
      <c r="N236" s="95" t="s">
        <v>1</v>
      </c>
      <c r="O236" s="95" t="s">
        <v>1</v>
      </c>
      <c r="P236" s="95" t="s">
        <v>1</v>
      </c>
      <c r="Q236" s="95" t="s">
        <v>1</v>
      </c>
      <c r="R236" s="95" t="s">
        <v>1</v>
      </c>
      <c r="S236" s="95" t="s">
        <v>1</v>
      </c>
      <c r="T236" s="95" t="s">
        <v>1</v>
      </c>
      <c r="U236" s="95" t="s">
        <v>1</v>
      </c>
      <c r="V236" s="95" t="s">
        <v>1</v>
      </c>
      <c r="W236" s="95">
        <v>6673</v>
      </c>
      <c r="X236" s="95">
        <v>12996</v>
      </c>
      <c r="Y236" s="95">
        <v>12051</v>
      </c>
      <c r="Z236" s="95">
        <v>13415</v>
      </c>
      <c r="AA236" s="95">
        <v>15167</v>
      </c>
      <c r="AB236" s="95">
        <v>15156</v>
      </c>
      <c r="AC236" s="105">
        <v>13955</v>
      </c>
      <c r="AD236" s="95">
        <v>14362</v>
      </c>
      <c r="AE236" s="95">
        <v>12563</v>
      </c>
      <c r="AF236" s="137">
        <v>5916</v>
      </c>
      <c r="AG236" s="138">
        <v>5217</v>
      </c>
      <c r="AH236" s="139">
        <v>7334</v>
      </c>
      <c r="AI236" s="109">
        <v>6105</v>
      </c>
      <c r="AJ236" s="111">
        <v>5366</v>
      </c>
      <c r="AK236" s="805">
        <v>4722</v>
      </c>
      <c r="AL236" s="805">
        <v>432</v>
      </c>
      <c r="AM236" s="798">
        <v>722</v>
      </c>
      <c r="AN236" s="899">
        <v>1110</v>
      </c>
      <c r="AO236" s="899">
        <v>1315</v>
      </c>
      <c r="AP236" s="899">
        <v>1731</v>
      </c>
      <c r="AQ236" s="899">
        <v>2149</v>
      </c>
      <c r="AR236" s="71">
        <v>2624</v>
      </c>
    </row>
    <row r="237" spans="1:44">
      <c r="A237" s="104" t="s">
        <v>135</v>
      </c>
      <c r="B237" s="94"/>
      <c r="C237" s="95" t="s">
        <v>1</v>
      </c>
      <c r="D237" s="95" t="s">
        <v>1</v>
      </c>
      <c r="E237" s="95" t="s">
        <v>1</v>
      </c>
      <c r="F237" s="95" t="s">
        <v>1</v>
      </c>
      <c r="G237" s="95" t="s">
        <v>1</v>
      </c>
      <c r="H237" s="95" t="s">
        <v>1</v>
      </c>
      <c r="I237" s="95" t="s">
        <v>1</v>
      </c>
      <c r="J237" s="95" t="s">
        <v>1</v>
      </c>
      <c r="K237" s="95" t="s">
        <v>1</v>
      </c>
      <c r="L237" s="95" t="s">
        <v>1</v>
      </c>
      <c r="M237" s="95" t="s">
        <v>1</v>
      </c>
      <c r="N237" s="95" t="s">
        <v>1</v>
      </c>
      <c r="O237" s="95" t="s">
        <v>1</v>
      </c>
      <c r="P237" s="95" t="s">
        <v>1</v>
      </c>
      <c r="Q237" s="95" t="s">
        <v>1</v>
      </c>
      <c r="R237" s="95" t="s">
        <v>1</v>
      </c>
      <c r="S237" s="95" t="s">
        <v>1</v>
      </c>
      <c r="T237" s="95" t="s">
        <v>1</v>
      </c>
      <c r="U237" s="95" t="s">
        <v>1</v>
      </c>
      <c r="V237" s="95" t="s">
        <v>1</v>
      </c>
      <c r="W237" s="95">
        <v>2454</v>
      </c>
      <c r="X237" s="95">
        <v>4291</v>
      </c>
      <c r="Y237" s="95">
        <v>5488</v>
      </c>
      <c r="Z237" s="95">
        <v>6352</v>
      </c>
      <c r="AA237" s="95">
        <v>8225</v>
      </c>
      <c r="AB237" s="95">
        <v>7431</v>
      </c>
      <c r="AC237" s="105">
        <v>6971</v>
      </c>
      <c r="AD237" s="95">
        <v>6910</v>
      </c>
      <c r="AE237" s="95">
        <v>6282</v>
      </c>
      <c r="AF237" s="137">
        <v>3951</v>
      </c>
      <c r="AG237" s="138">
        <v>4809</v>
      </c>
      <c r="AH237" s="139">
        <v>5924</v>
      </c>
      <c r="AI237" s="109">
        <v>4691</v>
      </c>
      <c r="AJ237" s="111">
        <v>4217</v>
      </c>
      <c r="AK237" s="805">
        <v>3411</v>
      </c>
      <c r="AL237" s="805">
        <v>232</v>
      </c>
      <c r="AM237" s="798">
        <v>479</v>
      </c>
      <c r="AN237" s="899">
        <v>730</v>
      </c>
      <c r="AO237" s="899">
        <v>968</v>
      </c>
      <c r="AP237" s="899">
        <v>1268</v>
      </c>
      <c r="AQ237" s="899">
        <v>1527</v>
      </c>
      <c r="AR237" s="71">
        <v>1776</v>
      </c>
    </row>
    <row r="238" spans="1:44">
      <c r="A238" s="104" t="s">
        <v>110</v>
      </c>
      <c r="B238" s="94"/>
      <c r="C238" s="95" t="s">
        <v>1</v>
      </c>
      <c r="D238" s="95" t="s">
        <v>1</v>
      </c>
      <c r="E238" s="95" t="s">
        <v>1</v>
      </c>
      <c r="F238" s="95" t="s">
        <v>1</v>
      </c>
      <c r="G238" s="95" t="s">
        <v>1</v>
      </c>
      <c r="H238" s="95" t="s">
        <v>1</v>
      </c>
      <c r="I238" s="95" t="s">
        <v>1</v>
      </c>
      <c r="J238" s="95" t="s">
        <v>1</v>
      </c>
      <c r="K238" s="95" t="s">
        <v>1</v>
      </c>
      <c r="L238" s="95" t="s">
        <v>1</v>
      </c>
      <c r="M238" s="95" t="s">
        <v>1</v>
      </c>
      <c r="N238" s="95" t="s">
        <v>1</v>
      </c>
      <c r="O238" s="95" t="s">
        <v>1</v>
      </c>
      <c r="P238" s="95" t="s">
        <v>1</v>
      </c>
      <c r="Q238" s="95" t="s">
        <v>1</v>
      </c>
      <c r="R238" s="95" t="s">
        <v>1</v>
      </c>
      <c r="S238" s="95" t="s">
        <v>1</v>
      </c>
      <c r="T238" s="95" t="s">
        <v>1</v>
      </c>
      <c r="U238" s="95" t="s">
        <v>1</v>
      </c>
      <c r="V238" s="95" t="s">
        <v>1</v>
      </c>
      <c r="W238" s="95">
        <v>5366</v>
      </c>
      <c r="X238" s="95">
        <v>9140</v>
      </c>
      <c r="Y238" s="95">
        <v>11088</v>
      </c>
      <c r="Z238" s="95">
        <v>11940</v>
      </c>
      <c r="AA238" s="95">
        <v>13283</v>
      </c>
      <c r="AB238" s="95">
        <v>11847</v>
      </c>
      <c r="AC238" s="105">
        <v>11372</v>
      </c>
      <c r="AD238" s="95">
        <v>10055</v>
      </c>
      <c r="AE238" s="95">
        <v>8841</v>
      </c>
      <c r="AF238" s="137">
        <v>4643</v>
      </c>
      <c r="AG238" s="138">
        <v>3890</v>
      </c>
      <c r="AH238" s="139">
        <v>5779</v>
      </c>
      <c r="AI238" s="109">
        <v>4210</v>
      </c>
      <c r="AJ238" s="111">
        <v>3371</v>
      </c>
      <c r="AK238" s="805">
        <v>3010</v>
      </c>
      <c r="AL238" s="805">
        <v>269</v>
      </c>
      <c r="AM238" s="798">
        <v>505</v>
      </c>
      <c r="AN238" s="899">
        <v>777</v>
      </c>
      <c r="AO238" s="899">
        <v>972</v>
      </c>
      <c r="AP238" s="899">
        <v>1266</v>
      </c>
      <c r="AQ238" s="899">
        <v>1483</v>
      </c>
      <c r="AR238" s="71">
        <v>1664</v>
      </c>
    </row>
    <row r="239" spans="1:44">
      <c r="A239" s="104" t="s">
        <v>111</v>
      </c>
      <c r="B239" s="94"/>
      <c r="C239" s="95" t="s">
        <v>1</v>
      </c>
      <c r="D239" s="95" t="s">
        <v>1</v>
      </c>
      <c r="E239" s="95" t="s">
        <v>1</v>
      </c>
      <c r="F239" s="95" t="s">
        <v>1</v>
      </c>
      <c r="G239" s="95" t="s">
        <v>1</v>
      </c>
      <c r="H239" s="95" t="s">
        <v>1</v>
      </c>
      <c r="I239" s="95" t="s">
        <v>1</v>
      </c>
      <c r="J239" s="95" t="s">
        <v>1</v>
      </c>
      <c r="K239" s="95" t="s">
        <v>1</v>
      </c>
      <c r="L239" s="95" t="s">
        <v>1</v>
      </c>
      <c r="M239" s="95" t="s">
        <v>1</v>
      </c>
      <c r="N239" s="95" t="s">
        <v>1</v>
      </c>
      <c r="O239" s="95" t="s">
        <v>1</v>
      </c>
      <c r="P239" s="95" t="s">
        <v>1</v>
      </c>
      <c r="Q239" s="95" t="s">
        <v>1</v>
      </c>
      <c r="R239" s="95" t="s">
        <v>1</v>
      </c>
      <c r="S239" s="95" t="s">
        <v>1</v>
      </c>
      <c r="T239" s="95" t="s">
        <v>1</v>
      </c>
      <c r="U239" s="95" t="s">
        <v>1</v>
      </c>
      <c r="V239" s="95" t="s">
        <v>1</v>
      </c>
      <c r="W239" s="95">
        <v>5603</v>
      </c>
      <c r="X239" s="95">
        <v>8107</v>
      </c>
      <c r="Y239" s="95">
        <v>7854</v>
      </c>
      <c r="Z239" s="95">
        <v>9396</v>
      </c>
      <c r="AA239" s="95">
        <v>11461</v>
      </c>
      <c r="AB239" s="95">
        <v>10262</v>
      </c>
      <c r="AC239" s="105">
        <v>9617</v>
      </c>
      <c r="AD239" s="95">
        <v>10036</v>
      </c>
      <c r="AE239" s="95">
        <v>8615</v>
      </c>
      <c r="AF239" s="137">
        <v>4321</v>
      </c>
      <c r="AG239" s="138">
        <v>4293</v>
      </c>
      <c r="AH239" s="139">
        <v>5328</v>
      </c>
      <c r="AI239" s="109">
        <v>3537</v>
      </c>
      <c r="AJ239" s="111">
        <v>3231</v>
      </c>
      <c r="AK239" s="805">
        <v>2909</v>
      </c>
      <c r="AL239" s="805">
        <v>248</v>
      </c>
      <c r="AM239" s="798">
        <v>455</v>
      </c>
      <c r="AN239" s="899">
        <v>685</v>
      </c>
      <c r="AO239" s="899">
        <v>961</v>
      </c>
      <c r="AP239" s="899">
        <v>1234</v>
      </c>
      <c r="AQ239" s="899">
        <v>1491</v>
      </c>
      <c r="AR239" s="71">
        <v>1766</v>
      </c>
    </row>
    <row r="240" spans="1:44">
      <c r="A240" s="104" t="s">
        <v>388</v>
      </c>
      <c r="B240" s="94"/>
      <c r="C240" s="95" t="s">
        <v>1</v>
      </c>
      <c r="D240" s="95" t="s">
        <v>1</v>
      </c>
      <c r="E240" s="95" t="s">
        <v>1</v>
      </c>
      <c r="F240" s="95" t="s">
        <v>1</v>
      </c>
      <c r="G240" s="95" t="s">
        <v>1</v>
      </c>
      <c r="H240" s="95" t="s">
        <v>1</v>
      </c>
      <c r="I240" s="95" t="s">
        <v>1</v>
      </c>
      <c r="J240" s="95" t="s">
        <v>1</v>
      </c>
      <c r="K240" s="95" t="s">
        <v>1</v>
      </c>
      <c r="L240" s="95" t="s">
        <v>1</v>
      </c>
      <c r="M240" s="95" t="s">
        <v>1</v>
      </c>
      <c r="N240" s="95" t="s">
        <v>1</v>
      </c>
      <c r="O240" s="95" t="s">
        <v>1</v>
      </c>
      <c r="P240" s="95" t="s">
        <v>1</v>
      </c>
      <c r="Q240" s="95" t="s">
        <v>1</v>
      </c>
      <c r="R240" s="95" t="s">
        <v>1</v>
      </c>
      <c r="S240" s="95" t="s">
        <v>1</v>
      </c>
      <c r="T240" s="95" t="s">
        <v>1</v>
      </c>
      <c r="U240" s="95" t="s">
        <v>1</v>
      </c>
      <c r="V240" s="95" t="s">
        <v>1</v>
      </c>
      <c r="W240" s="95">
        <v>2000</v>
      </c>
      <c r="X240" s="95">
        <v>4148</v>
      </c>
      <c r="Y240" s="95">
        <v>5649</v>
      </c>
      <c r="Z240" s="95">
        <v>6321</v>
      </c>
      <c r="AA240" s="95">
        <v>7627</v>
      </c>
      <c r="AB240" s="95">
        <v>6876</v>
      </c>
      <c r="AC240" s="105">
        <v>6308</v>
      </c>
      <c r="AD240" s="95">
        <v>6358</v>
      </c>
      <c r="AE240" s="95">
        <v>5719</v>
      </c>
      <c r="AF240" s="137">
        <v>2629</v>
      </c>
      <c r="AG240" s="138">
        <v>2869</v>
      </c>
      <c r="AH240" s="139">
        <v>3203</v>
      </c>
      <c r="AI240" s="109">
        <v>2043</v>
      </c>
      <c r="AJ240" s="111">
        <v>2067</v>
      </c>
      <c r="AK240" s="805">
        <v>1933</v>
      </c>
      <c r="AL240" s="805">
        <v>153</v>
      </c>
      <c r="AM240" s="798">
        <v>300</v>
      </c>
      <c r="AN240" s="899">
        <v>388</v>
      </c>
      <c r="AO240" s="899">
        <v>534</v>
      </c>
      <c r="AP240" s="899">
        <v>684</v>
      </c>
      <c r="AQ240" s="899">
        <v>808</v>
      </c>
      <c r="AR240" s="71">
        <v>935</v>
      </c>
    </row>
    <row r="241" spans="1:60">
      <c r="A241" s="104" t="s">
        <v>136</v>
      </c>
      <c r="B241" s="94"/>
      <c r="C241" s="95" t="s">
        <v>1</v>
      </c>
      <c r="D241" s="95" t="s">
        <v>1</v>
      </c>
      <c r="E241" s="95" t="s">
        <v>1</v>
      </c>
      <c r="F241" s="95" t="s">
        <v>1</v>
      </c>
      <c r="G241" s="95" t="s">
        <v>1</v>
      </c>
      <c r="H241" s="95" t="s">
        <v>1</v>
      </c>
      <c r="I241" s="95" t="s">
        <v>1</v>
      </c>
      <c r="J241" s="95" t="s">
        <v>1</v>
      </c>
      <c r="K241" s="95" t="s">
        <v>1</v>
      </c>
      <c r="L241" s="95" t="s">
        <v>1</v>
      </c>
      <c r="M241" s="95" t="s">
        <v>1</v>
      </c>
      <c r="N241" s="95" t="s">
        <v>1</v>
      </c>
      <c r="O241" s="95" t="s">
        <v>1</v>
      </c>
      <c r="P241" s="95" t="s">
        <v>1</v>
      </c>
      <c r="Q241" s="95" t="s">
        <v>1</v>
      </c>
      <c r="R241" s="95" t="s">
        <v>1</v>
      </c>
      <c r="S241" s="95" t="s">
        <v>1</v>
      </c>
      <c r="T241" s="95" t="s">
        <v>1</v>
      </c>
      <c r="U241" s="95" t="s">
        <v>1</v>
      </c>
      <c r="V241" s="95" t="s">
        <v>1</v>
      </c>
      <c r="W241" s="95">
        <v>4381</v>
      </c>
      <c r="X241" s="95">
        <v>7930</v>
      </c>
      <c r="Y241" s="95">
        <v>7919</v>
      </c>
      <c r="Z241" s="95">
        <v>8438</v>
      </c>
      <c r="AA241" s="95">
        <v>9042</v>
      </c>
      <c r="AB241" s="95">
        <v>8570</v>
      </c>
      <c r="AC241" s="105">
        <v>7979</v>
      </c>
      <c r="AD241" s="95">
        <v>7352</v>
      </c>
      <c r="AE241" s="95">
        <v>5902</v>
      </c>
      <c r="AF241" s="137">
        <v>3491</v>
      </c>
      <c r="AG241" s="138">
        <v>3305</v>
      </c>
      <c r="AH241" s="139">
        <v>3344</v>
      </c>
      <c r="AI241" s="109">
        <v>2797</v>
      </c>
      <c r="AJ241" s="111">
        <v>2835</v>
      </c>
      <c r="AK241" s="805">
        <v>2504</v>
      </c>
      <c r="AL241" s="805">
        <v>222</v>
      </c>
      <c r="AM241" s="798">
        <v>371</v>
      </c>
      <c r="AN241" s="899">
        <v>541</v>
      </c>
      <c r="AO241" s="899">
        <v>718</v>
      </c>
      <c r="AP241" s="899">
        <v>944</v>
      </c>
      <c r="AQ241" s="899">
        <v>1117</v>
      </c>
      <c r="AR241" s="71">
        <v>1346</v>
      </c>
    </row>
    <row r="242" spans="1:60">
      <c r="A242" s="104" t="s">
        <v>112</v>
      </c>
      <c r="B242" s="94"/>
      <c r="C242" s="95" t="s">
        <v>1</v>
      </c>
      <c r="D242" s="95" t="s">
        <v>1</v>
      </c>
      <c r="E242" s="95" t="s">
        <v>1</v>
      </c>
      <c r="F242" s="95" t="s">
        <v>1</v>
      </c>
      <c r="G242" s="95" t="s">
        <v>1</v>
      </c>
      <c r="H242" s="95" t="s">
        <v>1</v>
      </c>
      <c r="I242" s="95" t="s">
        <v>1</v>
      </c>
      <c r="J242" s="95" t="s">
        <v>1</v>
      </c>
      <c r="K242" s="95" t="s">
        <v>1</v>
      </c>
      <c r="L242" s="95" t="s">
        <v>1</v>
      </c>
      <c r="M242" s="95" t="s">
        <v>1</v>
      </c>
      <c r="N242" s="95" t="s">
        <v>1</v>
      </c>
      <c r="O242" s="95" t="s">
        <v>1</v>
      </c>
      <c r="P242" s="95" t="s">
        <v>1</v>
      </c>
      <c r="Q242" s="95" t="s">
        <v>1</v>
      </c>
      <c r="R242" s="95" t="s">
        <v>1</v>
      </c>
      <c r="S242" s="95" t="s">
        <v>1</v>
      </c>
      <c r="T242" s="95" t="s">
        <v>1</v>
      </c>
      <c r="U242" s="95" t="s">
        <v>1</v>
      </c>
      <c r="V242" s="95" t="s">
        <v>1</v>
      </c>
      <c r="W242" s="95" t="s">
        <v>1</v>
      </c>
      <c r="X242" s="95" t="s">
        <v>1</v>
      </c>
      <c r="Y242" s="95" t="s">
        <v>1</v>
      </c>
      <c r="Z242" s="95">
        <v>5529</v>
      </c>
      <c r="AA242" s="95">
        <v>1891</v>
      </c>
      <c r="AB242" s="95">
        <v>2583</v>
      </c>
      <c r="AC242" s="105">
        <v>2049</v>
      </c>
      <c r="AD242" s="95">
        <v>2404</v>
      </c>
      <c r="AE242" s="95">
        <v>2045</v>
      </c>
      <c r="AF242" s="137">
        <v>1247</v>
      </c>
      <c r="AG242" s="138">
        <v>1336</v>
      </c>
      <c r="AH242" s="139">
        <v>1466</v>
      </c>
      <c r="AI242" s="109">
        <v>1573</v>
      </c>
      <c r="AJ242" s="111">
        <v>1463</v>
      </c>
      <c r="AK242" s="805">
        <v>1408</v>
      </c>
      <c r="AL242" s="805">
        <v>125</v>
      </c>
      <c r="AM242" s="798">
        <v>245</v>
      </c>
      <c r="AN242" s="899">
        <v>362</v>
      </c>
      <c r="AO242" s="899">
        <v>476</v>
      </c>
      <c r="AP242" s="899">
        <v>624</v>
      </c>
      <c r="AQ242" s="899">
        <v>696</v>
      </c>
      <c r="AR242" s="71">
        <v>777</v>
      </c>
    </row>
    <row r="243" spans="1:60">
      <c r="A243" s="104" t="s">
        <v>113</v>
      </c>
      <c r="B243" s="94"/>
      <c r="C243" s="95" t="s">
        <v>1</v>
      </c>
      <c r="D243" s="95" t="s">
        <v>1</v>
      </c>
      <c r="E243" s="95" t="s">
        <v>1</v>
      </c>
      <c r="F243" s="95" t="s">
        <v>1</v>
      </c>
      <c r="G243" s="95" t="s">
        <v>1</v>
      </c>
      <c r="H243" s="95" t="s">
        <v>1</v>
      </c>
      <c r="I243" s="95" t="s">
        <v>1</v>
      </c>
      <c r="J243" s="95" t="s">
        <v>1</v>
      </c>
      <c r="K243" s="95" t="s">
        <v>1</v>
      </c>
      <c r="L243" s="95" t="s">
        <v>1</v>
      </c>
      <c r="M243" s="95" t="s">
        <v>1</v>
      </c>
      <c r="N243" s="95" t="s">
        <v>1</v>
      </c>
      <c r="O243" s="95" t="s">
        <v>1</v>
      </c>
      <c r="P243" s="95" t="s">
        <v>1</v>
      </c>
      <c r="Q243" s="95" t="s">
        <v>1</v>
      </c>
      <c r="R243" s="95" t="s">
        <v>1</v>
      </c>
      <c r="S243" s="95" t="s">
        <v>1</v>
      </c>
      <c r="T243" s="95" t="s">
        <v>1</v>
      </c>
      <c r="U243" s="95" t="s">
        <v>1</v>
      </c>
      <c r="V243" s="95" t="s">
        <v>1</v>
      </c>
      <c r="W243" s="95">
        <v>3204</v>
      </c>
      <c r="X243" s="95">
        <v>5409</v>
      </c>
      <c r="Y243" s="95">
        <v>5433</v>
      </c>
      <c r="Z243" s="95" t="s">
        <v>1</v>
      </c>
      <c r="AA243" s="95">
        <v>6809</v>
      </c>
      <c r="AB243" s="95">
        <v>5977</v>
      </c>
      <c r="AC243" s="105">
        <v>5544</v>
      </c>
      <c r="AD243" s="95">
        <v>5169</v>
      </c>
      <c r="AE243" s="95">
        <v>4375</v>
      </c>
      <c r="AF243" s="137">
        <v>2475</v>
      </c>
      <c r="AG243" s="138">
        <v>2004</v>
      </c>
      <c r="AH243" s="139">
        <v>2505</v>
      </c>
      <c r="AI243" s="109">
        <v>2609</v>
      </c>
      <c r="AJ243" s="111">
        <v>2415</v>
      </c>
      <c r="AK243" s="805">
        <v>2253</v>
      </c>
      <c r="AL243" s="805">
        <v>184</v>
      </c>
      <c r="AM243" s="798">
        <v>382</v>
      </c>
      <c r="AN243" s="899">
        <v>611</v>
      </c>
      <c r="AO243" s="899">
        <v>752</v>
      </c>
      <c r="AP243" s="899">
        <v>981</v>
      </c>
      <c r="AQ243" s="899">
        <v>1134</v>
      </c>
      <c r="AR243" s="71">
        <v>1352</v>
      </c>
    </row>
    <row r="244" spans="1:60" ht="12.75" customHeight="1">
      <c r="A244" s="1113" t="s">
        <v>413</v>
      </c>
      <c r="B244" s="1113"/>
      <c r="C244" s="1113"/>
      <c r="D244" s="1113"/>
      <c r="E244" s="1113"/>
      <c r="F244" s="1113"/>
      <c r="G244" s="1113"/>
      <c r="H244" s="1113"/>
      <c r="I244" s="826"/>
      <c r="J244" s="489"/>
      <c r="K244" s="489"/>
      <c r="L244" s="489"/>
      <c r="M244" s="489"/>
      <c r="N244" s="489"/>
      <c r="O244" s="489"/>
      <c r="P244" s="489"/>
      <c r="Q244" s="489"/>
      <c r="R244" s="489"/>
      <c r="S244" s="489"/>
      <c r="T244" s="489"/>
      <c r="U244" s="489"/>
      <c r="V244" s="489"/>
      <c r="W244" s="489"/>
      <c r="X244" s="489"/>
      <c r="Y244" s="489"/>
      <c r="Z244" s="489"/>
      <c r="AA244" s="489"/>
      <c r="AB244" s="489"/>
      <c r="AC244" s="489"/>
      <c r="AD244" s="489"/>
      <c r="AE244" s="489"/>
      <c r="AF244" s="1114"/>
      <c r="AG244" s="1114"/>
      <c r="AH244" s="140"/>
      <c r="AI244" s="140"/>
      <c r="AJ244" s="140"/>
      <c r="AK244" s="140"/>
      <c r="AL244" s="140"/>
      <c r="AM244" s="140"/>
      <c r="AN244" s="140"/>
      <c r="AO244" s="141"/>
      <c r="AP244" s="142"/>
      <c r="AQ244" s="142"/>
      <c r="AR244" s="142"/>
      <c r="AS244" s="142"/>
      <c r="AT244" s="142"/>
    </row>
    <row r="245" spans="1:60" ht="12.75" customHeight="1">
      <c r="A245" s="1108" t="s">
        <v>455</v>
      </c>
      <c r="B245" s="1108"/>
      <c r="C245" s="1108"/>
      <c r="D245" s="1108"/>
      <c r="E245" s="544"/>
      <c r="F245" s="544"/>
      <c r="G245" s="544"/>
      <c r="H245" s="544"/>
      <c r="I245" s="544"/>
      <c r="J245" s="823"/>
      <c r="K245" s="823"/>
      <c r="L245" s="823"/>
      <c r="M245" s="823"/>
      <c r="N245" s="823"/>
      <c r="O245" s="823"/>
      <c r="P245" s="823"/>
      <c r="Q245" s="823"/>
      <c r="R245" s="823"/>
      <c r="S245" s="823"/>
      <c r="T245" s="823"/>
      <c r="U245" s="823"/>
      <c r="V245" s="823"/>
      <c r="W245" s="823"/>
      <c r="X245" s="823"/>
      <c r="Y245" s="823"/>
      <c r="Z245" s="823"/>
      <c r="AA245" s="823"/>
      <c r="AB245" s="823"/>
      <c r="AC245" s="823"/>
      <c r="AD245" s="823"/>
      <c r="AE245" s="823"/>
      <c r="AF245" s="1115"/>
      <c r="AG245" s="1115"/>
      <c r="AH245" s="142"/>
      <c r="AI245" s="142"/>
      <c r="AJ245" s="142"/>
      <c r="AK245" s="142"/>
      <c r="AL245" s="142"/>
      <c r="AM245" s="142"/>
      <c r="AN245" s="142"/>
      <c r="AO245" s="144"/>
      <c r="AP245" s="142"/>
      <c r="AQ245" s="142"/>
      <c r="AR245" s="142"/>
      <c r="AS245" s="142"/>
      <c r="AT245" s="142"/>
    </row>
    <row r="246" spans="1:60" s="20" customFormat="1" ht="12.75" customHeight="1">
      <c r="A246" s="1108" t="s">
        <v>456</v>
      </c>
      <c r="B246" s="1108"/>
      <c r="C246" s="1108"/>
      <c r="D246" s="1108"/>
      <c r="E246" s="1108"/>
      <c r="F246" s="1108"/>
      <c r="G246" s="544"/>
      <c r="H246" s="544"/>
      <c r="I246" s="544"/>
      <c r="J246" s="544"/>
      <c r="K246" s="822"/>
      <c r="L246" s="822"/>
      <c r="M246" s="822"/>
      <c r="N246" s="822"/>
      <c r="O246" s="822"/>
      <c r="P246" s="822"/>
      <c r="Q246" s="822"/>
      <c r="R246" s="822"/>
      <c r="S246" s="822"/>
      <c r="T246" s="822"/>
      <c r="U246" s="822"/>
      <c r="V246" s="822"/>
      <c r="W246" s="822"/>
      <c r="X246" s="822"/>
      <c r="Y246" s="822"/>
      <c r="Z246" s="822"/>
      <c r="AA246" s="822"/>
      <c r="AB246" s="822"/>
      <c r="AC246" s="822"/>
      <c r="AD246" s="822"/>
      <c r="AE246" s="822"/>
      <c r="AF246" s="1115"/>
      <c r="AG246" s="1115"/>
      <c r="AH246" s="142"/>
      <c r="AI246" s="142"/>
      <c r="AJ246" s="142"/>
      <c r="AK246" s="142"/>
      <c r="AL246" s="142"/>
      <c r="AM246" s="142"/>
      <c r="AN246" s="142"/>
      <c r="AO246" s="142"/>
      <c r="AP246" s="142"/>
      <c r="AQ246" s="142"/>
      <c r="AR246" s="142"/>
      <c r="AS246" s="142"/>
      <c r="AT246" s="142"/>
      <c r="AU246" s="15"/>
      <c r="AV246" s="15"/>
      <c r="AW246" s="15"/>
      <c r="AX246" s="15"/>
      <c r="AY246" s="15"/>
      <c r="AZ246" s="15"/>
      <c r="BA246" s="15"/>
      <c r="BB246" s="15"/>
      <c r="BC246" s="15"/>
      <c r="BD246" s="15"/>
      <c r="BE246" s="15"/>
      <c r="BF246" s="15"/>
      <c r="BG246" s="15"/>
      <c r="BH246" s="15"/>
    </row>
    <row r="247" spans="1:60" s="142" customFormat="1" ht="12.75" customHeight="1">
      <c r="A247" s="1108" t="s">
        <v>457</v>
      </c>
      <c r="B247" s="1108"/>
      <c r="C247" s="1108"/>
      <c r="D247" s="1108"/>
      <c r="E247" s="1108"/>
      <c r="F247" s="1108"/>
      <c r="G247" s="1108"/>
      <c r="H247" s="1108"/>
      <c r="I247" s="1108"/>
      <c r="J247" s="1108"/>
      <c r="K247" s="1108"/>
      <c r="L247" s="1108"/>
      <c r="M247" s="1108"/>
      <c r="N247" s="1108"/>
      <c r="O247" s="1108"/>
      <c r="P247" s="1108"/>
      <c r="Q247" s="1108"/>
      <c r="R247" s="1108"/>
      <c r="S247" s="1108"/>
      <c r="T247" s="1108"/>
      <c r="U247" s="1108"/>
      <c r="V247" s="1108"/>
      <c r="W247" s="1108"/>
      <c r="X247" s="1108"/>
      <c r="Y247" s="1108"/>
      <c r="Z247" s="1108"/>
      <c r="AA247" s="1108"/>
      <c r="AB247" s="1108"/>
      <c r="AC247" s="1108"/>
      <c r="AD247" s="1108"/>
      <c r="AE247" s="1108"/>
      <c r="AF247" s="484"/>
      <c r="AG247" s="484"/>
      <c r="AK247" s="15"/>
      <c r="AL247" s="15"/>
      <c r="AU247" s="15"/>
      <c r="AV247" s="15"/>
      <c r="AW247" s="15"/>
      <c r="AX247" s="15"/>
      <c r="AY247" s="15"/>
      <c r="AZ247" s="15"/>
      <c r="BA247" s="15"/>
      <c r="BB247" s="15"/>
      <c r="BC247" s="15"/>
      <c r="BD247" s="15"/>
      <c r="BE247" s="15"/>
      <c r="BF247" s="15"/>
      <c r="BG247" s="15"/>
      <c r="BH247" s="15"/>
    </row>
    <row r="248" spans="1:60" s="145" customFormat="1">
      <c r="A248" s="142"/>
      <c r="B248" s="15"/>
      <c r="C248" s="142"/>
      <c r="D248" s="142"/>
      <c r="E248" s="142"/>
      <c r="F248" s="142"/>
      <c r="G248" s="142"/>
      <c r="H248" s="142"/>
      <c r="I248" s="142"/>
      <c r="J248" s="142"/>
      <c r="K248" s="142"/>
      <c r="L248" s="142"/>
      <c r="M248" s="142"/>
      <c r="N248" s="142"/>
      <c r="O248" s="142"/>
      <c r="P248" s="142"/>
      <c r="Q248" s="142"/>
      <c r="R248" s="142"/>
      <c r="S248" s="142"/>
      <c r="T248" s="142"/>
      <c r="U248" s="142"/>
      <c r="V248" s="142"/>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row>
    <row r="249" spans="1:60" s="142" customFormat="1">
      <c r="B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row>
    <row r="301" spans="1:49">
      <c r="A301" s="487"/>
      <c r="B301" s="487"/>
      <c r="C301" s="487"/>
      <c r="D301" s="487"/>
      <c r="E301" s="487"/>
      <c r="F301" s="487"/>
      <c r="G301" s="487"/>
      <c r="H301" s="487"/>
      <c r="I301" s="487"/>
      <c r="J301" s="487"/>
      <c r="K301" s="487"/>
      <c r="L301" s="487"/>
      <c r="M301" s="487"/>
      <c r="N301" s="487"/>
      <c r="O301" s="487"/>
      <c r="P301" s="487"/>
      <c r="Q301" s="487"/>
      <c r="R301" s="487"/>
      <c r="S301" s="487"/>
      <c r="T301" s="487"/>
      <c r="U301" s="487"/>
      <c r="V301" s="487"/>
      <c r="W301" s="487"/>
      <c r="X301" s="487"/>
      <c r="Y301" s="487"/>
      <c r="Z301" s="487"/>
      <c r="AA301" s="487"/>
      <c r="AB301" s="487"/>
      <c r="AC301" s="487"/>
      <c r="AD301" s="487"/>
      <c r="AE301" s="487"/>
      <c r="AF301" s="487"/>
      <c r="AG301" s="487"/>
      <c r="AH301" s="487"/>
      <c r="AI301" s="234"/>
      <c r="AJ301" s="142"/>
      <c r="AK301" s="142"/>
      <c r="AL301" s="142"/>
      <c r="AN301" s="170"/>
    </row>
    <row r="302" spans="1:49">
      <c r="A302" s="487"/>
      <c r="B302" s="487"/>
      <c r="C302" s="487"/>
      <c r="D302" s="487"/>
      <c r="E302" s="487"/>
      <c r="F302" s="487"/>
      <c r="G302" s="487"/>
      <c r="H302" s="487"/>
      <c r="I302" s="487"/>
      <c r="J302" s="487"/>
      <c r="K302" s="487"/>
      <c r="L302" s="487"/>
      <c r="M302" s="487"/>
      <c r="N302" s="487"/>
      <c r="O302" s="487"/>
      <c r="P302" s="487"/>
      <c r="Q302" s="487"/>
      <c r="R302" s="487"/>
      <c r="S302" s="487"/>
      <c r="T302" s="487"/>
      <c r="U302" s="487"/>
      <c r="V302" s="487"/>
      <c r="W302" s="487"/>
      <c r="X302" s="487"/>
      <c r="Y302" s="487"/>
      <c r="Z302" s="487"/>
      <c r="AA302" s="487"/>
      <c r="AB302" s="487"/>
      <c r="AC302" s="487"/>
      <c r="AD302" s="487"/>
      <c r="AE302" s="487"/>
      <c r="AF302" s="487"/>
      <c r="AG302" s="487"/>
      <c r="AH302" s="487"/>
      <c r="AI302" s="234"/>
      <c r="AJ302" s="142"/>
      <c r="AK302" s="142"/>
      <c r="AL302" s="142"/>
      <c r="AN302" s="235"/>
    </row>
    <row r="303" spans="1:49" s="142" customFormat="1">
      <c r="A303" s="485"/>
      <c r="B303" s="485"/>
      <c r="C303" s="485"/>
      <c r="D303" s="485"/>
      <c r="E303" s="485"/>
      <c r="F303" s="485"/>
      <c r="G303" s="485"/>
      <c r="H303" s="485"/>
      <c r="I303" s="485"/>
      <c r="J303" s="485"/>
      <c r="K303" s="485"/>
      <c r="L303" s="485"/>
      <c r="M303" s="485"/>
      <c r="N303" s="485"/>
      <c r="O303" s="485"/>
      <c r="P303" s="485"/>
      <c r="Q303" s="485"/>
      <c r="R303" s="485"/>
      <c r="S303" s="485"/>
      <c r="T303" s="485"/>
      <c r="U303" s="485"/>
      <c r="V303" s="485"/>
      <c r="W303" s="485"/>
      <c r="X303" s="485"/>
      <c r="Y303" s="485"/>
      <c r="Z303" s="485"/>
      <c r="AA303" s="485"/>
      <c r="AB303" s="485"/>
      <c r="AC303" s="485"/>
      <c r="AD303" s="485"/>
      <c r="AE303" s="485"/>
      <c r="AF303" s="485"/>
      <c r="AG303" s="485"/>
      <c r="AH303" s="485"/>
      <c r="AI303" s="234"/>
      <c r="AM303" s="15"/>
      <c r="AN303" s="144"/>
      <c r="AO303" s="15"/>
      <c r="AP303" s="15"/>
      <c r="AQ303" s="15"/>
      <c r="AR303" s="15"/>
      <c r="AS303" s="15"/>
      <c r="AT303" s="15"/>
      <c r="AU303" s="140"/>
      <c r="AV303" s="140"/>
      <c r="AW303" s="140"/>
    </row>
    <row r="304" spans="1:49" s="142" customFormat="1">
      <c r="A304" s="482"/>
      <c r="B304" s="482"/>
      <c r="C304" s="482"/>
      <c r="D304" s="482"/>
      <c r="E304" s="482"/>
      <c r="F304" s="482"/>
      <c r="G304" s="482"/>
      <c r="H304" s="482"/>
      <c r="I304" s="482"/>
      <c r="J304" s="485"/>
      <c r="K304" s="485"/>
      <c r="L304" s="485"/>
      <c r="M304" s="485"/>
      <c r="N304" s="485"/>
      <c r="O304" s="485"/>
      <c r="P304" s="485"/>
      <c r="Q304" s="485"/>
      <c r="R304" s="485"/>
      <c r="S304" s="485"/>
      <c r="T304" s="485"/>
      <c r="U304" s="485"/>
      <c r="V304" s="485"/>
      <c r="W304" s="485"/>
      <c r="X304" s="485"/>
      <c r="Y304" s="485"/>
      <c r="Z304" s="485"/>
      <c r="AA304" s="485"/>
      <c r="AB304" s="485"/>
      <c r="AC304" s="485"/>
      <c r="AD304" s="485"/>
      <c r="AE304" s="485"/>
      <c r="AF304" s="485"/>
      <c r="AG304" s="485"/>
      <c r="AH304" s="485"/>
      <c r="AI304" s="234"/>
      <c r="AM304" s="15"/>
      <c r="AN304" s="144"/>
      <c r="AO304" s="15"/>
      <c r="AP304" s="15"/>
      <c r="AQ304" s="15"/>
      <c r="AR304" s="15"/>
      <c r="AS304" s="15"/>
      <c r="AT304" s="15"/>
      <c r="AU304" s="140"/>
      <c r="AV304" s="140"/>
      <c r="AW304" s="140"/>
    </row>
    <row r="305" spans="1:49" s="142" customFormat="1" ht="12.75" customHeight="1">
      <c r="A305" s="482"/>
      <c r="B305" s="482"/>
      <c r="C305" s="482"/>
      <c r="D305" s="482"/>
      <c r="E305" s="482"/>
      <c r="F305" s="482"/>
      <c r="G305" s="482"/>
      <c r="H305" s="482"/>
      <c r="I305" s="482"/>
      <c r="J305" s="485"/>
      <c r="K305" s="485"/>
      <c r="L305" s="485"/>
      <c r="M305" s="485"/>
      <c r="N305" s="485"/>
      <c r="O305" s="485"/>
      <c r="P305" s="485"/>
      <c r="Q305" s="485"/>
      <c r="R305" s="485"/>
      <c r="S305" s="485"/>
      <c r="T305" s="485"/>
      <c r="U305" s="485"/>
      <c r="V305" s="485"/>
      <c r="W305" s="485"/>
      <c r="X305" s="485"/>
      <c r="Y305" s="485"/>
      <c r="Z305" s="485"/>
      <c r="AA305" s="485"/>
      <c r="AB305" s="485"/>
      <c r="AC305" s="485"/>
      <c r="AD305" s="485"/>
      <c r="AE305" s="485"/>
      <c r="AF305" s="485"/>
      <c r="AG305" s="485"/>
      <c r="AH305" s="485"/>
      <c r="AI305" s="234"/>
      <c r="AM305" s="15"/>
      <c r="AN305" s="15"/>
      <c r="AO305" s="15"/>
      <c r="AP305" s="15"/>
      <c r="AQ305" s="15"/>
      <c r="AR305" s="15"/>
      <c r="AS305" s="15"/>
      <c r="AT305" s="15"/>
      <c r="AU305" s="140"/>
      <c r="AV305" s="140"/>
      <c r="AW305" s="140"/>
    </row>
    <row r="306" spans="1:49" s="142" customFormat="1" ht="12.75" customHeight="1">
      <c r="B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40"/>
      <c r="AV306" s="140"/>
      <c r="AW306" s="140"/>
    </row>
    <row r="307" spans="1:49" s="142" customFormat="1" ht="12.75" customHeight="1">
      <c r="B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40"/>
      <c r="AV307" s="140"/>
      <c r="AW307" s="140"/>
    </row>
    <row r="943" spans="1:22">
      <c r="A943" s="15"/>
      <c r="C943" s="15"/>
      <c r="D943" s="15"/>
      <c r="E943" s="15"/>
      <c r="F943" s="15"/>
      <c r="G943" s="15"/>
      <c r="H943" s="15"/>
      <c r="I943" s="15"/>
      <c r="J943" s="15"/>
      <c r="K943" s="15"/>
      <c r="L943" s="15"/>
      <c r="M943" s="15"/>
      <c r="N943" s="15"/>
      <c r="O943" s="15"/>
      <c r="P943" s="15"/>
      <c r="Q943" s="15"/>
      <c r="R943" s="15"/>
      <c r="S943" s="15"/>
      <c r="T943" s="15"/>
      <c r="U943" s="15"/>
      <c r="V943" s="15"/>
    </row>
    <row r="944" spans="1:22">
      <c r="A944" s="15"/>
      <c r="C944" s="15"/>
      <c r="D944" s="15"/>
      <c r="E944" s="15"/>
      <c r="F944" s="15"/>
      <c r="G944" s="15"/>
      <c r="H944" s="15"/>
      <c r="I944" s="15"/>
      <c r="J944" s="15"/>
      <c r="K944" s="15"/>
      <c r="L944" s="15"/>
      <c r="M944" s="15"/>
      <c r="N944" s="15"/>
      <c r="O944" s="15"/>
      <c r="P944" s="15"/>
      <c r="Q944" s="15"/>
      <c r="R944" s="15"/>
      <c r="S944" s="15"/>
      <c r="T944" s="15"/>
      <c r="U944" s="15"/>
      <c r="V944" s="15"/>
    </row>
    <row r="945" spans="1:22">
      <c r="A945" s="15"/>
      <c r="C945" s="15"/>
      <c r="D945" s="15"/>
      <c r="E945" s="15"/>
      <c r="F945" s="15"/>
      <c r="G945" s="15"/>
      <c r="H945" s="15"/>
      <c r="I945" s="15"/>
      <c r="J945" s="15"/>
      <c r="K945" s="15"/>
      <c r="L945" s="15"/>
      <c r="M945" s="15"/>
      <c r="N945" s="15"/>
      <c r="O945" s="15"/>
      <c r="P945" s="15"/>
      <c r="Q945" s="15"/>
      <c r="R945" s="15"/>
      <c r="S945" s="15"/>
      <c r="T945" s="15"/>
      <c r="U945" s="15"/>
      <c r="V945" s="15"/>
    </row>
    <row r="946" spans="1:22">
      <c r="A946" s="15"/>
      <c r="C946" s="15"/>
      <c r="D946" s="15"/>
      <c r="E946" s="15"/>
      <c r="F946" s="15"/>
      <c r="G946" s="15"/>
      <c r="H946" s="15"/>
      <c r="I946" s="15"/>
      <c r="J946" s="15"/>
      <c r="K946" s="15"/>
      <c r="L946" s="15"/>
      <c r="M946" s="15"/>
      <c r="N946" s="15"/>
      <c r="O946" s="15"/>
      <c r="P946" s="15"/>
      <c r="Q946" s="15"/>
      <c r="R946" s="15"/>
      <c r="S946" s="15"/>
      <c r="T946" s="15"/>
      <c r="U946" s="15"/>
      <c r="V946" s="15"/>
    </row>
    <row r="947" spans="1:22">
      <c r="A947" s="15"/>
      <c r="C947" s="15"/>
      <c r="D947" s="15"/>
      <c r="E947" s="15"/>
      <c r="F947" s="15"/>
      <c r="G947" s="15"/>
      <c r="H947" s="15"/>
      <c r="I947" s="15"/>
      <c r="J947" s="15"/>
      <c r="K947" s="15"/>
      <c r="L947" s="15"/>
      <c r="M947" s="15"/>
      <c r="N947" s="15"/>
      <c r="O947" s="15"/>
      <c r="P947" s="15"/>
      <c r="Q947" s="15"/>
      <c r="R947" s="15"/>
      <c r="S947" s="15"/>
      <c r="T947" s="15"/>
      <c r="U947" s="15"/>
      <c r="V947" s="15"/>
    </row>
    <row r="948" spans="1:22">
      <c r="A948" s="15"/>
      <c r="C948" s="15"/>
      <c r="D948" s="15"/>
      <c r="E948" s="15"/>
      <c r="F948" s="15"/>
      <c r="G948" s="15"/>
      <c r="H948" s="15"/>
      <c r="I948" s="15"/>
      <c r="J948" s="15"/>
      <c r="K948" s="15"/>
      <c r="L948" s="15"/>
      <c r="M948" s="15"/>
      <c r="N948" s="15"/>
      <c r="O948" s="15"/>
      <c r="P948" s="15"/>
      <c r="Q948" s="15"/>
      <c r="R948" s="15"/>
      <c r="S948" s="15"/>
      <c r="T948" s="15"/>
      <c r="U948" s="15"/>
      <c r="V948" s="15"/>
    </row>
    <row r="949" spans="1:22">
      <c r="A949" s="15"/>
      <c r="C949" s="15"/>
      <c r="D949" s="15"/>
      <c r="E949" s="15"/>
      <c r="F949" s="15"/>
      <c r="G949" s="15"/>
      <c r="H949" s="15"/>
      <c r="I949" s="15"/>
      <c r="J949" s="15"/>
      <c r="K949" s="15"/>
      <c r="L949" s="15"/>
      <c r="M949" s="15"/>
      <c r="N949" s="15"/>
      <c r="O949" s="15"/>
      <c r="P949" s="15"/>
      <c r="Q949" s="15"/>
      <c r="R949" s="15"/>
      <c r="S949" s="15"/>
      <c r="T949" s="15"/>
      <c r="U949" s="15"/>
      <c r="V949" s="15"/>
    </row>
    <row r="950" spans="1:22">
      <c r="A950" s="15"/>
      <c r="C950" s="15"/>
      <c r="D950" s="15"/>
      <c r="E950" s="15"/>
      <c r="F950" s="15"/>
      <c r="G950" s="15"/>
      <c r="H950" s="15"/>
      <c r="I950" s="15"/>
      <c r="J950" s="15"/>
      <c r="K950" s="15"/>
      <c r="L950" s="15"/>
      <c r="M950" s="15"/>
      <c r="N950" s="15"/>
      <c r="O950" s="15"/>
      <c r="P950" s="15"/>
      <c r="Q950" s="15"/>
      <c r="R950" s="15"/>
      <c r="S950" s="15"/>
      <c r="T950" s="15"/>
      <c r="U950" s="15"/>
      <c r="V950" s="15"/>
    </row>
    <row r="951" spans="1:22">
      <c r="A951" s="15"/>
      <c r="C951" s="15"/>
      <c r="D951" s="15"/>
      <c r="E951" s="15"/>
      <c r="F951" s="15"/>
      <c r="G951" s="15"/>
      <c r="H951" s="15"/>
      <c r="I951" s="15"/>
      <c r="J951" s="15"/>
      <c r="K951" s="15"/>
      <c r="L951" s="15"/>
      <c r="M951" s="15"/>
      <c r="N951" s="15"/>
      <c r="O951" s="15"/>
      <c r="P951" s="15"/>
      <c r="Q951" s="15"/>
      <c r="R951" s="15"/>
      <c r="S951" s="15"/>
      <c r="T951" s="15"/>
      <c r="U951" s="15"/>
      <c r="V951" s="15"/>
    </row>
    <row r="952" spans="1:22">
      <c r="A952" s="15"/>
      <c r="C952" s="15"/>
      <c r="D952" s="15"/>
      <c r="E952" s="15"/>
      <c r="F952" s="15"/>
      <c r="G952" s="15"/>
      <c r="H952" s="15"/>
      <c r="I952" s="15"/>
      <c r="J952" s="15"/>
      <c r="K952" s="15"/>
      <c r="L952" s="15"/>
      <c r="M952" s="15"/>
      <c r="N952" s="15"/>
      <c r="O952" s="15"/>
      <c r="P952" s="15"/>
      <c r="Q952" s="15"/>
      <c r="R952" s="15"/>
      <c r="S952" s="15"/>
      <c r="T952" s="15"/>
      <c r="U952" s="15"/>
      <c r="V952" s="15"/>
    </row>
    <row r="953" spans="1:22">
      <c r="A953" s="15"/>
      <c r="C953" s="15"/>
      <c r="D953" s="15"/>
      <c r="E953" s="15"/>
      <c r="F953" s="15"/>
      <c r="G953" s="15"/>
      <c r="H953" s="15"/>
      <c r="I953" s="15"/>
      <c r="J953" s="15"/>
      <c r="K953" s="15"/>
      <c r="L953" s="15"/>
      <c r="M953" s="15"/>
      <c r="N953" s="15"/>
      <c r="O953" s="15"/>
      <c r="P953" s="15"/>
      <c r="Q953" s="15"/>
      <c r="R953" s="15"/>
      <c r="S953" s="15"/>
      <c r="T953" s="15"/>
      <c r="U953" s="15"/>
      <c r="V953" s="15"/>
    </row>
    <row r="954" spans="1:22">
      <c r="A954" s="15"/>
      <c r="C954" s="15"/>
      <c r="D954" s="15"/>
      <c r="E954" s="15"/>
      <c r="F954" s="15"/>
      <c r="G954" s="15"/>
      <c r="H954" s="15"/>
      <c r="I954" s="15"/>
      <c r="J954" s="15"/>
      <c r="K954" s="15"/>
      <c r="L954" s="15"/>
      <c r="M954" s="15"/>
      <c r="N954" s="15"/>
      <c r="O954" s="15"/>
      <c r="P954" s="15"/>
      <c r="Q954" s="15"/>
      <c r="R954" s="15"/>
      <c r="S954" s="15"/>
      <c r="T954" s="15"/>
      <c r="U954" s="15"/>
      <c r="V954" s="15"/>
    </row>
    <row r="955" spans="1:22">
      <c r="A955" s="15"/>
      <c r="C955" s="15"/>
      <c r="D955" s="15"/>
      <c r="E955" s="15"/>
      <c r="F955" s="15"/>
      <c r="G955" s="15"/>
      <c r="H955" s="15"/>
      <c r="I955" s="15"/>
      <c r="J955" s="15"/>
      <c r="K955" s="15"/>
      <c r="L955" s="15"/>
      <c r="M955" s="15"/>
      <c r="N955" s="15"/>
      <c r="O955" s="15"/>
      <c r="P955" s="15"/>
      <c r="Q955" s="15"/>
      <c r="R955" s="15"/>
      <c r="S955" s="15"/>
      <c r="T955" s="15"/>
      <c r="U955" s="15"/>
      <c r="V955" s="15"/>
    </row>
    <row r="956" spans="1:22">
      <c r="A956" s="15"/>
      <c r="C956" s="15"/>
      <c r="D956" s="15"/>
      <c r="E956" s="15"/>
      <c r="F956" s="15"/>
      <c r="G956" s="15"/>
      <c r="H956" s="15"/>
      <c r="I956" s="15"/>
      <c r="J956" s="15"/>
      <c r="K956" s="15"/>
      <c r="L956" s="15"/>
      <c r="M956" s="15"/>
      <c r="N956" s="15"/>
      <c r="O956" s="15"/>
      <c r="P956" s="15"/>
      <c r="Q956" s="15"/>
      <c r="R956" s="15"/>
      <c r="S956" s="15"/>
      <c r="T956" s="15"/>
      <c r="U956" s="15"/>
      <c r="V956" s="15"/>
    </row>
    <row r="957" spans="1:22">
      <c r="A957" s="15"/>
      <c r="C957" s="15"/>
      <c r="D957" s="15"/>
      <c r="E957" s="15"/>
      <c r="F957" s="15"/>
      <c r="G957" s="15"/>
      <c r="H957" s="15"/>
      <c r="I957" s="15"/>
      <c r="J957" s="15"/>
      <c r="K957" s="15"/>
      <c r="L957" s="15"/>
      <c r="M957" s="15"/>
      <c r="N957" s="15"/>
      <c r="O957" s="15"/>
      <c r="P957" s="15"/>
      <c r="Q957" s="15"/>
      <c r="R957" s="15"/>
      <c r="S957" s="15"/>
      <c r="T957" s="15"/>
      <c r="U957" s="15"/>
      <c r="V957" s="15"/>
    </row>
    <row r="958" spans="1:22">
      <c r="A958" s="15"/>
      <c r="C958" s="15"/>
      <c r="D958" s="15"/>
      <c r="E958" s="15"/>
      <c r="F958" s="15"/>
      <c r="G958" s="15"/>
      <c r="H958" s="15"/>
      <c r="I958" s="15"/>
      <c r="J958" s="15"/>
      <c r="K958" s="15"/>
      <c r="L958" s="15"/>
      <c r="M958" s="15"/>
      <c r="N958" s="15"/>
      <c r="O958" s="15"/>
      <c r="P958" s="15"/>
      <c r="Q958" s="15"/>
      <c r="R958" s="15"/>
      <c r="S958" s="15"/>
      <c r="T958" s="15"/>
      <c r="U958" s="15"/>
      <c r="V958" s="15"/>
    </row>
    <row r="959" spans="1:22">
      <c r="A959" s="15"/>
      <c r="C959" s="15"/>
      <c r="D959" s="15"/>
      <c r="E959" s="15"/>
      <c r="F959" s="15"/>
      <c r="G959" s="15"/>
      <c r="H959" s="15"/>
      <c r="I959" s="15"/>
      <c r="J959" s="15"/>
      <c r="K959" s="15"/>
      <c r="L959" s="15"/>
      <c r="M959" s="15"/>
      <c r="N959" s="15"/>
      <c r="O959" s="15"/>
      <c r="P959" s="15"/>
      <c r="Q959" s="15"/>
      <c r="R959" s="15"/>
      <c r="S959" s="15"/>
      <c r="T959" s="15"/>
      <c r="U959" s="15"/>
      <c r="V959" s="15"/>
    </row>
    <row r="960" spans="1:22">
      <c r="A960" s="15"/>
      <c r="C960" s="15"/>
      <c r="D960" s="15"/>
      <c r="E960" s="15"/>
      <c r="F960" s="15"/>
      <c r="G960" s="15"/>
      <c r="H960" s="15"/>
      <c r="I960" s="15"/>
      <c r="J960" s="15"/>
      <c r="K960" s="15"/>
      <c r="L960" s="15"/>
      <c r="M960" s="15"/>
      <c r="N960" s="15"/>
      <c r="O960" s="15"/>
      <c r="P960" s="15"/>
      <c r="Q960" s="15"/>
      <c r="R960" s="15"/>
      <c r="S960" s="15"/>
      <c r="T960" s="15"/>
      <c r="U960" s="15"/>
      <c r="V960" s="15"/>
    </row>
    <row r="961" spans="1:22">
      <c r="A961" s="15"/>
      <c r="C961" s="15"/>
      <c r="D961" s="15"/>
      <c r="E961" s="15"/>
      <c r="F961" s="15"/>
      <c r="G961" s="15"/>
      <c r="H961" s="15"/>
      <c r="I961" s="15"/>
      <c r="J961" s="15"/>
      <c r="K961" s="15"/>
      <c r="L961" s="15"/>
      <c r="M961" s="15"/>
      <c r="N961" s="15"/>
      <c r="O961" s="15"/>
      <c r="P961" s="15"/>
      <c r="Q961" s="15"/>
      <c r="R961" s="15"/>
      <c r="S961" s="15"/>
      <c r="T961" s="15"/>
      <c r="U961" s="15"/>
      <c r="V961" s="15"/>
    </row>
    <row r="962" spans="1:22">
      <c r="A962" s="15"/>
      <c r="C962" s="15"/>
      <c r="D962" s="15"/>
      <c r="E962" s="15"/>
      <c r="F962" s="15"/>
      <c r="G962" s="15"/>
      <c r="H962" s="15"/>
      <c r="I962" s="15"/>
      <c r="J962" s="15"/>
      <c r="K962" s="15"/>
      <c r="L962" s="15"/>
      <c r="M962" s="15"/>
      <c r="N962" s="15"/>
      <c r="O962" s="15"/>
      <c r="P962" s="15"/>
      <c r="Q962" s="15"/>
      <c r="R962" s="15"/>
      <c r="S962" s="15"/>
      <c r="T962" s="15"/>
      <c r="U962" s="15"/>
      <c r="V962" s="15"/>
    </row>
    <row r="963" spans="1:22">
      <c r="A963" s="15"/>
      <c r="C963" s="15"/>
      <c r="D963" s="15"/>
      <c r="E963" s="15"/>
      <c r="F963" s="15"/>
      <c r="G963" s="15"/>
      <c r="H963" s="15"/>
      <c r="I963" s="15"/>
      <c r="J963" s="15"/>
      <c r="K963" s="15"/>
      <c r="L963" s="15"/>
      <c r="M963" s="15"/>
      <c r="N963" s="15"/>
      <c r="O963" s="15"/>
      <c r="P963" s="15"/>
      <c r="Q963" s="15"/>
      <c r="R963" s="15"/>
      <c r="S963" s="15"/>
      <c r="T963" s="15"/>
      <c r="U963" s="15"/>
      <c r="V963" s="15"/>
    </row>
    <row r="964" spans="1:22">
      <c r="A964" s="15"/>
      <c r="C964" s="15"/>
      <c r="D964" s="15"/>
      <c r="E964" s="15"/>
      <c r="F964" s="15"/>
      <c r="G964" s="15"/>
      <c r="H964" s="15"/>
      <c r="I964" s="15"/>
      <c r="J964" s="15"/>
      <c r="K964" s="15"/>
      <c r="L964" s="15"/>
      <c r="M964" s="15"/>
      <c r="N964" s="15"/>
      <c r="O964" s="15"/>
      <c r="P964" s="15"/>
      <c r="Q964" s="15"/>
      <c r="R964" s="15"/>
      <c r="S964" s="15"/>
      <c r="T964" s="15"/>
      <c r="U964" s="15"/>
      <c r="V964" s="15"/>
    </row>
    <row r="965" spans="1:22">
      <c r="A965" s="15"/>
      <c r="C965" s="15"/>
      <c r="D965" s="15"/>
      <c r="E965" s="15"/>
      <c r="F965" s="15"/>
      <c r="G965" s="15"/>
      <c r="H965" s="15"/>
      <c r="I965" s="15"/>
      <c r="J965" s="15"/>
      <c r="K965" s="15"/>
      <c r="L965" s="15"/>
      <c r="M965" s="15"/>
      <c r="N965" s="15"/>
      <c r="O965" s="15"/>
      <c r="P965" s="15"/>
      <c r="Q965" s="15"/>
      <c r="R965" s="15"/>
      <c r="S965" s="15"/>
      <c r="T965" s="15"/>
      <c r="U965" s="15"/>
      <c r="V965" s="15"/>
    </row>
    <row r="966" spans="1:22">
      <c r="A966" s="15"/>
      <c r="C966" s="15"/>
      <c r="D966" s="15"/>
      <c r="E966" s="15"/>
      <c r="F966" s="15"/>
      <c r="G966" s="15"/>
      <c r="H966" s="15"/>
      <c r="I966" s="15"/>
      <c r="J966" s="15"/>
      <c r="K966" s="15"/>
      <c r="L966" s="15"/>
      <c r="M966" s="15"/>
      <c r="N966" s="15"/>
      <c r="O966" s="15"/>
      <c r="P966" s="15"/>
      <c r="Q966" s="15"/>
      <c r="R966" s="15"/>
      <c r="S966" s="15"/>
      <c r="T966" s="15"/>
      <c r="U966" s="15"/>
      <c r="V966" s="15"/>
    </row>
    <row r="967" spans="1:22">
      <c r="A967" s="15"/>
      <c r="C967" s="15"/>
      <c r="D967" s="15"/>
      <c r="E967" s="15"/>
      <c r="F967" s="15"/>
      <c r="G967" s="15"/>
      <c r="H967" s="15"/>
      <c r="I967" s="15"/>
      <c r="J967" s="15"/>
      <c r="K967" s="15"/>
      <c r="L967" s="15"/>
      <c r="M967" s="15"/>
      <c r="N967" s="15"/>
      <c r="O967" s="15"/>
      <c r="P967" s="15"/>
      <c r="Q967" s="15"/>
      <c r="R967" s="15"/>
      <c r="S967" s="15"/>
      <c r="T967" s="15"/>
      <c r="U967" s="15"/>
      <c r="V967" s="15"/>
    </row>
    <row r="968" spans="1:22">
      <c r="A968" s="15"/>
      <c r="C968" s="15"/>
      <c r="D968" s="15"/>
      <c r="E968" s="15"/>
      <c r="F968" s="15"/>
      <c r="G968" s="15"/>
      <c r="H968" s="15"/>
      <c r="I968" s="15"/>
      <c r="J968" s="15"/>
      <c r="K968" s="15"/>
      <c r="L968" s="15"/>
      <c r="M968" s="15"/>
      <c r="N968" s="15"/>
      <c r="O968" s="15"/>
      <c r="P968" s="15"/>
      <c r="Q968" s="15"/>
      <c r="R968" s="15"/>
      <c r="S968" s="15"/>
      <c r="T968" s="15"/>
      <c r="U968" s="15"/>
      <c r="V968" s="15"/>
    </row>
    <row r="969" spans="1:22">
      <c r="A969" s="15"/>
      <c r="C969" s="15"/>
      <c r="D969" s="15"/>
      <c r="E969" s="15"/>
      <c r="F969" s="15"/>
      <c r="G969" s="15"/>
      <c r="H969" s="15"/>
      <c r="I969" s="15"/>
      <c r="J969" s="15"/>
      <c r="K969" s="15"/>
      <c r="L969" s="15"/>
      <c r="M969" s="15"/>
      <c r="N969" s="15"/>
      <c r="O969" s="15"/>
      <c r="P969" s="15"/>
      <c r="Q969" s="15"/>
      <c r="R969" s="15"/>
      <c r="S969" s="15"/>
      <c r="T969" s="15"/>
      <c r="U969" s="15"/>
      <c r="V969" s="15"/>
    </row>
    <row r="970" spans="1:22">
      <c r="A970" s="15"/>
      <c r="C970" s="15"/>
      <c r="D970" s="15"/>
      <c r="E970" s="15"/>
      <c r="F970" s="15"/>
      <c r="G970" s="15"/>
      <c r="H970" s="15"/>
      <c r="I970" s="15"/>
      <c r="J970" s="15"/>
      <c r="K970" s="15"/>
      <c r="L970" s="15"/>
      <c r="M970" s="15"/>
      <c r="N970" s="15"/>
      <c r="O970" s="15"/>
      <c r="P970" s="15"/>
      <c r="Q970" s="15"/>
      <c r="R970" s="15"/>
      <c r="S970" s="15"/>
      <c r="T970" s="15"/>
      <c r="U970" s="15"/>
      <c r="V970" s="15"/>
    </row>
    <row r="971" spans="1:22">
      <c r="A971" s="15"/>
      <c r="C971" s="15"/>
      <c r="D971" s="15"/>
      <c r="E971" s="15"/>
      <c r="F971" s="15"/>
      <c r="G971" s="15"/>
      <c r="H971" s="15"/>
      <c r="I971" s="15"/>
      <c r="J971" s="15"/>
      <c r="K971" s="15"/>
      <c r="L971" s="15"/>
      <c r="M971" s="15"/>
      <c r="N971" s="15"/>
      <c r="O971" s="15"/>
      <c r="P971" s="15"/>
      <c r="Q971" s="15"/>
      <c r="R971" s="15"/>
      <c r="S971" s="15"/>
      <c r="T971" s="15"/>
      <c r="U971" s="15"/>
      <c r="V971" s="15"/>
    </row>
    <row r="972" spans="1:22">
      <c r="A972" s="15"/>
      <c r="C972" s="15"/>
      <c r="D972" s="15"/>
      <c r="E972" s="15"/>
      <c r="F972" s="15"/>
      <c r="G972" s="15"/>
      <c r="H972" s="15"/>
      <c r="I972" s="15"/>
      <c r="J972" s="15"/>
      <c r="K972" s="15"/>
      <c r="L972" s="15"/>
      <c r="M972" s="15"/>
      <c r="N972" s="15"/>
      <c r="O972" s="15"/>
      <c r="P972" s="15"/>
      <c r="Q972" s="15"/>
      <c r="R972" s="15"/>
      <c r="S972" s="15"/>
      <c r="T972" s="15"/>
      <c r="U972" s="15"/>
      <c r="V972" s="15"/>
    </row>
    <row r="973" spans="1:22">
      <c r="A973" s="15"/>
      <c r="C973" s="15"/>
      <c r="D973" s="15"/>
      <c r="E973" s="15"/>
      <c r="F973" s="15"/>
      <c r="G973" s="15"/>
      <c r="H973" s="15"/>
      <c r="I973" s="15"/>
      <c r="J973" s="15"/>
      <c r="K973" s="15"/>
      <c r="L973" s="15"/>
      <c r="M973" s="15"/>
      <c r="N973" s="15"/>
      <c r="O973" s="15"/>
      <c r="P973" s="15"/>
      <c r="Q973" s="15"/>
      <c r="R973" s="15"/>
      <c r="S973" s="15"/>
      <c r="T973" s="15"/>
      <c r="U973" s="15"/>
      <c r="V973" s="15"/>
    </row>
    <row r="974" spans="1:22">
      <c r="A974" s="15"/>
      <c r="C974" s="15"/>
      <c r="D974" s="15"/>
      <c r="E974" s="15"/>
      <c r="F974" s="15"/>
      <c r="G974" s="15"/>
      <c r="H974" s="15"/>
      <c r="I974" s="15"/>
      <c r="J974" s="15"/>
      <c r="K974" s="15"/>
      <c r="L974" s="15"/>
      <c r="M974" s="15"/>
      <c r="N974" s="15"/>
      <c r="O974" s="15"/>
      <c r="P974" s="15"/>
      <c r="Q974" s="15"/>
      <c r="R974" s="15"/>
      <c r="S974" s="15"/>
      <c r="T974" s="15"/>
      <c r="U974" s="15"/>
      <c r="V974" s="15"/>
    </row>
    <row r="975" spans="1:22">
      <c r="A975" s="15"/>
      <c r="C975" s="15"/>
      <c r="D975" s="15"/>
      <c r="E975" s="15"/>
      <c r="F975" s="15"/>
      <c r="G975" s="15"/>
      <c r="H975" s="15"/>
      <c r="I975" s="15"/>
      <c r="J975" s="15"/>
      <c r="K975" s="15"/>
      <c r="L975" s="15"/>
      <c r="M975" s="15"/>
      <c r="N975" s="15"/>
      <c r="O975" s="15"/>
      <c r="P975" s="15"/>
      <c r="Q975" s="15"/>
      <c r="R975" s="15"/>
      <c r="S975" s="15"/>
      <c r="T975" s="15"/>
      <c r="U975" s="15"/>
      <c r="V975" s="15"/>
    </row>
    <row r="976" spans="1:22">
      <c r="A976" s="15"/>
      <c r="C976" s="15"/>
      <c r="D976" s="15"/>
      <c r="E976" s="15"/>
      <c r="F976" s="15"/>
      <c r="G976" s="15"/>
      <c r="H976" s="15"/>
      <c r="I976" s="15"/>
      <c r="J976" s="15"/>
      <c r="K976" s="15"/>
      <c r="L976" s="15"/>
      <c r="M976" s="15"/>
      <c r="N976" s="15"/>
      <c r="O976" s="15"/>
      <c r="P976" s="15"/>
      <c r="Q976" s="15"/>
      <c r="R976" s="15"/>
      <c r="S976" s="15"/>
      <c r="T976" s="15"/>
      <c r="U976" s="15"/>
      <c r="V976" s="15"/>
    </row>
    <row r="977" spans="1:22">
      <c r="A977" s="15"/>
      <c r="C977" s="15"/>
      <c r="D977" s="15"/>
      <c r="E977" s="15"/>
      <c r="F977" s="15"/>
      <c r="G977" s="15"/>
      <c r="H977" s="15"/>
      <c r="I977" s="15"/>
      <c r="J977" s="15"/>
      <c r="K977" s="15"/>
      <c r="L977" s="15"/>
      <c r="M977" s="15"/>
      <c r="N977" s="15"/>
      <c r="O977" s="15"/>
      <c r="P977" s="15"/>
      <c r="Q977" s="15"/>
      <c r="R977" s="15"/>
      <c r="S977" s="15"/>
      <c r="T977" s="15"/>
      <c r="U977" s="15"/>
      <c r="V977" s="15"/>
    </row>
    <row r="978" spans="1:22">
      <c r="A978" s="15"/>
      <c r="C978" s="15"/>
      <c r="D978" s="15"/>
      <c r="E978" s="15"/>
      <c r="F978" s="15"/>
      <c r="G978" s="15"/>
      <c r="H978" s="15"/>
      <c r="I978" s="15"/>
      <c r="J978" s="15"/>
      <c r="K978" s="15"/>
      <c r="L978" s="15"/>
      <c r="M978" s="15"/>
      <c r="N978" s="15"/>
      <c r="O978" s="15"/>
      <c r="P978" s="15"/>
      <c r="Q978" s="15"/>
      <c r="R978" s="15"/>
      <c r="S978" s="15"/>
      <c r="T978" s="15"/>
      <c r="U978" s="15"/>
      <c r="V978" s="15"/>
    </row>
    <row r="979" spans="1:22">
      <c r="A979" s="15"/>
      <c r="C979" s="15"/>
      <c r="D979" s="15"/>
      <c r="E979" s="15"/>
      <c r="F979" s="15"/>
      <c r="G979" s="15"/>
      <c r="H979" s="15"/>
      <c r="I979" s="15"/>
      <c r="J979" s="15"/>
      <c r="K979" s="15"/>
      <c r="L979" s="15"/>
      <c r="M979" s="15"/>
      <c r="N979" s="15"/>
      <c r="O979" s="15"/>
      <c r="P979" s="15"/>
      <c r="Q979" s="15"/>
      <c r="R979" s="15"/>
      <c r="S979" s="15"/>
      <c r="T979" s="15"/>
      <c r="U979" s="15"/>
      <c r="V979" s="15"/>
    </row>
    <row r="980" spans="1:22">
      <c r="A980" s="15"/>
      <c r="C980" s="15"/>
      <c r="D980" s="15"/>
      <c r="E980" s="15"/>
      <c r="F980" s="15"/>
      <c r="G980" s="15"/>
      <c r="H980" s="15"/>
      <c r="I980" s="15"/>
      <c r="J980" s="15"/>
      <c r="K980" s="15"/>
      <c r="L980" s="15"/>
      <c r="M980" s="15"/>
      <c r="N980" s="15"/>
      <c r="O980" s="15"/>
      <c r="P980" s="15"/>
      <c r="Q980" s="15"/>
      <c r="R980" s="15"/>
      <c r="S980" s="15"/>
      <c r="T980" s="15"/>
      <c r="U980" s="15"/>
      <c r="V980" s="15"/>
    </row>
    <row r="981" spans="1:22">
      <c r="A981" s="15"/>
      <c r="C981" s="15"/>
      <c r="D981" s="15"/>
      <c r="E981" s="15"/>
      <c r="F981" s="15"/>
      <c r="G981" s="15"/>
      <c r="H981" s="15"/>
      <c r="I981" s="15"/>
      <c r="J981" s="15"/>
      <c r="K981" s="15"/>
      <c r="L981" s="15"/>
      <c r="M981" s="15"/>
      <c r="N981" s="15"/>
      <c r="O981" s="15"/>
      <c r="P981" s="15"/>
      <c r="Q981" s="15"/>
      <c r="R981" s="15"/>
      <c r="S981" s="15"/>
      <c r="T981" s="15"/>
      <c r="U981" s="15"/>
      <c r="V981" s="15"/>
    </row>
    <row r="982" spans="1:22">
      <c r="A982" s="15"/>
      <c r="C982" s="15"/>
      <c r="D982" s="15"/>
      <c r="E982" s="15"/>
      <c r="F982" s="15"/>
      <c r="G982" s="15"/>
      <c r="H982" s="15"/>
      <c r="I982" s="15"/>
      <c r="J982" s="15"/>
      <c r="K982" s="15"/>
      <c r="L982" s="15"/>
      <c r="M982" s="15"/>
      <c r="N982" s="15"/>
      <c r="O982" s="15"/>
      <c r="P982" s="15"/>
      <c r="Q982" s="15"/>
      <c r="R982" s="15"/>
      <c r="S982" s="15"/>
      <c r="T982" s="15"/>
      <c r="U982" s="15"/>
      <c r="V982" s="15"/>
    </row>
    <row r="983" spans="1:22">
      <c r="A983" s="15"/>
      <c r="C983" s="15"/>
      <c r="D983" s="15"/>
      <c r="E983" s="15"/>
      <c r="F983" s="15"/>
      <c r="G983" s="15"/>
      <c r="H983" s="15"/>
      <c r="I983" s="15"/>
      <c r="J983" s="15"/>
      <c r="K983" s="15"/>
      <c r="L983" s="15"/>
      <c r="M983" s="15"/>
      <c r="N983" s="15"/>
      <c r="O983" s="15"/>
      <c r="P983" s="15"/>
      <c r="Q983" s="15"/>
      <c r="R983" s="15"/>
      <c r="S983" s="15"/>
      <c r="T983" s="15"/>
      <c r="U983" s="15"/>
      <c r="V983" s="15"/>
    </row>
    <row r="984" spans="1:22">
      <c r="A984" s="15"/>
      <c r="C984" s="15"/>
      <c r="D984" s="15"/>
      <c r="E984" s="15"/>
      <c r="F984" s="15"/>
      <c r="G984" s="15"/>
      <c r="H984" s="15"/>
      <c r="I984" s="15"/>
      <c r="J984" s="15"/>
      <c r="K984" s="15"/>
      <c r="L984" s="15"/>
      <c r="M984" s="15"/>
      <c r="N984" s="15"/>
      <c r="O984" s="15"/>
      <c r="P984" s="15"/>
      <c r="Q984" s="15"/>
      <c r="R984" s="15"/>
      <c r="S984" s="15"/>
      <c r="T984" s="15"/>
      <c r="U984" s="15"/>
      <c r="V984" s="15"/>
    </row>
    <row r="985" spans="1:22">
      <c r="A985" s="15"/>
      <c r="C985" s="15"/>
      <c r="D985" s="15"/>
      <c r="E985" s="15"/>
      <c r="F985" s="15"/>
      <c r="G985" s="15"/>
      <c r="H985" s="15"/>
      <c r="I985" s="15"/>
      <c r="J985" s="15"/>
      <c r="K985" s="15"/>
      <c r="L985" s="15"/>
      <c r="M985" s="15"/>
      <c r="N985" s="15"/>
      <c r="O985" s="15"/>
      <c r="P985" s="15"/>
      <c r="Q985" s="15"/>
      <c r="R985" s="15"/>
      <c r="S985" s="15"/>
      <c r="T985" s="15"/>
      <c r="U985" s="15"/>
      <c r="V985" s="15"/>
    </row>
    <row r="986" spans="1:22">
      <c r="A986" s="15"/>
      <c r="C986" s="15"/>
      <c r="D986" s="15"/>
      <c r="E986" s="15"/>
      <c r="F986" s="15"/>
      <c r="G986" s="15"/>
      <c r="H986" s="15"/>
      <c r="I986" s="15"/>
      <c r="J986" s="15"/>
      <c r="K986" s="15"/>
      <c r="L986" s="15"/>
      <c r="M986" s="15"/>
      <c r="N986" s="15"/>
      <c r="O986" s="15"/>
      <c r="P986" s="15"/>
      <c r="Q986" s="15"/>
      <c r="R986" s="15"/>
      <c r="S986" s="15"/>
      <c r="T986" s="15"/>
      <c r="U986" s="15"/>
      <c r="V986" s="15"/>
    </row>
    <row r="987" spans="1:22">
      <c r="A987" s="15"/>
      <c r="C987" s="15"/>
      <c r="D987" s="15"/>
      <c r="E987" s="15"/>
      <c r="F987" s="15"/>
      <c r="G987" s="15"/>
      <c r="H987" s="15"/>
      <c r="I987" s="15"/>
      <c r="J987" s="15"/>
      <c r="K987" s="15"/>
      <c r="L987" s="15"/>
      <c r="M987" s="15"/>
      <c r="N987" s="15"/>
      <c r="O987" s="15"/>
      <c r="P987" s="15"/>
      <c r="Q987" s="15"/>
      <c r="R987" s="15"/>
      <c r="S987" s="15"/>
      <c r="T987" s="15"/>
      <c r="U987" s="15"/>
      <c r="V987" s="15"/>
    </row>
    <row r="988" spans="1:22">
      <c r="A988" s="15"/>
      <c r="C988" s="15"/>
      <c r="D988" s="15"/>
      <c r="E988" s="15"/>
      <c r="F988" s="15"/>
      <c r="G988" s="15"/>
      <c r="H988" s="15"/>
      <c r="I988" s="15"/>
      <c r="J988" s="15"/>
      <c r="K988" s="15"/>
      <c r="L988" s="15"/>
      <c r="M988" s="15"/>
      <c r="N988" s="15"/>
      <c r="O988" s="15"/>
      <c r="P988" s="15"/>
      <c r="Q988" s="15"/>
      <c r="R988" s="15"/>
      <c r="S988" s="15"/>
      <c r="T988" s="15"/>
      <c r="U988" s="15"/>
      <c r="V988" s="15"/>
    </row>
    <row r="989" spans="1:22">
      <c r="A989" s="15"/>
      <c r="C989" s="15"/>
      <c r="D989" s="15"/>
      <c r="E989" s="15"/>
      <c r="F989" s="15"/>
      <c r="G989" s="15"/>
      <c r="H989" s="15"/>
      <c r="I989" s="15"/>
      <c r="J989" s="15"/>
      <c r="K989" s="15"/>
      <c r="L989" s="15"/>
      <c r="M989" s="15"/>
      <c r="N989" s="15"/>
      <c r="O989" s="15"/>
      <c r="P989" s="15"/>
      <c r="Q989" s="15"/>
      <c r="R989" s="15"/>
      <c r="S989" s="15"/>
      <c r="T989" s="15"/>
      <c r="U989" s="15"/>
      <c r="V989" s="15"/>
    </row>
    <row r="990" spans="1:22">
      <c r="A990" s="15"/>
      <c r="C990" s="15"/>
      <c r="D990" s="15"/>
      <c r="E990" s="15"/>
      <c r="F990" s="15"/>
      <c r="G990" s="15"/>
      <c r="H990" s="15"/>
      <c r="I990" s="15"/>
      <c r="J990" s="15"/>
      <c r="K990" s="15"/>
      <c r="L990" s="15"/>
      <c r="M990" s="15"/>
      <c r="N990" s="15"/>
      <c r="O990" s="15"/>
      <c r="P990" s="15"/>
      <c r="Q990" s="15"/>
      <c r="R990" s="15"/>
      <c r="S990" s="15"/>
      <c r="T990" s="15"/>
      <c r="U990" s="15"/>
      <c r="V990" s="15"/>
    </row>
    <row r="991" spans="1:22">
      <c r="A991" s="15"/>
      <c r="C991" s="15"/>
      <c r="D991" s="15"/>
      <c r="E991" s="15"/>
      <c r="F991" s="15"/>
      <c r="G991" s="15"/>
      <c r="H991" s="15"/>
      <c r="I991" s="15"/>
      <c r="J991" s="15"/>
      <c r="K991" s="15"/>
      <c r="L991" s="15"/>
      <c r="M991" s="15"/>
      <c r="N991" s="15"/>
      <c r="O991" s="15"/>
      <c r="P991" s="15"/>
      <c r="Q991" s="15"/>
      <c r="R991" s="15"/>
      <c r="S991" s="15"/>
      <c r="T991" s="15"/>
      <c r="U991" s="15"/>
      <c r="V991" s="15"/>
    </row>
    <row r="992" spans="1:22">
      <c r="A992" s="15"/>
      <c r="C992" s="15"/>
      <c r="D992" s="15"/>
      <c r="E992" s="15"/>
      <c r="F992" s="15"/>
      <c r="G992" s="15"/>
      <c r="H992" s="15"/>
      <c r="I992" s="15"/>
      <c r="J992" s="15"/>
      <c r="K992" s="15"/>
      <c r="L992" s="15"/>
      <c r="M992" s="15"/>
      <c r="N992" s="15"/>
      <c r="O992" s="15"/>
      <c r="P992" s="15"/>
      <c r="Q992" s="15"/>
      <c r="R992" s="15"/>
      <c r="S992" s="15"/>
      <c r="T992" s="15"/>
      <c r="U992" s="15"/>
      <c r="V992" s="15"/>
    </row>
    <row r="993" spans="1:22">
      <c r="A993" s="15"/>
      <c r="C993" s="15"/>
      <c r="D993" s="15"/>
      <c r="E993" s="15"/>
      <c r="F993" s="15"/>
      <c r="G993" s="15"/>
      <c r="H993" s="15"/>
      <c r="I993" s="15"/>
      <c r="J993" s="15"/>
      <c r="K993" s="15"/>
      <c r="L993" s="15"/>
      <c r="M993" s="15"/>
      <c r="N993" s="15"/>
      <c r="O993" s="15"/>
      <c r="P993" s="15"/>
      <c r="Q993" s="15"/>
      <c r="R993" s="15"/>
      <c r="S993" s="15"/>
      <c r="T993" s="15"/>
      <c r="U993" s="15"/>
      <c r="V993" s="15"/>
    </row>
    <row r="994" spans="1:22">
      <c r="A994" s="15"/>
      <c r="C994" s="15"/>
      <c r="D994" s="15"/>
      <c r="E994" s="15"/>
      <c r="F994" s="15"/>
      <c r="G994" s="15"/>
      <c r="H994" s="15"/>
      <c r="I994" s="15"/>
      <c r="J994" s="15"/>
      <c r="K994" s="15"/>
      <c r="L994" s="15"/>
      <c r="M994" s="15"/>
      <c r="N994" s="15"/>
      <c r="O994" s="15"/>
      <c r="P994" s="15"/>
      <c r="Q994" s="15"/>
      <c r="R994" s="15"/>
      <c r="S994" s="15"/>
      <c r="T994" s="15"/>
      <c r="U994" s="15"/>
      <c r="V994" s="15"/>
    </row>
    <row r="995" spans="1:22">
      <c r="A995" s="15"/>
      <c r="C995" s="15"/>
      <c r="D995" s="15"/>
      <c r="E995" s="15"/>
      <c r="F995" s="15"/>
      <c r="G995" s="15"/>
      <c r="H995" s="15"/>
      <c r="I995" s="15"/>
      <c r="J995" s="15"/>
      <c r="K995" s="15"/>
      <c r="L995" s="15"/>
      <c r="M995" s="15"/>
      <c r="N995" s="15"/>
      <c r="O995" s="15"/>
      <c r="P995" s="15"/>
      <c r="Q995" s="15"/>
      <c r="R995" s="15"/>
      <c r="S995" s="15"/>
      <c r="T995" s="15"/>
      <c r="U995" s="15"/>
      <c r="V995" s="15"/>
    </row>
    <row r="996" spans="1:22">
      <c r="A996" s="15"/>
      <c r="C996" s="15"/>
      <c r="D996" s="15"/>
      <c r="E996" s="15"/>
      <c r="F996" s="15"/>
      <c r="G996" s="15"/>
      <c r="H996" s="15"/>
      <c r="I996" s="15"/>
      <c r="J996" s="15"/>
      <c r="K996" s="15"/>
      <c r="L996" s="15"/>
      <c r="M996" s="15"/>
      <c r="N996" s="15"/>
      <c r="O996" s="15"/>
      <c r="P996" s="15"/>
      <c r="Q996" s="15"/>
      <c r="R996" s="15"/>
      <c r="S996" s="15"/>
      <c r="T996" s="15"/>
      <c r="U996" s="15"/>
      <c r="V996" s="15"/>
    </row>
    <row r="997" spans="1:22">
      <c r="A997" s="15"/>
      <c r="C997" s="15"/>
      <c r="D997" s="15"/>
      <c r="E997" s="15"/>
      <c r="F997" s="15"/>
      <c r="G997" s="15"/>
      <c r="H997" s="15"/>
      <c r="I997" s="15"/>
      <c r="J997" s="15"/>
      <c r="K997" s="15"/>
      <c r="L997" s="15"/>
      <c r="M997" s="15"/>
      <c r="N997" s="15"/>
      <c r="O997" s="15"/>
      <c r="P997" s="15"/>
      <c r="Q997" s="15"/>
      <c r="R997" s="15"/>
      <c r="S997" s="15"/>
      <c r="T997" s="15"/>
      <c r="U997" s="15"/>
      <c r="V997" s="15"/>
    </row>
    <row r="998" spans="1:22">
      <c r="A998" s="15"/>
      <c r="C998" s="15"/>
      <c r="D998" s="15"/>
      <c r="E998" s="15"/>
      <c r="F998" s="15"/>
      <c r="G998" s="15"/>
      <c r="H998" s="15"/>
      <c r="I998" s="15"/>
      <c r="J998" s="15"/>
      <c r="K998" s="15"/>
      <c r="L998" s="15"/>
      <c r="M998" s="15"/>
      <c r="N998" s="15"/>
      <c r="O998" s="15"/>
      <c r="P998" s="15"/>
      <c r="Q998" s="15"/>
      <c r="R998" s="15"/>
      <c r="S998" s="15"/>
      <c r="T998" s="15"/>
      <c r="U998" s="15"/>
      <c r="V998" s="15"/>
    </row>
    <row r="999" spans="1:22">
      <c r="A999" s="15"/>
      <c r="C999" s="15"/>
      <c r="D999" s="15"/>
      <c r="E999" s="15"/>
      <c r="F999" s="15"/>
      <c r="G999" s="15"/>
      <c r="H999" s="15"/>
      <c r="I999" s="15"/>
      <c r="J999" s="15"/>
      <c r="K999" s="15"/>
      <c r="L999" s="15"/>
      <c r="M999" s="15"/>
      <c r="N999" s="15"/>
      <c r="O999" s="15"/>
      <c r="P999" s="15"/>
      <c r="Q999" s="15"/>
      <c r="R999" s="15"/>
      <c r="S999" s="15"/>
      <c r="T999" s="15"/>
      <c r="U999" s="15"/>
      <c r="V999" s="15"/>
    </row>
    <row r="1000" spans="1:22">
      <c r="A1000" s="15"/>
      <c r="C1000" s="15"/>
      <c r="D1000" s="15"/>
      <c r="E1000" s="15"/>
      <c r="F1000" s="15"/>
      <c r="G1000" s="15"/>
      <c r="H1000" s="15"/>
      <c r="I1000" s="15"/>
      <c r="J1000" s="15"/>
      <c r="K1000" s="15"/>
      <c r="L1000" s="15"/>
      <c r="M1000" s="15"/>
      <c r="N1000" s="15"/>
      <c r="O1000" s="15"/>
      <c r="P1000" s="15"/>
      <c r="Q1000" s="15"/>
      <c r="R1000" s="15"/>
      <c r="S1000" s="15"/>
      <c r="T1000" s="15"/>
      <c r="U1000" s="15"/>
      <c r="V1000" s="15"/>
    </row>
    <row r="1001" spans="1:22">
      <c r="A1001" s="15"/>
      <c r="C1001" s="15"/>
      <c r="D1001" s="15"/>
      <c r="E1001" s="15"/>
      <c r="F1001" s="15"/>
      <c r="G1001" s="15"/>
      <c r="H1001" s="15"/>
      <c r="I1001" s="15"/>
      <c r="J1001" s="15"/>
      <c r="K1001" s="15"/>
      <c r="L1001" s="15"/>
      <c r="M1001" s="15"/>
      <c r="N1001" s="15"/>
      <c r="O1001" s="15"/>
      <c r="P1001" s="15"/>
      <c r="Q1001" s="15"/>
      <c r="R1001" s="15"/>
      <c r="S1001" s="15"/>
      <c r="T1001" s="15"/>
      <c r="U1001" s="15"/>
      <c r="V1001" s="15"/>
    </row>
    <row r="1002" spans="1:22">
      <c r="A1002" s="15"/>
      <c r="C1002" s="15"/>
      <c r="D1002" s="15"/>
      <c r="E1002" s="15"/>
      <c r="F1002" s="15"/>
      <c r="G1002" s="15"/>
      <c r="H1002" s="15"/>
      <c r="I1002" s="15"/>
      <c r="J1002" s="15"/>
      <c r="K1002" s="15"/>
      <c r="L1002" s="15"/>
      <c r="M1002" s="15"/>
      <c r="N1002" s="15"/>
      <c r="O1002" s="15"/>
      <c r="P1002" s="15"/>
      <c r="Q1002" s="15"/>
      <c r="R1002" s="15"/>
      <c r="S1002" s="15"/>
      <c r="T1002" s="15"/>
      <c r="U1002" s="15"/>
      <c r="V1002" s="15"/>
    </row>
    <row r="1003" spans="1:22">
      <c r="A1003" s="15"/>
      <c r="C1003" s="15"/>
      <c r="D1003" s="15"/>
      <c r="E1003" s="15"/>
      <c r="F1003" s="15"/>
      <c r="G1003" s="15"/>
      <c r="H1003" s="15"/>
      <c r="I1003" s="15"/>
      <c r="J1003" s="15"/>
      <c r="K1003" s="15"/>
      <c r="L1003" s="15"/>
      <c r="M1003" s="15"/>
      <c r="N1003" s="15"/>
      <c r="O1003" s="15"/>
      <c r="P1003" s="15"/>
      <c r="Q1003" s="15"/>
      <c r="R1003" s="15"/>
      <c r="S1003" s="15"/>
      <c r="T1003" s="15"/>
      <c r="U1003" s="15"/>
      <c r="V1003" s="15"/>
    </row>
    <row r="1004" spans="1:22">
      <c r="A1004" s="15"/>
      <c r="C1004" s="15"/>
      <c r="D1004" s="15"/>
      <c r="E1004" s="15"/>
      <c r="F1004" s="15"/>
      <c r="G1004" s="15"/>
      <c r="H1004" s="15"/>
      <c r="I1004" s="15"/>
      <c r="J1004" s="15"/>
      <c r="K1004" s="15"/>
      <c r="L1004" s="15"/>
      <c r="M1004" s="15"/>
      <c r="N1004" s="15"/>
      <c r="O1004" s="15"/>
      <c r="P1004" s="15"/>
      <c r="Q1004" s="15"/>
      <c r="R1004" s="15"/>
      <c r="S1004" s="15"/>
      <c r="T1004" s="15"/>
      <c r="U1004" s="15"/>
      <c r="V1004" s="15"/>
    </row>
    <row r="1005" spans="1:22">
      <c r="A1005" s="15"/>
      <c r="C1005" s="15"/>
      <c r="D1005" s="15"/>
      <c r="E1005" s="15"/>
      <c r="F1005" s="15"/>
      <c r="G1005" s="15"/>
      <c r="H1005" s="15"/>
      <c r="I1005" s="15"/>
      <c r="J1005" s="15"/>
      <c r="K1005" s="15"/>
      <c r="L1005" s="15"/>
      <c r="M1005" s="15"/>
      <c r="N1005" s="15"/>
      <c r="O1005" s="15"/>
      <c r="P1005" s="15"/>
      <c r="Q1005" s="15"/>
      <c r="R1005" s="15"/>
      <c r="S1005" s="15"/>
      <c r="T1005" s="15"/>
      <c r="U1005" s="15"/>
      <c r="V1005" s="15"/>
    </row>
    <row r="1006" spans="1:22">
      <c r="A1006" s="15"/>
      <c r="C1006" s="15"/>
      <c r="D1006" s="15"/>
      <c r="E1006" s="15"/>
      <c r="F1006" s="15"/>
      <c r="G1006" s="15"/>
      <c r="H1006" s="15"/>
      <c r="I1006" s="15"/>
      <c r="J1006" s="15"/>
      <c r="K1006" s="15"/>
      <c r="L1006" s="15"/>
      <c r="M1006" s="15"/>
      <c r="N1006" s="15"/>
      <c r="O1006" s="15"/>
      <c r="P1006" s="15"/>
      <c r="Q1006" s="15"/>
      <c r="R1006" s="15"/>
      <c r="S1006" s="15"/>
      <c r="T1006" s="15"/>
      <c r="U1006" s="15"/>
      <c r="V1006" s="15"/>
    </row>
    <row r="1007" spans="1:22">
      <c r="A1007" s="15"/>
      <c r="C1007" s="15"/>
      <c r="D1007" s="15"/>
      <c r="E1007" s="15"/>
      <c r="F1007" s="15"/>
      <c r="G1007" s="15"/>
      <c r="H1007" s="15"/>
      <c r="I1007" s="15"/>
      <c r="J1007" s="15"/>
      <c r="K1007" s="15"/>
      <c r="L1007" s="15"/>
      <c r="M1007" s="15"/>
      <c r="N1007" s="15"/>
      <c r="O1007" s="15"/>
      <c r="P1007" s="15"/>
      <c r="Q1007" s="15"/>
      <c r="R1007" s="15"/>
      <c r="S1007" s="15"/>
      <c r="T1007" s="15"/>
      <c r="U1007" s="15"/>
      <c r="V1007" s="15"/>
    </row>
    <row r="1008" spans="1:22">
      <c r="A1008" s="15"/>
      <c r="C1008" s="15"/>
      <c r="D1008" s="15"/>
      <c r="E1008" s="15"/>
      <c r="F1008" s="15"/>
      <c r="G1008" s="15"/>
      <c r="H1008" s="15"/>
      <c r="I1008" s="15"/>
      <c r="J1008" s="15"/>
      <c r="K1008" s="15"/>
      <c r="L1008" s="15"/>
      <c r="M1008" s="15"/>
      <c r="N1008" s="15"/>
      <c r="O1008" s="15"/>
      <c r="P1008" s="15"/>
      <c r="Q1008" s="15"/>
      <c r="R1008" s="15"/>
      <c r="S1008" s="15"/>
      <c r="T1008" s="15"/>
      <c r="U1008" s="15"/>
      <c r="V1008" s="15"/>
    </row>
    <row r="1009" spans="1:22">
      <c r="A1009" s="15"/>
      <c r="C1009" s="15"/>
      <c r="D1009" s="15"/>
      <c r="E1009" s="15"/>
      <c r="F1009" s="15"/>
      <c r="G1009" s="15"/>
      <c r="H1009" s="15"/>
      <c r="I1009" s="15"/>
      <c r="J1009" s="15"/>
      <c r="K1009" s="15"/>
      <c r="L1009" s="15"/>
      <c r="M1009" s="15"/>
      <c r="N1009" s="15"/>
      <c r="O1009" s="15"/>
      <c r="P1009" s="15"/>
      <c r="Q1009" s="15"/>
      <c r="R1009" s="15"/>
      <c r="S1009" s="15"/>
      <c r="T1009" s="15"/>
      <c r="U1009" s="15"/>
      <c r="V1009" s="15"/>
    </row>
    <row r="1010" spans="1:22">
      <c r="A1010" s="15"/>
      <c r="C1010" s="15"/>
      <c r="D1010" s="15"/>
      <c r="E1010" s="15"/>
      <c r="F1010" s="15"/>
      <c r="G1010" s="15"/>
      <c r="H1010" s="15"/>
      <c r="I1010" s="15"/>
      <c r="J1010" s="15"/>
      <c r="K1010" s="15"/>
      <c r="L1010" s="15"/>
      <c r="M1010" s="15"/>
      <c r="N1010" s="15"/>
      <c r="O1010" s="15"/>
      <c r="P1010" s="15"/>
      <c r="Q1010" s="15"/>
      <c r="R1010" s="15"/>
      <c r="S1010" s="15"/>
      <c r="T1010" s="15"/>
      <c r="U1010" s="15"/>
      <c r="V1010" s="15"/>
    </row>
    <row r="1011" spans="1:22">
      <c r="A1011" s="15"/>
      <c r="C1011" s="15"/>
      <c r="D1011" s="15"/>
      <c r="E1011" s="15"/>
      <c r="F1011" s="15"/>
      <c r="G1011" s="15"/>
      <c r="H1011" s="15"/>
      <c r="I1011" s="15"/>
      <c r="J1011" s="15"/>
      <c r="K1011" s="15"/>
      <c r="L1011" s="15"/>
      <c r="M1011" s="15"/>
      <c r="N1011" s="15"/>
      <c r="O1011" s="15"/>
      <c r="P1011" s="15"/>
      <c r="Q1011" s="15"/>
      <c r="R1011" s="15"/>
      <c r="S1011" s="15"/>
      <c r="T1011" s="15"/>
      <c r="U1011" s="15"/>
      <c r="V1011" s="15"/>
    </row>
    <row r="1012" spans="1:22">
      <c r="A1012" s="15"/>
      <c r="C1012" s="15"/>
      <c r="D1012" s="15"/>
      <c r="E1012" s="15"/>
      <c r="F1012" s="15"/>
      <c r="G1012" s="15"/>
      <c r="H1012" s="15"/>
      <c r="I1012" s="15"/>
      <c r="J1012" s="15"/>
      <c r="K1012" s="15"/>
      <c r="L1012" s="15"/>
      <c r="M1012" s="15"/>
      <c r="N1012" s="15"/>
      <c r="O1012" s="15"/>
      <c r="P1012" s="15"/>
      <c r="Q1012" s="15"/>
      <c r="R1012" s="15"/>
      <c r="S1012" s="15"/>
      <c r="T1012" s="15"/>
      <c r="U1012" s="15"/>
      <c r="V1012" s="15"/>
    </row>
    <row r="1013" spans="1:22">
      <c r="A1013" s="15"/>
      <c r="C1013" s="15"/>
      <c r="D1013" s="15"/>
      <c r="E1013" s="15"/>
      <c r="F1013" s="15"/>
      <c r="G1013" s="15"/>
      <c r="H1013" s="15"/>
      <c r="I1013" s="15"/>
      <c r="J1013" s="15"/>
      <c r="K1013" s="15"/>
      <c r="L1013" s="15"/>
      <c r="M1013" s="15"/>
      <c r="N1013" s="15"/>
      <c r="O1013" s="15"/>
      <c r="P1013" s="15"/>
      <c r="Q1013" s="15"/>
      <c r="R1013" s="15"/>
      <c r="S1013" s="15"/>
      <c r="T1013" s="15"/>
      <c r="U1013" s="15"/>
      <c r="V1013" s="15"/>
    </row>
    <row r="1014" spans="1:22">
      <c r="A1014" s="15"/>
      <c r="C1014" s="15"/>
      <c r="D1014" s="15"/>
      <c r="E1014" s="15"/>
      <c r="F1014" s="15"/>
      <c r="G1014" s="15"/>
      <c r="H1014" s="15"/>
      <c r="I1014" s="15"/>
      <c r="J1014" s="15"/>
      <c r="K1014" s="15"/>
      <c r="L1014" s="15"/>
      <c r="M1014" s="15"/>
      <c r="N1014" s="15"/>
      <c r="O1014" s="15"/>
      <c r="P1014" s="15"/>
      <c r="Q1014" s="15"/>
      <c r="R1014" s="15"/>
      <c r="S1014" s="15"/>
      <c r="T1014" s="15"/>
      <c r="U1014" s="15"/>
      <c r="V1014" s="15"/>
    </row>
    <row r="1015" spans="1:22">
      <c r="A1015" s="15"/>
      <c r="C1015" s="15"/>
      <c r="D1015" s="15"/>
      <c r="E1015" s="15"/>
      <c r="F1015" s="15"/>
      <c r="G1015" s="15"/>
      <c r="H1015" s="15"/>
      <c r="I1015" s="15"/>
      <c r="J1015" s="15"/>
      <c r="K1015" s="15"/>
      <c r="L1015" s="15"/>
      <c r="M1015" s="15"/>
      <c r="N1015" s="15"/>
      <c r="O1015" s="15"/>
      <c r="P1015" s="15"/>
      <c r="Q1015" s="15"/>
      <c r="R1015" s="15"/>
      <c r="S1015" s="15"/>
      <c r="T1015" s="15"/>
      <c r="U1015" s="15"/>
      <c r="V1015" s="15"/>
    </row>
    <row r="1016" spans="1:22">
      <c r="A1016" s="15"/>
      <c r="C1016" s="15"/>
      <c r="D1016" s="15"/>
      <c r="E1016" s="15"/>
      <c r="F1016" s="15"/>
      <c r="G1016" s="15"/>
      <c r="H1016" s="15"/>
      <c r="I1016" s="15"/>
      <c r="J1016" s="15"/>
      <c r="K1016" s="15"/>
      <c r="L1016" s="15"/>
      <c r="M1016" s="15"/>
      <c r="N1016" s="15"/>
      <c r="O1016" s="15"/>
      <c r="P1016" s="15"/>
      <c r="Q1016" s="15"/>
      <c r="R1016" s="15"/>
      <c r="S1016" s="15"/>
      <c r="T1016" s="15"/>
      <c r="U1016" s="15"/>
      <c r="V1016" s="15"/>
    </row>
    <row r="1017" spans="1:22">
      <c r="A1017" s="15"/>
      <c r="C1017" s="15"/>
      <c r="D1017" s="15"/>
      <c r="E1017" s="15"/>
      <c r="F1017" s="15"/>
      <c r="G1017" s="15"/>
      <c r="H1017" s="15"/>
      <c r="I1017" s="15"/>
      <c r="J1017" s="15"/>
      <c r="K1017" s="15"/>
      <c r="L1017" s="15"/>
      <c r="M1017" s="15"/>
      <c r="N1017" s="15"/>
      <c r="O1017" s="15"/>
      <c r="P1017" s="15"/>
      <c r="Q1017" s="15"/>
      <c r="R1017" s="15"/>
      <c r="S1017" s="15"/>
      <c r="T1017" s="15"/>
      <c r="U1017" s="15"/>
      <c r="V1017" s="15"/>
    </row>
    <row r="1018" spans="1:22">
      <c r="A1018" s="15"/>
      <c r="C1018" s="15"/>
      <c r="D1018" s="15"/>
      <c r="E1018" s="15"/>
      <c r="F1018" s="15"/>
      <c r="G1018" s="15"/>
      <c r="H1018" s="15"/>
      <c r="I1018" s="15"/>
      <c r="J1018" s="15"/>
      <c r="K1018" s="15"/>
      <c r="L1018" s="15"/>
      <c r="M1018" s="15"/>
      <c r="N1018" s="15"/>
      <c r="O1018" s="15"/>
      <c r="P1018" s="15"/>
      <c r="Q1018" s="15"/>
      <c r="R1018" s="15"/>
      <c r="S1018" s="15"/>
      <c r="T1018" s="15"/>
      <c r="U1018" s="15"/>
      <c r="V1018" s="15"/>
    </row>
    <row r="1019" spans="1:22">
      <c r="A1019" s="15"/>
      <c r="C1019" s="15"/>
      <c r="D1019" s="15"/>
      <c r="E1019" s="15"/>
      <c r="F1019" s="15"/>
      <c r="G1019" s="15"/>
      <c r="H1019" s="15"/>
      <c r="I1019" s="15"/>
      <c r="J1019" s="15"/>
      <c r="K1019" s="15"/>
      <c r="L1019" s="15"/>
      <c r="M1019" s="15"/>
      <c r="N1019" s="15"/>
      <c r="O1019" s="15"/>
      <c r="P1019" s="15"/>
      <c r="Q1019" s="15"/>
      <c r="R1019" s="15"/>
      <c r="S1019" s="15"/>
      <c r="T1019" s="15"/>
      <c r="U1019" s="15"/>
      <c r="V1019" s="15"/>
    </row>
    <row r="1020" spans="1:22">
      <c r="A1020" s="15"/>
      <c r="C1020" s="15"/>
      <c r="D1020" s="15"/>
      <c r="E1020" s="15"/>
      <c r="F1020" s="15"/>
      <c r="G1020" s="15"/>
      <c r="H1020" s="15"/>
      <c r="I1020" s="15"/>
      <c r="J1020" s="15"/>
      <c r="K1020" s="15"/>
      <c r="L1020" s="15"/>
      <c r="M1020" s="15"/>
      <c r="N1020" s="15"/>
      <c r="O1020" s="15"/>
      <c r="P1020" s="15"/>
      <c r="Q1020" s="15"/>
      <c r="R1020" s="15"/>
      <c r="S1020" s="15"/>
      <c r="T1020" s="15"/>
      <c r="U1020" s="15"/>
      <c r="V1020" s="15"/>
    </row>
    <row r="1021" spans="1:22">
      <c r="A1021" s="15"/>
      <c r="C1021" s="15"/>
      <c r="D1021" s="15"/>
      <c r="E1021" s="15"/>
      <c r="F1021" s="15"/>
      <c r="G1021" s="15"/>
      <c r="H1021" s="15"/>
      <c r="I1021" s="15"/>
      <c r="J1021" s="15"/>
      <c r="K1021" s="15"/>
      <c r="L1021" s="15"/>
      <c r="M1021" s="15"/>
      <c r="N1021" s="15"/>
      <c r="O1021" s="15"/>
      <c r="P1021" s="15"/>
      <c r="Q1021" s="15"/>
      <c r="R1021" s="15"/>
      <c r="S1021" s="15"/>
      <c r="T1021" s="15"/>
      <c r="U1021" s="15"/>
      <c r="V1021" s="15"/>
    </row>
    <row r="1022" spans="1:22">
      <c r="A1022" s="15"/>
      <c r="C1022" s="15"/>
      <c r="D1022" s="15"/>
      <c r="E1022" s="15"/>
      <c r="F1022" s="15"/>
      <c r="G1022" s="15"/>
      <c r="H1022" s="15"/>
      <c r="I1022" s="15"/>
      <c r="J1022" s="15"/>
      <c r="K1022" s="15"/>
      <c r="L1022" s="15"/>
      <c r="M1022" s="15"/>
      <c r="N1022" s="15"/>
      <c r="O1022" s="15"/>
      <c r="P1022" s="15"/>
      <c r="Q1022" s="15"/>
      <c r="R1022" s="15"/>
      <c r="S1022" s="15"/>
      <c r="T1022" s="15"/>
      <c r="U1022" s="15"/>
      <c r="V1022" s="15"/>
    </row>
    <row r="1023" spans="1:22">
      <c r="A1023" s="15"/>
      <c r="C1023" s="15"/>
      <c r="D1023" s="15"/>
      <c r="E1023" s="15"/>
      <c r="F1023" s="15"/>
      <c r="G1023" s="15"/>
      <c r="H1023" s="15"/>
      <c r="I1023" s="15"/>
      <c r="J1023" s="15"/>
      <c r="K1023" s="15"/>
      <c r="L1023" s="15"/>
      <c r="M1023" s="15"/>
      <c r="N1023" s="15"/>
      <c r="O1023" s="15"/>
      <c r="P1023" s="15"/>
      <c r="Q1023" s="15"/>
      <c r="R1023" s="15"/>
      <c r="S1023" s="15"/>
      <c r="T1023" s="15"/>
      <c r="U1023" s="15"/>
      <c r="V1023" s="15"/>
    </row>
    <row r="1024" spans="1:22">
      <c r="A1024" s="15"/>
      <c r="C1024" s="15"/>
      <c r="D1024" s="15"/>
      <c r="E1024" s="15"/>
      <c r="F1024" s="15"/>
      <c r="G1024" s="15"/>
      <c r="H1024" s="15"/>
      <c r="I1024" s="15"/>
      <c r="J1024" s="15"/>
      <c r="K1024" s="15"/>
      <c r="L1024" s="15"/>
      <c r="M1024" s="15"/>
      <c r="N1024" s="15"/>
      <c r="O1024" s="15"/>
      <c r="P1024" s="15"/>
      <c r="Q1024" s="15"/>
      <c r="R1024" s="15"/>
      <c r="S1024" s="15"/>
      <c r="T1024" s="15"/>
      <c r="U1024" s="15"/>
      <c r="V1024" s="15"/>
    </row>
    <row r="1025" spans="1:22">
      <c r="A1025" s="15"/>
      <c r="C1025" s="15"/>
      <c r="D1025" s="15"/>
      <c r="E1025" s="15"/>
      <c r="F1025" s="15"/>
      <c r="G1025" s="15"/>
      <c r="H1025" s="15"/>
      <c r="I1025" s="15"/>
      <c r="J1025" s="15"/>
      <c r="K1025" s="15"/>
      <c r="L1025" s="15"/>
      <c r="M1025" s="15"/>
      <c r="N1025" s="15"/>
      <c r="O1025" s="15"/>
      <c r="P1025" s="15"/>
      <c r="Q1025" s="15"/>
      <c r="R1025" s="15"/>
      <c r="S1025" s="15"/>
      <c r="T1025" s="15"/>
      <c r="U1025" s="15"/>
      <c r="V1025" s="15"/>
    </row>
    <row r="1026" spans="1:22">
      <c r="A1026" s="15"/>
      <c r="C1026" s="15"/>
      <c r="D1026" s="15"/>
      <c r="E1026" s="15"/>
      <c r="F1026" s="15"/>
      <c r="G1026" s="15"/>
      <c r="H1026" s="15"/>
      <c r="I1026" s="15"/>
      <c r="J1026" s="15"/>
      <c r="K1026" s="15"/>
      <c r="L1026" s="15"/>
      <c r="M1026" s="15"/>
      <c r="N1026" s="15"/>
      <c r="O1026" s="15"/>
      <c r="P1026" s="15"/>
      <c r="Q1026" s="15"/>
      <c r="R1026" s="15"/>
      <c r="S1026" s="15"/>
      <c r="T1026" s="15"/>
      <c r="U1026" s="15"/>
      <c r="V1026" s="15"/>
    </row>
    <row r="1027" spans="1:22">
      <c r="A1027" s="15"/>
      <c r="C1027" s="15"/>
      <c r="D1027" s="15"/>
      <c r="E1027" s="15"/>
      <c r="F1027" s="15"/>
      <c r="G1027" s="15"/>
      <c r="H1027" s="15"/>
      <c r="I1027" s="15"/>
      <c r="J1027" s="15"/>
      <c r="K1027" s="15"/>
      <c r="L1027" s="15"/>
      <c r="M1027" s="15"/>
      <c r="N1027" s="15"/>
      <c r="O1027" s="15"/>
      <c r="P1027" s="15"/>
      <c r="Q1027" s="15"/>
      <c r="R1027" s="15"/>
      <c r="S1027" s="15"/>
      <c r="T1027" s="15"/>
      <c r="U1027" s="15"/>
      <c r="V1027" s="15"/>
    </row>
    <row r="1028" spans="1:22">
      <c r="A1028" s="15"/>
      <c r="C1028" s="15"/>
      <c r="D1028" s="15"/>
      <c r="E1028" s="15"/>
      <c r="F1028" s="15"/>
      <c r="G1028" s="15"/>
      <c r="H1028" s="15"/>
      <c r="I1028" s="15"/>
      <c r="J1028" s="15"/>
      <c r="K1028" s="15"/>
      <c r="L1028" s="15"/>
      <c r="M1028" s="15"/>
      <c r="N1028" s="15"/>
      <c r="O1028" s="15"/>
      <c r="P1028" s="15"/>
      <c r="Q1028" s="15"/>
      <c r="R1028" s="15"/>
      <c r="S1028" s="15"/>
      <c r="T1028" s="15"/>
      <c r="U1028" s="15"/>
      <c r="V1028" s="15"/>
    </row>
    <row r="1029" spans="1:22">
      <c r="A1029" s="15"/>
      <c r="C1029" s="15"/>
      <c r="D1029" s="15"/>
      <c r="E1029" s="15"/>
      <c r="F1029" s="15"/>
      <c r="G1029" s="15"/>
      <c r="H1029" s="15"/>
      <c r="I1029" s="15"/>
      <c r="J1029" s="15"/>
      <c r="K1029" s="15"/>
      <c r="L1029" s="15"/>
      <c r="M1029" s="15"/>
      <c r="N1029" s="15"/>
      <c r="O1029" s="15"/>
      <c r="P1029" s="15"/>
      <c r="Q1029" s="15"/>
      <c r="R1029" s="15"/>
      <c r="S1029" s="15"/>
      <c r="T1029" s="15"/>
      <c r="U1029" s="15"/>
      <c r="V1029" s="15"/>
    </row>
    <row r="1030" spans="1:22">
      <c r="A1030" s="15"/>
      <c r="C1030" s="15"/>
      <c r="D1030" s="15"/>
      <c r="E1030" s="15"/>
      <c r="F1030" s="15"/>
      <c r="G1030" s="15"/>
      <c r="H1030" s="15"/>
      <c r="I1030" s="15"/>
      <c r="J1030" s="15"/>
      <c r="K1030" s="15"/>
      <c r="L1030" s="15"/>
      <c r="M1030" s="15"/>
      <c r="N1030" s="15"/>
      <c r="O1030" s="15"/>
      <c r="P1030" s="15"/>
      <c r="Q1030" s="15"/>
      <c r="R1030" s="15"/>
      <c r="S1030" s="15"/>
      <c r="T1030" s="15"/>
      <c r="U1030" s="15"/>
      <c r="V1030" s="15"/>
    </row>
    <row r="1031" spans="1:22">
      <c r="A1031" s="15"/>
      <c r="C1031" s="15"/>
      <c r="D1031" s="15"/>
      <c r="E1031" s="15"/>
      <c r="F1031" s="15"/>
      <c r="G1031" s="15"/>
      <c r="H1031" s="15"/>
      <c r="I1031" s="15"/>
      <c r="J1031" s="15"/>
      <c r="K1031" s="15"/>
      <c r="L1031" s="15"/>
      <c r="M1031" s="15"/>
      <c r="N1031" s="15"/>
      <c r="O1031" s="15"/>
      <c r="P1031" s="15"/>
      <c r="Q1031" s="15"/>
      <c r="R1031" s="15"/>
      <c r="S1031" s="15"/>
      <c r="T1031" s="15"/>
      <c r="U1031" s="15"/>
      <c r="V1031" s="15"/>
    </row>
    <row r="1032" spans="1:22">
      <c r="A1032" s="15"/>
      <c r="C1032" s="15"/>
      <c r="D1032" s="15"/>
      <c r="E1032" s="15"/>
      <c r="F1032" s="15"/>
      <c r="G1032" s="15"/>
      <c r="H1032" s="15"/>
      <c r="I1032" s="15"/>
      <c r="J1032" s="15"/>
      <c r="K1032" s="15"/>
      <c r="L1032" s="15"/>
      <c r="M1032" s="15"/>
      <c r="N1032" s="15"/>
      <c r="O1032" s="15"/>
      <c r="P1032" s="15"/>
      <c r="Q1032" s="15"/>
      <c r="R1032" s="15"/>
      <c r="S1032" s="15"/>
      <c r="T1032" s="15"/>
      <c r="U1032" s="15"/>
      <c r="V1032" s="15"/>
    </row>
    <row r="1033" spans="1:22">
      <c r="A1033" s="15"/>
      <c r="C1033" s="15"/>
      <c r="D1033" s="15"/>
      <c r="E1033" s="15"/>
      <c r="F1033" s="15"/>
      <c r="G1033" s="15"/>
      <c r="H1033" s="15"/>
      <c r="I1033" s="15"/>
      <c r="J1033" s="15"/>
      <c r="K1033" s="15"/>
      <c r="L1033" s="15"/>
      <c r="M1033" s="15"/>
      <c r="N1033" s="15"/>
      <c r="O1033" s="15"/>
      <c r="P1033" s="15"/>
      <c r="Q1033" s="15"/>
      <c r="R1033" s="15"/>
      <c r="S1033" s="15"/>
      <c r="T1033" s="15"/>
      <c r="U1033" s="15"/>
      <c r="V1033" s="15"/>
    </row>
    <row r="1034" spans="1:22">
      <c r="A1034" s="15"/>
      <c r="C1034" s="15"/>
      <c r="D1034" s="15"/>
      <c r="E1034" s="15"/>
      <c r="F1034" s="15"/>
      <c r="G1034" s="15"/>
      <c r="H1034" s="15"/>
      <c r="I1034" s="15"/>
      <c r="J1034" s="15"/>
      <c r="K1034" s="15"/>
      <c r="L1034" s="15"/>
      <c r="M1034" s="15"/>
      <c r="N1034" s="15"/>
      <c r="O1034" s="15"/>
      <c r="P1034" s="15"/>
      <c r="Q1034" s="15"/>
      <c r="R1034" s="15"/>
      <c r="S1034" s="15"/>
      <c r="T1034" s="15"/>
      <c r="U1034" s="15"/>
      <c r="V1034" s="15"/>
    </row>
    <row r="1035" spans="1:22">
      <c r="A1035" s="15"/>
      <c r="C1035" s="15"/>
      <c r="D1035" s="15"/>
      <c r="E1035" s="15"/>
      <c r="F1035" s="15"/>
      <c r="G1035" s="15"/>
      <c r="H1035" s="15"/>
      <c r="I1035" s="15"/>
      <c r="J1035" s="15"/>
      <c r="K1035" s="15"/>
      <c r="L1035" s="15"/>
      <c r="M1035" s="15"/>
      <c r="N1035" s="15"/>
      <c r="O1035" s="15"/>
      <c r="P1035" s="15"/>
      <c r="Q1035" s="15"/>
      <c r="R1035" s="15"/>
      <c r="S1035" s="15"/>
      <c r="T1035" s="15"/>
      <c r="U1035" s="15"/>
      <c r="V1035" s="15"/>
    </row>
    <row r="1036" spans="1:22">
      <c r="A1036" s="15"/>
      <c r="C1036" s="15"/>
      <c r="D1036" s="15"/>
      <c r="E1036" s="15"/>
      <c r="F1036" s="15"/>
      <c r="G1036" s="15"/>
      <c r="H1036" s="15"/>
      <c r="I1036" s="15"/>
      <c r="J1036" s="15"/>
      <c r="K1036" s="15"/>
      <c r="L1036" s="15"/>
      <c r="M1036" s="15"/>
      <c r="N1036" s="15"/>
      <c r="O1036" s="15"/>
      <c r="P1036" s="15"/>
      <c r="Q1036" s="15"/>
      <c r="R1036" s="15"/>
      <c r="S1036" s="15"/>
      <c r="T1036" s="15"/>
      <c r="U1036" s="15"/>
      <c r="V1036" s="15"/>
    </row>
    <row r="1037" spans="1:22">
      <c r="A1037" s="15"/>
      <c r="C1037" s="15"/>
      <c r="D1037" s="15"/>
      <c r="E1037" s="15"/>
      <c r="F1037" s="15"/>
      <c r="G1037" s="15"/>
      <c r="H1037" s="15"/>
      <c r="I1037" s="15"/>
      <c r="J1037" s="15"/>
      <c r="K1037" s="15"/>
      <c r="L1037" s="15"/>
      <c r="M1037" s="15"/>
      <c r="N1037" s="15"/>
      <c r="O1037" s="15"/>
      <c r="P1037" s="15"/>
      <c r="Q1037" s="15"/>
      <c r="R1037" s="15"/>
      <c r="S1037" s="15"/>
      <c r="T1037" s="15"/>
      <c r="U1037" s="15"/>
      <c r="V1037" s="15"/>
    </row>
    <row r="1038" spans="1:22">
      <c r="A1038" s="15"/>
      <c r="C1038" s="15"/>
      <c r="D1038" s="15"/>
      <c r="E1038" s="15"/>
      <c r="F1038" s="15"/>
      <c r="G1038" s="15"/>
      <c r="H1038" s="15"/>
      <c r="I1038" s="15"/>
      <c r="J1038" s="15"/>
      <c r="K1038" s="15"/>
      <c r="L1038" s="15"/>
      <c r="M1038" s="15"/>
      <c r="N1038" s="15"/>
      <c r="O1038" s="15"/>
      <c r="P1038" s="15"/>
      <c r="Q1038" s="15"/>
      <c r="R1038" s="15"/>
      <c r="S1038" s="15"/>
      <c r="T1038" s="15"/>
      <c r="U1038" s="15"/>
      <c r="V1038" s="15"/>
    </row>
    <row r="1039" spans="1:22">
      <c r="A1039" s="15"/>
      <c r="C1039" s="15"/>
      <c r="D1039" s="15"/>
      <c r="E1039" s="15"/>
      <c r="F1039" s="15"/>
      <c r="G1039" s="15"/>
      <c r="H1039" s="15"/>
      <c r="I1039" s="15"/>
      <c r="J1039" s="15"/>
      <c r="K1039" s="15"/>
      <c r="L1039" s="15"/>
      <c r="M1039" s="15"/>
      <c r="N1039" s="15"/>
      <c r="O1039" s="15"/>
      <c r="P1039" s="15"/>
      <c r="Q1039" s="15"/>
      <c r="R1039" s="15"/>
      <c r="S1039" s="15"/>
      <c r="T1039" s="15"/>
      <c r="U1039" s="15"/>
      <c r="V1039" s="15"/>
    </row>
    <row r="1040" spans="1:22">
      <c r="A1040" s="15"/>
      <c r="C1040" s="15"/>
      <c r="D1040" s="15"/>
      <c r="E1040" s="15"/>
      <c r="F1040" s="15"/>
      <c r="G1040" s="15"/>
      <c r="H1040" s="15"/>
      <c r="I1040" s="15"/>
      <c r="J1040" s="15"/>
      <c r="K1040" s="15"/>
      <c r="L1040" s="15"/>
      <c r="M1040" s="15"/>
      <c r="N1040" s="15"/>
      <c r="O1040" s="15"/>
      <c r="P1040" s="15"/>
      <c r="Q1040" s="15"/>
      <c r="R1040" s="15"/>
      <c r="S1040" s="15"/>
      <c r="T1040" s="15"/>
      <c r="U1040" s="15"/>
      <c r="V1040" s="15"/>
    </row>
    <row r="1041" spans="1:22">
      <c r="A1041" s="15"/>
      <c r="C1041" s="15"/>
      <c r="D1041" s="15"/>
      <c r="E1041" s="15"/>
      <c r="F1041" s="15"/>
      <c r="G1041" s="15"/>
      <c r="H1041" s="15"/>
      <c r="I1041" s="15"/>
      <c r="J1041" s="15"/>
      <c r="K1041" s="15"/>
      <c r="L1041" s="15"/>
      <c r="M1041" s="15"/>
      <c r="N1041" s="15"/>
      <c r="O1041" s="15"/>
      <c r="P1041" s="15"/>
      <c r="Q1041" s="15"/>
      <c r="R1041" s="15"/>
      <c r="S1041" s="15"/>
      <c r="T1041" s="15"/>
      <c r="U1041" s="15"/>
      <c r="V1041" s="15"/>
    </row>
    <row r="1042" spans="1:22">
      <c r="A1042" s="15"/>
      <c r="C1042" s="15"/>
      <c r="D1042" s="15"/>
      <c r="E1042" s="15"/>
      <c r="F1042" s="15"/>
      <c r="G1042" s="15"/>
      <c r="H1042" s="15"/>
      <c r="I1042" s="15"/>
      <c r="J1042" s="15"/>
      <c r="K1042" s="15"/>
      <c r="L1042" s="15"/>
      <c r="M1042" s="15"/>
      <c r="N1042" s="15"/>
      <c r="O1042" s="15"/>
      <c r="P1042" s="15"/>
      <c r="Q1042" s="15"/>
      <c r="R1042" s="15"/>
      <c r="S1042" s="15"/>
      <c r="T1042" s="15"/>
      <c r="U1042" s="15"/>
      <c r="V1042" s="15"/>
    </row>
    <row r="1043" spans="1:22">
      <c r="A1043" s="15"/>
      <c r="C1043" s="15"/>
      <c r="D1043" s="15"/>
      <c r="E1043" s="15"/>
      <c r="F1043" s="15"/>
      <c r="G1043" s="15"/>
      <c r="H1043" s="15"/>
      <c r="I1043" s="15"/>
      <c r="J1043" s="15"/>
      <c r="K1043" s="15"/>
      <c r="L1043" s="15"/>
      <c r="M1043" s="15"/>
      <c r="N1043" s="15"/>
      <c r="O1043" s="15"/>
      <c r="P1043" s="15"/>
      <c r="Q1043" s="15"/>
      <c r="R1043" s="15"/>
      <c r="S1043" s="15"/>
      <c r="T1043" s="15"/>
      <c r="U1043" s="15"/>
      <c r="V1043" s="15"/>
    </row>
    <row r="1044" spans="1:22">
      <c r="A1044" s="15"/>
      <c r="C1044" s="15"/>
      <c r="D1044" s="15"/>
      <c r="E1044" s="15"/>
      <c r="F1044" s="15"/>
      <c r="G1044" s="15"/>
      <c r="H1044" s="15"/>
      <c r="I1044" s="15"/>
      <c r="J1044" s="15"/>
      <c r="K1044" s="15"/>
      <c r="L1044" s="15"/>
      <c r="M1044" s="15"/>
      <c r="N1044" s="15"/>
      <c r="O1044" s="15"/>
      <c r="P1044" s="15"/>
      <c r="Q1044" s="15"/>
      <c r="R1044" s="15"/>
      <c r="S1044" s="15"/>
      <c r="T1044" s="15"/>
      <c r="U1044" s="15"/>
      <c r="V1044" s="15"/>
    </row>
    <row r="1045" spans="1:22">
      <c r="A1045" s="15"/>
      <c r="C1045" s="15"/>
      <c r="D1045" s="15"/>
      <c r="E1045" s="15"/>
      <c r="F1045" s="15"/>
      <c r="G1045" s="15"/>
      <c r="H1045" s="15"/>
      <c r="I1045" s="15"/>
      <c r="J1045" s="15"/>
      <c r="K1045" s="15"/>
      <c r="L1045" s="15"/>
      <c r="M1045" s="15"/>
      <c r="N1045" s="15"/>
      <c r="O1045" s="15"/>
      <c r="P1045" s="15"/>
      <c r="Q1045" s="15"/>
      <c r="R1045" s="15"/>
      <c r="S1045" s="15"/>
      <c r="T1045" s="15"/>
      <c r="U1045" s="15"/>
      <c r="V1045" s="15"/>
    </row>
    <row r="1046" spans="1:22">
      <c r="A1046" s="15"/>
      <c r="C1046" s="15"/>
      <c r="D1046" s="15"/>
      <c r="E1046" s="15"/>
      <c r="F1046" s="15"/>
      <c r="G1046" s="15"/>
      <c r="H1046" s="15"/>
      <c r="I1046" s="15"/>
      <c r="J1046" s="15"/>
      <c r="K1046" s="15"/>
      <c r="L1046" s="15"/>
      <c r="M1046" s="15"/>
      <c r="N1046" s="15"/>
      <c r="O1046" s="15"/>
      <c r="P1046" s="15"/>
      <c r="Q1046" s="15"/>
      <c r="R1046" s="15"/>
      <c r="S1046" s="15"/>
      <c r="T1046" s="15"/>
      <c r="U1046" s="15"/>
      <c r="V1046" s="15"/>
    </row>
    <row r="1047" spans="1:22">
      <c r="A1047" s="15"/>
      <c r="C1047" s="15"/>
      <c r="D1047" s="15"/>
      <c r="E1047" s="15"/>
      <c r="F1047" s="15"/>
      <c r="G1047" s="15"/>
      <c r="H1047" s="15"/>
      <c r="I1047" s="15"/>
      <c r="J1047" s="15"/>
      <c r="K1047" s="15"/>
      <c r="L1047" s="15"/>
      <c r="M1047" s="15"/>
      <c r="N1047" s="15"/>
      <c r="O1047" s="15"/>
      <c r="P1047" s="15"/>
      <c r="Q1047" s="15"/>
      <c r="R1047" s="15"/>
      <c r="S1047" s="15"/>
      <c r="T1047" s="15"/>
      <c r="U1047" s="15"/>
      <c r="V1047" s="15"/>
    </row>
    <row r="1048" spans="1:22">
      <c r="A1048" s="15"/>
      <c r="C1048" s="15"/>
      <c r="D1048" s="15"/>
      <c r="E1048" s="15"/>
      <c r="F1048" s="15"/>
      <c r="G1048" s="15"/>
      <c r="H1048" s="15"/>
      <c r="I1048" s="15"/>
      <c r="J1048" s="15"/>
      <c r="K1048" s="15"/>
      <c r="L1048" s="15"/>
      <c r="M1048" s="15"/>
      <c r="N1048" s="15"/>
      <c r="O1048" s="15"/>
      <c r="P1048" s="15"/>
      <c r="Q1048" s="15"/>
      <c r="R1048" s="15"/>
      <c r="S1048" s="15"/>
      <c r="T1048" s="15"/>
      <c r="U1048" s="15"/>
      <c r="V1048" s="15"/>
    </row>
    <row r="1049" spans="1:22">
      <c r="A1049" s="15"/>
      <c r="C1049" s="15"/>
      <c r="D1049" s="15"/>
      <c r="E1049" s="15"/>
      <c r="F1049" s="15"/>
      <c r="G1049" s="15"/>
      <c r="H1049" s="15"/>
      <c r="I1049" s="15"/>
      <c r="J1049" s="15"/>
      <c r="K1049" s="15"/>
      <c r="L1049" s="15"/>
      <c r="M1049" s="15"/>
      <c r="N1049" s="15"/>
      <c r="O1049" s="15"/>
      <c r="P1049" s="15"/>
      <c r="Q1049" s="15"/>
      <c r="R1049" s="15"/>
      <c r="S1049" s="15"/>
      <c r="T1049" s="15"/>
      <c r="U1049" s="15"/>
      <c r="V1049" s="15"/>
    </row>
    <row r="1050" spans="1:22">
      <c r="A1050" s="15"/>
      <c r="C1050" s="15"/>
      <c r="D1050" s="15"/>
      <c r="E1050" s="15"/>
      <c r="F1050" s="15"/>
      <c r="G1050" s="15"/>
      <c r="H1050" s="15"/>
      <c r="I1050" s="15"/>
      <c r="J1050" s="15"/>
      <c r="K1050" s="15"/>
      <c r="L1050" s="15"/>
      <c r="M1050" s="15"/>
      <c r="N1050" s="15"/>
      <c r="O1050" s="15"/>
      <c r="P1050" s="15"/>
      <c r="Q1050" s="15"/>
      <c r="R1050" s="15"/>
      <c r="S1050" s="15"/>
      <c r="T1050" s="15"/>
      <c r="U1050" s="15"/>
      <c r="V1050" s="15"/>
    </row>
    <row r="1051" spans="1:22">
      <c r="A1051" s="15"/>
      <c r="C1051" s="15"/>
      <c r="D1051" s="15"/>
      <c r="E1051" s="15"/>
      <c r="F1051" s="15"/>
      <c r="G1051" s="15"/>
      <c r="H1051" s="15"/>
      <c r="I1051" s="15"/>
      <c r="J1051" s="15"/>
      <c r="K1051" s="15"/>
      <c r="L1051" s="15"/>
      <c r="M1051" s="15"/>
      <c r="N1051" s="15"/>
      <c r="O1051" s="15"/>
      <c r="P1051" s="15"/>
      <c r="Q1051" s="15"/>
      <c r="R1051" s="15"/>
      <c r="S1051" s="15"/>
      <c r="T1051" s="15"/>
      <c r="U1051" s="15"/>
      <c r="V1051" s="15"/>
    </row>
    <row r="1052" spans="1:22">
      <c r="A1052" s="15"/>
      <c r="C1052" s="15"/>
      <c r="D1052" s="15"/>
      <c r="E1052" s="15"/>
      <c r="F1052" s="15"/>
      <c r="G1052" s="15"/>
      <c r="H1052" s="15"/>
      <c r="I1052" s="15"/>
      <c r="J1052" s="15"/>
      <c r="K1052" s="15"/>
      <c r="L1052" s="15"/>
      <c r="M1052" s="15"/>
      <c r="N1052" s="15"/>
      <c r="O1052" s="15"/>
      <c r="P1052" s="15"/>
      <c r="Q1052" s="15"/>
      <c r="R1052" s="15"/>
      <c r="S1052" s="15"/>
      <c r="T1052" s="15"/>
      <c r="U1052" s="15"/>
      <c r="V1052" s="15"/>
    </row>
    <row r="1053" spans="1:22">
      <c r="A1053" s="15"/>
      <c r="C1053" s="15"/>
      <c r="D1053" s="15"/>
      <c r="E1053" s="15"/>
      <c r="F1053" s="15"/>
      <c r="G1053" s="15"/>
      <c r="H1053" s="15"/>
      <c r="I1053" s="15"/>
      <c r="J1053" s="15"/>
      <c r="K1053" s="15"/>
      <c r="L1053" s="15"/>
      <c r="M1053" s="15"/>
      <c r="N1053" s="15"/>
      <c r="O1053" s="15"/>
      <c r="P1053" s="15"/>
      <c r="Q1053" s="15"/>
      <c r="R1053" s="15"/>
      <c r="S1053" s="15"/>
      <c r="T1053" s="15"/>
      <c r="U1053" s="15"/>
      <c r="V1053" s="15"/>
    </row>
    <row r="1054" spans="1:22">
      <c r="A1054" s="15"/>
      <c r="C1054" s="15"/>
      <c r="D1054" s="15"/>
      <c r="E1054" s="15"/>
      <c r="F1054" s="15"/>
      <c r="G1054" s="15"/>
      <c r="H1054" s="15"/>
      <c r="I1054" s="15"/>
      <c r="J1054" s="15"/>
      <c r="K1054" s="15"/>
      <c r="L1054" s="15"/>
      <c r="M1054" s="15"/>
      <c r="N1054" s="15"/>
      <c r="O1054" s="15"/>
      <c r="P1054" s="15"/>
      <c r="Q1054" s="15"/>
      <c r="R1054" s="15"/>
      <c r="S1054" s="15"/>
      <c r="T1054" s="15"/>
      <c r="U1054" s="15"/>
      <c r="V1054" s="15"/>
    </row>
    <row r="1055" spans="1:22">
      <c r="A1055" s="15"/>
      <c r="C1055" s="15"/>
      <c r="D1055" s="15"/>
      <c r="E1055" s="15"/>
      <c r="F1055" s="15"/>
      <c r="G1055" s="15"/>
      <c r="H1055" s="15"/>
      <c r="I1055" s="15"/>
      <c r="J1055" s="15"/>
      <c r="K1055" s="15"/>
      <c r="L1055" s="15"/>
      <c r="M1055" s="15"/>
      <c r="N1055" s="15"/>
      <c r="O1055" s="15"/>
      <c r="P1055" s="15"/>
      <c r="Q1055" s="15"/>
      <c r="R1055" s="15"/>
      <c r="S1055" s="15"/>
      <c r="T1055" s="15"/>
      <c r="U1055" s="15"/>
      <c r="V1055" s="15"/>
    </row>
    <row r="1056" spans="1:22">
      <c r="A1056" s="15"/>
      <c r="C1056" s="15"/>
      <c r="D1056" s="15"/>
      <c r="E1056" s="15"/>
      <c r="F1056" s="15"/>
      <c r="G1056" s="15"/>
      <c r="H1056" s="15"/>
      <c r="I1056" s="15"/>
      <c r="J1056" s="15"/>
      <c r="K1056" s="15"/>
      <c r="L1056" s="15"/>
      <c r="M1056" s="15"/>
      <c r="N1056" s="15"/>
      <c r="O1056" s="15"/>
      <c r="P1056" s="15"/>
      <c r="Q1056" s="15"/>
      <c r="R1056" s="15"/>
      <c r="S1056" s="15"/>
      <c r="T1056" s="15"/>
      <c r="U1056" s="15"/>
      <c r="V1056" s="15"/>
    </row>
    <row r="1057" spans="1:22">
      <c r="A1057" s="15"/>
      <c r="C1057" s="15"/>
      <c r="D1057" s="15"/>
      <c r="E1057" s="15"/>
      <c r="F1057" s="15"/>
      <c r="G1057" s="15"/>
      <c r="H1057" s="15"/>
      <c r="I1057" s="15"/>
      <c r="J1057" s="15"/>
      <c r="K1057" s="15"/>
      <c r="L1057" s="15"/>
      <c r="M1057" s="15"/>
      <c r="N1057" s="15"/>
      <c r="O1057" s="15"/>
      <c r="P1057" s="15"/>
      <c r="Q1057" s="15"/>
      <c r="R1057" s="15"/>
      <c r="S1057" s="15"/>
      <c r="T1057" s="15"/>
      <c r="U1057" s="15"/>
      <c r="V1057" s="15"/>
    </row>
    <row r="1058" spans="1:22">
      <c r="A1058" s="15"/>
      <c r="C1058" s="15"/>
      <c r="D1058" s="15"/>
      <c r="E1058" s="15"/>
      <c r="F1058" s="15"/>
      <c r="G1058" s="15"/>
      <c r="H1058" s="15"/>
      <c r="I1058" s="15"/>
      <c r="J1058" s="15"/>
      <c r="K1058" s="15"/>
      <c r="L1058" s="15"/>
      <c r="M1058" s="15"/>
      <c r="N1058" s="15"/>
      <c r="O1058" s="15"/>
      <c r="P1058" s="15"/>
      <c r="Q1058" s="15"/>
      <c r="R1058" s="15"/>
      <c r="S1058" s="15"/>
      <c r="T1058" s="15"/>
      <c r="U1058" s="15"/>
      <c r="V1058" s="15"/>
    </row>
    <row r="1059" spans="1:22">
      <c r="A1059" s="15"/>
      <c r="C1059" s="15"/>
      <c r="D1059" s="15"/>
      <c r="E1059" s="15"/>
      <c r="F1059" s="15"/>
      <c r="G1059" s="15"/>
      <c r="H1059" s="15"/>
      <c r="I1059" s="15"/>
      <c r="J1059" s="15"/>
      <c r="K1059" s="15"/>
      <c r="L1059" s="15"/>
      <c r="M1059" s="15"/>
      <c r="N1059" s="15"/>
      <c r="O1059" s="15"/>
      <c r="P1059" s="15"/>
      <c r="Q1059" s="15"/>
      <c r="R1059" s="15"/>
      <c r="S1059" s="15"/>
      <c r="T1059" s="15"/>
      <c r="U1059" s="15"/>
      <c r="V1059" s="15"/>
    </row>
    <row r="1060" spans="1:22">
      <c r="A1060" s="15"/>
      <c r="C1060" s="15"/>
      <c r="D1060" s="15"/>
      <c r="E1060" s="15"/>
      <c r="F1060" s="15"/>
      <c r="G1060" s="15"/>
      <c r="H1060" s="15"/>
      <c r="I1060" s="15"/>
      <c r="J1060" s="15"/>
      <c r="K1060" s="15"/>
      <c r="L1060" s="15"/>
      <c r="M1060" s="15"/>
      <c r="N1060" s="15"/>
      <c r="O1060" s="15"/>
      <c r="P1060" s="15"/>
      <c r="Q1060" s="15"/>
      <c r="R1060" s="15"/>
      <c r="S1060" s="15"/>
      <c r="T1060" s="15"/>
      <c r="U1060" s="15"/>
      <c r="V1060" s="15"/>
    </row>
    <row r="1061" spans="1:22">
      <c r="A1061" s="15"/>
      <c r="C1061" s="15"/>
      <c r="D1061" s="15"/>
      <c r="E1061" s="15"/>
      <c r="F1061" s="15"/>
      <c r="G1061" s="15"/>
      <c r="H1061" s="15"/>
      <c r="I1061" s="15"/>
      <c r="J1061" s="15"/>
      <c r="K1061" s="15"/>
      <c r="L1061" s="15"/>
      <c r="M1061" s="15"/>
      <c r="N1061" s="15"/>
      <c r="O1061" s="15"/>
      <c r="P1061" s="15"/>
      <c r="Q1061" s="15"/>
      <c r="R1061" s="15"/>
      <c r="S1061" s="15"/>
      <c r="T1061" s="15"/>
      <c r="U1061" s="15"/>
      <c r="V1061" s="15"/>
    </row>
    <row r="1062" spans="1:22">
      <c r="A1062" s="15"/>
      <c r="C1062" s="15"/>
      <c r="D1062" s="15"/>
      <c r="E1062" s="15"/>
      <c r="F1062" s="15"/>
      <c r="G1062" s="15"/>
      <c r="H1062" s="15"/>
      <c r="I1062" s="15"/>
      <c r="J1062" s="15"/>
      <c r="K1062" s="15"/>
      <c r="L1062" s="15"/>
      <c r="M1062" s="15"/>
      <c r="N1062" s="15"/>
      <c r="O1062" s="15"/>
      <c r="P1062" s="15"/>
      <c r="Q1062" s="15"/>
      <c r="R1062" s="15"/>
      <c r="S1062" s="15"/>
      <c r="T1062" s="15"/>
      <c r="U1062" s="15"/>
      <c r="V1062" s="15"/>
    </row>
    <row r="1063" spans="1:22">
      <c r="A1063" s="15"/>
      <c r="C1063" s="15"/>
      <c r="D1063" s="15"/>
      <c r="E1063" s="15"/>
      <c r="F1063" s="15"/>
      <c r="G1063" s="15"/>
      <c r="H1063" s="15"/>
      <c r="I1063" s="15"/>
      <c r="J1063" s="15"/>
      <c r="K1063" s="15"/>
      <c r="L1063" s="15"/>
      <c r="M1063" s="15"/>
      <c r="N1063" s="15"/>
      <c r="O1063" s="15"/>
      <c r="P1063" s="15"/>
      <c r="Q1063" s="15"/>
      <c r="R1063" s="15"/>
      <c r="S1063" s="15"/>
      <c r="T1063" s="15"/>
      <c r="U1063" s="15"/>
      <c r="V1063" s="15"/>
    </row>
    <row r="1064" spans="1:22">
      <c r="A1064" s="15"/>
      <c r="C1064" s="15"/>
      <c r="D1064" s="15"/>
      <c r="E1064" s="15"/>
      <c r="F1064" s="15"/>
      <c r="G1064" s="15"/>
      <c r="H1064" s="15"/>
      <c r="I1064" s="15"/>
      <c r="J1064" s="15"/>
      <c r="K1064" s="15"/>
      <c r="L1064" s="15"/>
      <c r="M1064" s="15"/>
      <c r="N1064" s="15"/>
      <c r="O1064" s="15"/>
      <c r="P1064" s="15"/>
      <c r="Q1064" s="15"/>
      <c r="R1064" s="15"/>
      <c r="S1064" s="15"/>
      <c r="T1064" s="15"/>
      <c r="U1064" s="15"/>
      <c r="V1064" s="15"/>
    </row>
    <row r="1065" spans="1:22">
      <c r="A1065" s="15"/>
      <c r="C1065" s="15"/>
      <c r="D1065" s="15"/>
      <c r="E1065" s="15"/>
      <c r="F1065" s="15"/>
      <c r="G1065" s="15"/>
      <c r="H1065" s="15"/>
      <c r="I1065" s="15"/>
      <c r="J1065" s="15"/>
      <c r="K1065" s="15"/>
      <c r="L1065" s="15"/>
      <c r="M1065" s="15"/>
      <c r="N1065" s="15"/>
      <c r="O1065" s="15"/>
      <c r="P1065" s="15"/>
      <c r="Q1065" s="15"/>
      <c r="R1065" s="15"/>
      <c r="S1065" s="15"/>
      <c r="T1065" s="15"/>
      <c r="U1065" s="15"/>
      <c r="V1065" s="15"/>
    </row>
    <row r="1066" spans="1:22">
      <c r="A1066" s="15"/>
      <c r="C1066" s="15"/>
      <c r="D1066" s="15"/>
      <c r="E1066" s="15"/>
      <c r="F1066" s="15"/>
      <c r="G1066" s="15"/>
      <c r="H1066" s="15"/>
      <c r="I1066" s="15"/>
      <c r="J1066" s="15"/>
      <c r="K1066" s="15"/>
      <c r="L1066" s="15"/>
      <c r="M1066" s="15"/>
      <c r="N1066" s="15"/>
      <c r="O1066" s="15"/>
      <c r="P1066" s="15"/>
      <c r="Q1066" s="15"/>
      <c r="R1066" s="15"/>
      <c r="S1066" s="15"/>
      <c r="T1066" s="15"/>
      <c r="U1066" s="15"/>
      <c r="V1066" s="15"/>
    </row>
    <row r="1067" spans="1:22">
      <c r="A1067" s="15"/>
      <c r="C1067" s="15"/>
      <c r="D1067" s="15"/>
      <c r="E1067" s="15"/>
      <c r="F1067" s="15"/>
      <c r="G1067" s="15"/>
      <c r="H1067" s="15"/>
      <c r="I1067" s="15"/>
      <c r="J1067" s="15"/>
      <c r="K1067" s="15"/>
      <c r="L1067" s="15"/>
      <c r="M1067" s="15"/>
      <c r="N1067" s="15"/>
      <c r="O1067" s="15"/>
      <c r="P1067" s="15"/>
      <c r="Q1067" s="15"/>
      <c r="R1067" s="15"/>
      <c r="S1067" s="15"/>
      <c r="T1067" s="15"/>
      <c r="U1067" s="15"/>
      <c r="V1067" s="15"/>
    </row>
    <row r="1068" spans="1:22">
      <c r="A1068" s="15"/>
      <c r="C1068" s="15"/>
      <c r="D1068" s="15"/>
      <c r="E1068" s="15"/>
      <c r="F1068" s="15"/>
      <c r="G1068" s="15"/>
      <c r="H1068" s="15"/>
      <c r="I1068" s="15"/>
      <c r="J1068" s="15"/>
      <c r="K1068" s="15"/>
      <c r="L1068" s="15"/>
      <c r="M1068" s="15"/>
      <c r="N1068" s="15"/>
      <c r="O1068" s="15"/>
      <c r="P1068" s="15"/>
      <c r="Q1068" s="15"/>
      <c r="R1068" s="15"/>
      <c r="S1068" s="15"/>
      <c r="T1068" s="15"/>
      <c r="U1068" s="15"/>
      <c r="V1068" s="15"/>
    </row>
    <row r="1069" spans="1:22">
      <c r="A1069" s="15"/>
      <c r="C1069" s="15"/>
      <c r="D1069" s="15"/>
      <c r="E1069" s="15"/>
      <c r="F1069" s="15"/>
      <c r="G1069" s="15"/>
      <c r="H1069" s="15"/>
      <c r="I1069" s="15"/>
      <c r="J1069" s="15"/>
      <c r="K1069" s="15"/>
      <c r="L1069" s="15"/>
      <c r="M1069" s="15"/>
      <c r="N1069" s="15"/>
      <c r="O1069" s="15"/>
      <c r="P1069" s="15"/>
      <c r="Q1069" s="15"/>
      <c r="R1069" s="15"/>
      <c r="S1069" s="15"/>
      <c r="T1069" s="15"/>
      <c r="U1069" s="15"/>
      <c r="V1069" s="15"/>
    </row>
    <row r="1070" spans="1:22">
      <c r="A1070" s="15"/>
      <c r="C1070" s="15"/>
      <c r="D1070" s="15"/>
      <c r="E1070" s="15"/>
      <c r="F1070" s="15"/>
      <c r="G1070" s="15"/>
      <c r="H1070" s="15"/>
      <c r="I1070" s="15"/>
      <c r="J1070" s="15"/>
      <c r="K1070" s="15"/>
      <c r="L1070" s="15"/>
      <c r="M1070" s="15"/>
      <c r="N1070" s="15"/>
      <c r="O1070" s="15"/>
      <c r="P1070" s="15"/>
      <c r="Q1070" s="15"/>
      <c r="R1070" s="15"/>
      <c r="S1070" s="15"/>
      <c r="T1070" s="15"/>
      <c r="U1070" s="15"/>
      <c r="V1070" s="15"/>
    </row>
    <row r="1071" spans="1:22">
      <c r="A1071" s="15"/>
      <c r="C1071" s="15"/>
      <c r="D1071" s="15"/>
      <c r="E1071" s="15"/>
      <c r="F1071" s="15"/>
      <c r="G1071" s="15"/>
      <c r="H1071" s="15"/>
      <c r="I1071" s="15"/>
      <c r="J1071" s="15"/>
      <c r="K1071" s="15"/>
      <c r="L1071" s="15"/>
      <c r="M1071" s="15"/>
      <c r="N1071" s="15"/>
      <c r="O1071" s="15"/>
      <c r="P1071" s="15"/>
      <c r="Q1071" s="15"/>
      <c r="R1071" s="15"/>
      <c r="S1071" s="15"/>
      <c r="T1071" s="15"/>
      <c r="U1071" s="15"/>
      <c r="V1071" s="15"/>
    </row>
    <row r="1072" spans="1:22">
      <c r="A1072" s="15"/>
      <c r="C1072" s="15"/>
      <c r="D1072" s="15"/>
      <c r="E1072" s="15"/>
      <c r="F1072" s="15"/>
      <c r="G1072" s="15"/>
      <c r="H1072" s="15"/>
      <c r="I1072" s="15"/>
      <c r="J1072" s="15"/>
      <c r="K1072" s="15"/>
      <c r="L1072" s="15"/>
      <c r="M1072" s="15"/>
      <c r="N1072" s="15"/>
      <c r="O1072" s="15"/>
      <c r="P1072" s="15"/>
      <c r="Q1072" s="15"/>
      <c r="R1072" s="15"/>
      <c r="S1072" s="15"/>
      <c r="T1072" s="15"/>
      <c r="U1072" s="15"/>
      <c r="V1072" s="15"/>
    </row>
    <row r="1073" spans="1:22">
      <c r="A1073" s="15"/>
      <c r="C1073" s="15"/>
      <c r="D1073" s="15"/>
      <c r="E1073" s="15"/>
      <c r="F1073" s="15"/>
      <c r="G1073" s="15"/>
      <c r="H1073" s="15"/>
      <c r="I1073" s="15"/>
      <c r="J1073" s="15"/>
      <c r="K1073" s="15"/>
      <c r="L1073" s="15"/>
      <c r="M1073" s="15"/>
      <c r="N1073" s="15"/>
      <c r="O1073" s="15"/>
      <c r="P1073" s="15"/>
      <c r="Q1073" s="15"/>
      <c r="R1073" s="15"/>
      <c r="S1073" s="15"/>
      <c r="T1073" s="15"/>
      <c r="U1073" s="15"/>
      <c r="V1073" s="15"/>
    </row>
    <row r="1074" spans="1:22">
      <c r="A1074" s="15"/>
      <c r="C1074" s="15"/>
      <c r="D1074" s="15"/>
      <c r="E1074" s="15"/>
      <c r="F1074" s="15"/>
      <c r="G1074" s="15"/>
      <c r="H1074" s="15"/>
      <c r="I1074" s="15"/>
      <c r="J1074" s="15"/>
      <c r="K1074" s="15"/>
      <c r="L1074" s="15"/>
      <c r="M1074" s="15"/>
      <c r="N1074" s="15"/>
      <c r="O1074" s="15"/>
      <c r="P1074" s="15"/>
      <c r="Q1074" s="15"/>
      <c r="R1074" s="15"/>
      <c r="S1074" s="15"/>
      <c r="T1074" s="15"/>
      <c r="U1074" s="15"/>
      <c r="V1074" s="15"/>
    </row>
    <row r="1075" spans="1:22">
      <c r="A1075" s="15"/>
      <c r="C1075" s="15"/>
      <c r="D1075" s="15"/>
      <c r="E1075" s="15"/>
      <c r="F1075" s="15"/>
      <c r="G1075" s="15"/>
      <c r="H1075" s="15"/>
      <c r="I1075" s="15"/>
      <c r="J1075" s="15"/>
      <c r="K1075" s="15"/>
      <c r="L1075" s="15"/>
      <c r="M1075" s="15"/>
      <c r="N1075" s="15"/>
      <c r="O1075" s="15"/>
      <c r="P1075" s="15"/>
      <c r="Q1075" s="15"/>
      <c r="R1075" s="15"/>
      <c r="S1075" s="15"/>
      <c r="T1075" s="15"/>
      <c r="U1075" s="15"/>
      <c r="V1075" s="15"/>
    </row>
    <row r="1076" spans="1:22">
      <c r="A1076" s="15"/>
      <c r="C1076" s="15"/>
      <c r="D1076" s="15"/>
      <c r="E1076" s="15"/>
      <c r="F1076" s="15"/>
      <c r="G1076" s="15"/>
      <c r="H1076" s="15"/>
      <c r="I1076" s="15"/>
      <c r="J1076" s="15"/>
      <c r="K1076" s="15"/>
      <c r="L1076" s="15"/>
      <c r="M1076" s="15"/>
      <c r="N1076" s="15"/>
      <c r="O1076" s="15"/>
      <c r="P1076" s="15"/>
      <c r="Q1076" s="15"/>
      <c r="R1076" s="15"/>
      <c r="S1076" s="15"/>
      <c r="T1076" s="15"/>
      <c r="U1076" s="15"/>
      <c r="V1076" s="15"/>
    </row>
    <row r="1077" spans="1:22">
      <c r="A1077" s="15"/>
      <c r="C1077" s="15"/>
      <c r="D1077" s="15"/>
      <c r="E1077" s="15"/>
      <c r="F1077" s="15"/>
      <c r="G1077" s="15"/>
      <c r="H1077" s="15"/>
      <c r="I1077" s="15"/>
      <c r="J1077" s="15"/>
      <c r="K1077" s="15"/>
      <c r="L1077" s="15"/>
      <c r="M1077" s="15"/>
      <c r="N1077" s="15"/>
      <c r="O1077" s="15"/>
      <c r="P1077" s="15"/>
      <c r="Q1077" s="15"/>
      <c r="R1077" s="15"/>
      <c r="S1077" s="15"/>
      <c r="T1077" s="15"/>
      <c r="U1077" s="15"/>
      <c r="V1077" s="15"/>
    </row>
    <row r="1078" spans="1:22">
      <c r="A1078" s="15"/>
      <c r="C1078" s="15"/>
      <c r="D1078" s="15"/>
      <c r="E1078" s="15"/>
      <c r="F1078" s="15"/>
      <c r="G1078" s="15"/>
      <c r="H1078" s="15"/>
      <c r="I1078" s="15"/>
      <c r="J1078" s="15"/>
      <c r="K1078" s="15"/>
      <c r="L1078" s="15"/>
      <c r="M1078" s="15"/>
      <c r="N1078" s="15"/>
      <c r="O1078" s="15"/>
      <c r="P1078" s="15"/>
      <c r="Q1078" s="15"/>
      <c r="R1078" s="15"/>
      <c r="S1078" s="15"/>
      <c r="T1078" s="15"/>
      <c r="U1078" s="15"/>
      <c r="V1078" s="15"/>
    </row>
    <row r="1079" spans="1:22">
      <c r="A1079" s="15"/>
      <c r="C1079" s="15"/>
      <c r="D1079" s="15"/>
      <c r="E1079" s="15"/>
      <c r="F1079" s="15"/>
      <c r="G1079" s="15"/>
      <c r="H1079" s="15"/>
      <c r="I1079" s="15"/>
      <c r="J1079" s="15"/>
      <c r="K1079" s="15"/>
      <c r="L1079" s="15"/>
      <c r="M1079" s="15"/>
      <c r="N1079" s="15"/>
      <c r="O1079" s="15"/>
      <c r="P1079" s="15"/>
      <c r="Q1079" s="15"/>
      <c r="R1079" s="15"/>
      <c r="S1079" s="15"/>
      <c r="T1079" s="15"/>
      <c r="U1079" s="15"/>
      <c r="V1079" s="15"/>
    </row>
    <row r="1080" spans="1:22">
      <c r="A1080" s="15"/>
      <c r="C1080" s="15"/>
      <c r="D1080" s="15"/>
      <c r="E1080" s="15"/>
      <c r="F1080" s="15"/>
      <c r="G1080" s="15"/>
      <c r="H1080" s="15"/>
      <c r="I1080" s="15"/>
      <c r="J1080" s="15"/>
      <c r="K1080" s="15"/>
      <c r="L1080" s="15"/>
      <c r="M1080" s="15"/>
      <c r="N1080" s="15"/>
      <c r="O1080" s="15"/>
      <c r="P1080" s="15"/>
      <c r="Q1080" s="15"/>
      <c r="R1080" s="15"/>
      <c r="S1080" s="15"/>
      <c r="T1080" s="15"/>
      <c r="U1080" s="15"/>
      <c r="V1080" s="15"/>
    </row>
    <row r="1081" spans="1:22">
      <c r="A1081" s="15"/>
      <c r="C1081" s="15"/>
      <c r="D1081" s="15"/>
      <c r="E1081" s="15"/>
      <c r="F1081" s="15"/>
      <c r="G1081" s="15"/>
      <c r="H1081" s="15"/>
      <c r="I1081" s="15"/>
      <c r="J1081" s="15"/>
      <c r="K1081" s="15"/>
      <c r="L1081" s="15"/>
      <c r="M1081" s="15"/>
      <c r="N1081" s="15"/>
      <c r="O1081" s="15"/>
      <c r="P1081" s="15"/>
      <c r="Q1081" s="15"/>
      <c r="R1081" s="15"/>
      <c r="S1081" s="15"/>
      <c r="T1081" s="15"/>
      <c r="U1081" s="15"/>
      <c r="V1081" s="15"/>
    </row>
    <row r="1082" spans="1:22">
      <c r="A1082" s="15"/>
      <c r="C1082" s="15"/>
      <c r="D1082" s="15"/>
      <c r="E1082" s="15"/>
      <c r="F1082" s="15"/>
      <c r="G1082" s="15"/>
      <c r="H1082" s="15"/>
      <c r="I1082" s="15"/>
      <c r="J1082" s="15"/>
      <c r="K1082" s="15"/>
      <c r="L1082" s="15"/>
      <c r="M1082" s="15"/>
      <c r="N1082" s="15"/>
      <c r="O1082" s="15"/>
      <c r="P1082" s="15"/>
      <c r="Q1082" s="15"/>
      <c r="R1082" s="15"/>
      <c r="S1082" s="15"/>
      <c r="T1082" s="15"/>
      <c r="U1082" s="15"/>
      <c r="V1082" s="15"/>
    </row>
    <row r="1083" spans="1:22">
      <c r="A1083" s="15"/>
      <c r="C1083" s="15"/>
      <c r="D1083" s="15"/>
      <c r="E1083" s="15"/>
      <c r="F1083" s="15"/>
      <c r="G1083" s="15"/>
      <c r="H1083" s="15"/>
      <c r="I1083" s="15"/>
      <c r="J1083" s="15"/>
      <c r="K1083" s="15"/>
      <c r="L1083" s="15"/>
      <c r="M1083" s="15"/>
      <c r="N1083" s="15"/>
      <c r="O1083" s="15"/>
      <c r="P1083" s="15"/>
      <c r="Q1083" s="15"/>
      <c r="R1083" s="15"/>
      <c r="S1083" s="15"/>
      <c r="T1083" s="15"/>
      <c r="U1083" s="15"/>
      <c r="V1083" s="15"/>
    </row>
    <row r="1084" spans="1:22">
      <c r="A1084" s="15"/>
      <c r="C1084" s="15"/>
      <c r="D1084" s="15"/>
      <c r="E1084" s="15"/>
      <c r="F1084" s="15"/>
      <c r="G1084" s="15"/>
      <c r="H1084" s="15"/>
      <c r="I1084" s="15"/>
      <c r="J1084" s="15"/>
      <c r="K1084" s="15"/>
      <c r="L1084" s="15"/>
      <c r="M1084" s="15"/>
      <c r="N1084" s="15"/>
      <c r="O1084" s="15"/>
      <c r="P1084" s="15"/>
      <c r="Q1084" s="15"/>
      <c r="R1084" s="15"/>
      <c r="S1084" s="15"/>
      <c r="T1084" s="15"/>
      <c r="U1084" s="15"/>
      <c r="V1084" s="15"/>
    </row>
    <row r="1085" spans="1:22">
      <c r="A1085" s="15"/>
      <c r="C1085" s="15"/>
      <c r="D1085" s="15"/>
      <c r="E1085" s="15"/>
      <c r="F1085" s="15"/>
      <c r="G1085" s="15"/>
      <c r="H1085" s="15"/>
      <c r="I1085" s="15"/>
      <c r="J1085" s="15"/>
      <c r="K1085" s="15"/>
      <c r="L1085" s="15"/>
      <c r="M1085" s="15"/>
      <c r="N1085" s="15"/>
      <c r="O1085" s="15"/>
      <c r="P1085" s="15"/>
      <c r="Q1085" s="15"/>
      <c r="R1085" s="15"/>
      <c r="S1085" s="15"/>
      <c r="T1085" s="15"/>
      <c r="U1085" s="15"/>
      <c r="V1085" s="15"/>
    </row>
    <row r="1086" spans="1:22">
      <c r="A1086" s="15"/>
      <c r="C1086" s="15"/>
      <c r="D1086" s="15"/>
      <c r="E1086" s="15"/>
      <c r="F1086" s="15"/>
      <c r="G1086" s="15"/>
      <c r="H1086" s="15"/>
      <c r="I1086" s="15"/>
      <c r="J1086" s="15"/>
      <c r="K1086" s="15"/>
      <c r="L1086" s="15"/>
      <c r="M1086" s="15"/>
      <c r="N1086" s="15"/>
      <c r="O1086" s="15"/>
      <c r="P1086" s="15"/>
      <c r="Q1086" s="15"/>
      <c r="R1086" s="15"/>
      <c r="S1086" s="15"/>
      <c r="T1086" s="15"/>
      <c r="U1086" s="15"/>
      <c r="V1086" s="15"/>
    </row>
    <row r="1087" spans="1:22">
      <c r="A1087" s="15"/>
      <c r="C1087" s="15"/>
      <c r="D1087" s="15"/>
      <c r="E1087" s="15"/>
      <c r="F1087" s="15"/>
      <c r="G1087" s="15"/>
      <c r="H1087" s="15"/>
      <c r="I1087" s="15"/>
      <c r="J1087" s="15"/>
      <c r="K1087" s="15"/>
      <c r="L1087" s="15"/>
      <c r="M1087" s="15"/>
      <c r="N1087" s="15"/>
      <c r="O1087" s="15"/>
      <c r="P1087" s="15"/>
      <c r="Q1087" s="15"/>
      <c r="R1087" s="15"/>
      <c r="S1087" s="15"/>
      <c r="T1087" s="15"/>
      <c r="U1087" s="15"/>
      <c r="V1087" s="15"/>
    </row>
    <row r="1088" spans="1:22">
      <c r="A1088" s="15"/>
      <c r="C1088" s="15"/>
      <c r="D1088" s="15"/>
      <c r="E1088" s="15"/>
      <c r="F1088" s="15"/>
      <c r="G1088" s="15"/>
      <c r="H1088" s="15"/>
      <c r="I1088" s="15"/>
      <c r="J1088" s="15"/>
      <c r="K1088" s="15"/>
      <c r="L1088" s="15"/>
      <c r="M1088" s="15"/>
      <c r="N1088" s="15"/>
      <c r="O1088" s="15"/>
      <c r="P1088" s="15"/>
      <c r="Q1088" s="15"/>
      <c r="R1088" s="15"/>
      <c r="S1088" s="15"/>
      <c r="T1088" s="15"/>
      <c r="U1088" s="15"/>
      <c r="V1088" s="15"/>
    </row>
    <row r="1089" spans="1:22">
      <c r="A1089" s="15"/>
      <c r="C1089" s="15"/>
      <c r="D1089" s="15"/>
      <c r="E1089" s="15"/>
      <c r="F1089" s="15"/>
      <c r="G1089" s="15"/>
      <c r="H1089" s="15"/>
      <c r="I1089" s="15"/>
      <c r="J1089" s="15"/>
      <c r="K1089" s="15"/>
      <c r="L1089" s="15"/>
      <c r="M1089" s="15"/>
      <c r="N1089" s="15"/>
      <c r="O1089" s="15"/>
      <c r="P1089" s="15"/>
      <c r="Q1089" s="15"/>
      <c r="R1089" s="15"/>
      <c r="S1089" s="15"/>
      <c r="T1089" s="15"/>
      <c r="U1089" s="15"/>
      <c r="V1089" s="15"/>
    </row>
    <row r="1090" spans="1:22">
      <c r="A1090" s="15"/>
      <c r="C1090" s="15"/>
      <c r="D1090" s="15"/>
      <c r="E1090" s="15"/>
      <c r="F1090" s="15"/>
      <c r="G1090" s="15"/>
      <c r="H1090" s="15"/>
      <c r="I1090" s="15"/>
      <c r="J1090" s="15"/>
      <c r="K1090" s="15"/>
      <c r="L1090" s="15"/>
      <c r="M1090" s="15"/>
      <c r="N1090" s="15"/>
      <c r="O1090" s="15"/>
      <c r="P1090" s="15"/>
      <c r="Q1090" s="15"/>
      <c r="R1090" s="15"/>
      <c r="S1090" s="15"/>
      <c r="T1090" s="15"/>
      <c r="U1090" s="15"/>
      <c r="V1090" s="15"/>
    </row>
    <row r="1091" spans="1:22">
      <c r="A1091" s="15"/>
      <c r="C1091" s="15"/>
      <c r="D1091" s="15"/>
      <c r="E1091" s="15"/>
      <c r="F1091" s="15"/>
      <c r="G1091" s="15"/>
      <c r="H1091" s="15"/>
      <c r="I1091" s="15"/>
      <c r="J1091" s="15"/>
      <c r="K1091" s="15"/>
      <c r="L1091" s="15"/>
      <c r="M1091" s="15"/>
      <c r="N1091" s="15"/>
      <c r="O1091" s="15"/>
      <c r="P1091" s="15"/>
      <c r="Q1091" s="15"/>
      <c r="R1091" s="15"/>
      <c r="S1091" s="15"/>
      <c r="T1091" s="15"/>
      <c r="U1091" s="15"/>
      <c r="V1091" s="15"/>
    </row>
    <row r="1092" spans="1:22">
      <c r="A1092" s="15"/>
      <c r="C1092" s="15"/>
      <c r="D1092" s="15"/>
      <c r="E1092" s="15"/>
      <c r="F1092" s="15"/>
      <c r="G1092" s="15"/>
      <c r="H1092" s="15"/>
      <c r="I1092" s="15"/>
      <c r="J1092" s="15"/>
      <c r="K1092" s="15"/>
      <c r="L1092" s="15"/>
      <c r="M1092" s="15"/>
      <c r="N1092" s="15"/>
      <c r="O1092" s="15"/>
      <c r="P1092" s="15"/>
      <c r="Q1092" s="15"/>
      <c r="R1092" s="15"/>
      <c r="S1092" s="15"/>
      <c r="T1092" s="15"/>
      <c r="U1092" s="15"/>
      <c r="V1092" s="15"/>
    </row>
    <row r="1093" spans="1:22">
      <c r="A1093" s="15"/>
      <c r="C1093" s="15"/>
      <c r="D1093" s="15"/>
      <c r="E1093" s="15"/>
      <c r="F1093" s="15"/>
      <c r="G1093" s="15"/>
      <c r="H1093" s="15"/>
      <c r="I1093" s="15"/>
      <c r="J1093" s="15"/>
      <c r="K1093" s="15"/>
      <c r="L1093" s="15"/>
      <c r="M1093" s="15"/>
      <c r="N1093" s="15"/>
      <c r="O1093" s="15"/>
      <c r="P1093" s="15"/>
      <c r="Q1093" s="15"/>
      <c r="R1093" s="15"/>
      <c r="S1093" s="15"/>
      <c r="T1093" s="15"/>
      <c r="U1093" s="15"/>
      <c r="V1093" s="15"/>
    </row>
    <row r="1094" spans="1:22">
      <c r="A1094" s="15"/>
      <c r="C1094" s="15"/>
      <c r="D1094" s="15"/>
      <c r="E1094" s="15"/>
      <c r="F1094" s="15"/>
      <c r="G1094" s="15"/>
      <c r="H1094" s="15"/>
      <c r="I1094" s="15"/>
      <c r="J1094" s="15"/>
      <c r="K1094" s="15"/>
      <c r="L1094" s="15"/>
      <c r="M1094" s="15"/>
      <c r="N1094" s="15"/>
      <c r="O1094" s="15"/>
      <c r="P1094" s="15"/>
      <c r="Q1094" s="15"/>
      <c r="R1094" s="15"/>
      <c r="S1094" s="15"/>
      <c r="T1094" s="15"/>
      <c r="U1094" s="15"/>
      <c r="V1094" s="15"/>
    </row>
    <row r="1095" spans="1:22">
      <c r="A1095" s="15"/>
      <c r="C1095" s="15"/>
      <c r="D1095" s="15"/>
      <c r="E1095" s="15"/>
      <c r="F1095" s="15"/>
      <c r="G1095" s="15"/>
      <c r="H1095" s="15"/>
      <c r="I1095" s="15"/>
      <c r="J1095" s="15"/>
      <c r="K1095" s="15"/>
      <c r="L1095" s="15"/>
      <c r="M1095" s="15"/>
      <c r="N1095" s="15"/>
      <c r="O1095" s="15"/>
      <c r="P1095" s="15"/>
      <c r="Q1095" s="15"/>
      <c r="R1095" s="15"/>
      <c r="S1095" s="15"/>
      <c r="T1095" s="15"/>
      <c r="U1095" s="15"/>
      <c r="V1095" s="15"/>
    </row>
    <row r="1096" spans="1:22">
      <c r="A1096" s="15"/>
      <c r="C1096" s="15"/>
      <c r="D1096" s="15"/>
      <c r="E1096" s="15"/>
      <c r="F1096" s="15"/>
      <c r="G1096" s="15"/>
      <c r="H1096" s="15"/>
      <c r="I1096" s="15"/>
      <c r="J1096" s="15"/>
      <c r="K1096" s="15"/>
      <c r="L1096" s="15"/>
      <c r="M1096" s="15"/>
      <c r="N1096" s="15"/>
      <c r="O1096" s="15"/>
      <c r="P1096" s="15"/>
      <c r="Q1096" s="15"/>
      <c r="R1096" s="15"/>
      <c r="S1096" s="15"/>
      <c r="T1096" s="15"/>
      <c r="U1096" s="15"/>
      <c r="V1096" s="15"/>
    </row>
    <row r="1097" spans="1:22">
      <c r="A1097" s="15"/>
      <c r="C1097" s="15"/>
      <c r="D1097" s="15"/>
      <c r="E1097" s="15"/>
      <c r="F1097" s="15"/>
      <c r="G1097" s="15"/>
      <c r="H1097" s="15"/>
      <c r="I1097" s="15"/>
      <c r="J1097" s="15"/>
      <c r="K1097" s="15"/>
      <c r="L1097" s="15"/>
      <c r="M1097" s="15"/>
      <c r="N1097" s="15"/>
      <c r="O1097" s="15"/>
      <c r="P1097" s="15"/>
      <c r="Q1097" s="15"/>
      <c r="R1097" s="15"/>
      <c r="S1097" s="15"/>
      <c r="T1097" s="15"/>
      <c r="U1097" s="15"/>
      <c r="V1097" s="15"/>
    </row>
    <row r="1098" spans="1:22">
      <c r="A1098" s="15"/>
      <c r="C1098" s="15"/>
      <c r="D1098" s="15"/>
      <c r="E1098" s="15"/>
      <c r="F1098" s="15"/>
      <c r="G1098" s="15"/>
      <c r="H1098" s="15"/>
      <c r="I1098" s="15"/>
      <c r="J1098" s="15"/>
      <c r="K1098" s="15"/>
      <c r="L1098" s="15"/>
      <c r="M1098" s="15"/>
      <c r="N1098" s="15"/>
      <c r="O1098" s="15"/>
      <c r="P1098" s="15"/>
      <c r="Q1098" s="15"/>
      <c r="R1098" s="15"/>
      <c r="S1098" s="15"/>
      <c r="T1098" s="15"/>
      <c r="U1098" s="15"/>
      <c r="V1098" s="15"/>
    </row>
    <row r="1099" spans="1:22">
      <c r="A1099" s="15"/>
      <c r="C1099" s="15"/>
      <c r="D1099" s="15"/>
      <c r="E1099" s="15"/>
      <c r="F1099" s="15"/>
      <c r="G1099" s="15"/>
      <c r="H1099" s="15"/>
      <c r="I1099" s="15"/>
      <c r="J1099" s="15"/>
      <c r="K1099" s="15"/>
      <c r="L1099" s="15"/>
      <c r="M1099" s="15"/>
      <c r="N1099" s="15"/>
      <c r="O1099" s="15"/>
      <c r="P1099" s="15"/>
      <c r="Q1099" s="15"/>
      <c r="R1099" s="15"/>
      <c r="S1099" s="15"/>
      <c r="T1099" s="15"/>
      <c r="U1099" s="15"/>
      <c r="V1099" s="15"/>
    </row>
    <row r="1100" spans="1:22">
      <c r="A1100" s="15"/>
      <c r="C1100" s="15"/>
      <c r="D1100" s="15"/>
      <c r="E1100" s="15"/>
      <c r="F1100" s="15"/>
      <c r="G1100" s="15"/>
      <c r="H1100" s="15"/>
      <c r="I1100" s="15"/>
      <c r="J1100" s="15"/>
      <c r="K1100" s="15"/>
      <c r="L1100" s="15"/>
      <c r="M1100" s="15"/>
      <c r="N1100" s="15"/>
      <c r="O1100" s="15"/>
      <c r="P1100" s="15"/>
      <c r="Q1100" s="15"/>
      <c r="R1100" s="15"/>
      <c r="S1100" s="15"/>
      <c r="T1100" s="15"/>
      <c r="U1100" s="15"/>
      <c r="V1100" s="15"/>
    </row>
    <row r="1101" spans="1:22">
      <c r="A1101" s="15"/>
      <c r="C1101" s="15"/>
      <c r="D1101" s="15"/>
      <c r="E1101" s="15"/>
      <c r="F1101" s="15"/>
      <c r="G1101" s="15"/>
      <c r="H1101" s="15"/>
      <c r="I1101" s="15"/>
      <c r="J1101" s="15"/>
      <c r="K1101" s="15"/>
      <c r="L1101" s="15"/>
      <c r="M1101" s="15"/>
      <c r="N1101" s="15"/>
      <c r="O1101" s="15"/>
      <c r="P1101" s="15"/>
      <c r="Q1101" s="15"/>
      <c r="R1101" s="15"/>
      <c r="S1101" s="15"/>
      <c r="T1101" s="15"/>
      <c r="U1101" s="15"/>
      <c r="V1101" s="15"/>
    </row>
    <row r="1102" spans="1:22">
      <c r="A1102" s="15"/>
      <c r="C1102" s="15"/>
      <c r="D1102" s="15"/>
      <c r="E1102" s="15"/>
      <c r="F1102" s="15"/>
      <c r="G1102" s="15"/>
      <c r="H1102" s="15"/>
      <c r="I1102" s="15"/>
      <c r="J1102" s="15"/>
      <c r="K1102" s="15"/>
      <c r="L1102" s="15"/>
      <c r="M1102" s="15"/>
      <c r="N1102" s="15"/>
      <c r="O1102" s="15"/>
      <c r="P1102" s="15"/>
      <c r="Q1102" s="15"/>
      <c r="R1102" s="15"/>
      <c r="S1102" s="15"/>
      <c r="T1102" s="15"/>
      <c r="U1102" s="15"/>
      <c r="V1102" s="15"/>
    </row>
    <row r="1103" spans="1:22">
      <c r="A1103" s="15"/>
      <c r="C1103" s="15"/>
      <c r="D1103" s="15"/>
      <c r="E1103" s="15"/>
      <c r="F1103" s="15"/>
      <c r="G1103" s="15"/>
      <c r="H1103" s="15"/>
      <c r="I1103" s="15"/>
      <c r="J1103" s="15"/>
      <c r="K1103" s="15"/>
      <c r="L1103" s="15"/>
      <c r="M1103" s="15"/>
      <c r="N1103" s="15"/>
      <c r="O1103" s="15"/>
      <c r="P1103" s="15"/>
      <c r="Q1103" s="15"/>
      <c r="R1103" s="15"/>
      <c r="S1103" s="15"/>
      <c r="T1103" s="15"/>
      <c r="U1103" s="15"/>
      <c r="V1103" s="15"/>
    </row>
    <row r="1104" spans="1:22">
      <c r="A1104" s="15"/>
      <c r="C1104" s="15"/>
      <c r="D1104" s="15"/>
      <c r="E1104" s="15"/>
      <c r="F1104" s="15"/>
      <c r="G1104" s="15"/>
      <c r="H1104" s="15"/>
      <c r="I1104" s="15"/>
      <c r="J1104" s="15"/>
      <c r="K1104" s="15"/>
      <c r="L1104" s="15"/>
      <c r="M1104" s="15"/>
      <c r="N1104" s="15"/>
      <c r="O1104" s="15"/>
      <c r="P1104" s="15"/>
      <c r="Q1104" s="15"/>
      <c r="R1104" s="15"/>
      <c r="S1104" s="15"/>
      <c r="T1104" s="15"/>
      <c r="U1104" s="15"/>
      <c r="V1104" s="15"/>
    </row>
    <row r="1105" spans="1:22">
      <c r="A1105" s="15"/>
      <c r="C1105" s="15"/>
      <c r="D1105" s="15"/>
      <c r="E1105" s="15"/>
      <c r="F1105" s="15"/>
      <c r="G1105" s="15"/>
      <c r="H1105" s="15"/>
      <c r="I1105" s="15"/>
      <c r="J1105" s="15"/>
      <c r="K1105" s="15"/>
      <c r="L1105" s="15"/>
      <c r="M1105" s="15"/>
      <c r="N1105" s="15"/>
      <c r="O1105" s="15"/>
      <c r="P1105" s="15"/>
      <c r="Q1105" s="15"/>
      <c r="R1105" s="15"/>
      <c r="S1105" s="15"/>
      <c r="T1105" s="15"/>
      <c r="U1105" s="15"/>
      <c r="V1105" s="15"/>
    </row>
    <row r="1106" spans="1:22">
      <c r="A1106" s="15"/>
      <c r="C1106" s="15"/>
      <c r="D1106" s="15"/>
      <c r="E1106" s="15"/>
      <c r="F1106" s="15"/>
      <c r="G1106" s="15"/>
      <c r="H1106" s="15"/>
      <c r="I1106" s="15"/>
      <c r="J1106" s="15"/>
      <c r="K1106" s="15"/>
      <c r="L1106" s="15"/>
      <c r="M1106" s="15"/>
      <c r="N1106" s="15"/>
      <c r="O1106" s="15"/>
      <c r="P1106" s="15"/>
      <c r="Q1106" s="15"/>
      <c r="R1106" s="15"/>
      <c r="S1106" s="15"/>
      <c r="T1106" s="15"/>
      <c r="U1106" s="15"/>
      <c r="V1106" s="15"/>
    </row>
    <row r="1107" spans="1:22">
      <c r="A1107" s="15"/>
      <c r="C1107" s="15"/>
      <c r="D1107" s="15"/>
      <c r="E1107" s="15"/>
      <c r="F1107" s="15"/>
      <c r="G1107" s="15"/>
      <c r="H1107" s="15"/>
      <c r="I1107" s="15"/>
      <c r="J1107" s="15"/>
      <c r="K1107" s="15"/>
      <c r="L1107" s="15"/>
      <c r="M1107" s="15"/>
      <c r="N1107" s="15"/>
      <c r="O1107" s="15"/>
      <c r="P1107" s="15"/>
      <c r="Q1107" s="15"/>
      <c r="R1107" s="15"/>
      <c r="S1107" s="15"/>
      <c r="T1107" s="15"/>
      <c r="U1107" s="15"/>
      <c r="V1107" s="15"/>
    </row>
    <row r="1108" spans="1:22">
      <c r="A1108" s="15"/>
      <c r="C1108" s="15"/>
      <c r="D1108" s="15"/>
      <c r="E1108" s="15"/>
      <c r="F1108" s="15"/>
      <c r="G1108" s="15"/>
      <c r="H1108" s="15"/>
      <c r="I1108" s="15"/>
      <c r="J1108" s="15"/>
      <c r="K1108" s="15"/>
      <c r="L1108" s="15"/>
      <c r="M1108" s="15"/>
      <c r="N1108" s="15"/>
      <c r="O1108" s="15"/>
      <c r="P1108" s="15"/>
      <c r="Q1108" s="15"/>
      <c r="R1108" s="15"/>
      <c r="S1108" s="15"/>
      <c r="T1108" s="15"/>
      <c r="U1108" s="15"/>
      <c r="V1108" s="15"/>
    </row>
    <row r="1109" spans="1:22">
      <c r="A1109" s="15"/>
      <c r="C1109" s="15"/>
      <c r="D1109" s="15"/>
      <c r="E1109" s="15"/>
      <c r="F1109" s="15"/>
      <c r="G1109" s="15"/>
      <c r="H1109" s="15"/>
      <c r="I1109" s="15"/>
      <c r="J1109" s="15"/>
      <c r="K1109" s="15"/>
      <c r="L1109" s="15"/>
      <c r="M1109" s="15"/>
      <c r="N1109" s="15"/>
      <c r="O1109" s="15"/>
      <c r="P1109" s="15"/>
      <c r="Q1109" s="15"/>
      <c r="R1109" s="15"/>
      <c r="S1109" s="15"/>
      <c r="T1109" s="15"/>
      <c r="U1109" s="15"/>
      <c r="V1109" s="15"/>
    </row>
    <row r="1110" spans="1:22">
      <c r="A1110" s="15"/>
      <c r="C1110" s="15"/>
      <c r="D1110" s="15"/>
      <c r="E1110" s="15"/>
      <c r="F1110" s="15"/>
      <c r="G1110" s="15"/>
      <c r="H1110" s="15"/>
      <c r="I1110" s="15"/>
      <c r="J1110" s="15"/>
      <c r="K1110" s="15"/>
      <c r="L1110" s="15"/>
      <c r="M1110" s="15"/>
      <c r="N1110" s="15"/>
      <c r="O1110" s="15"/>
      <c r="P1110" s="15"/>
      <c r="Q1110" s="15"/>
      <c r="R1110" s="15"/>
      <c r="S1110" s="15"/>
      <c r="T1110" s="15"/>
      <c r="U1110" s="15"/>
      <c r="V1110" s="15"/>
    </row>
    <row r="1111" spans="1:22">
      <c r="A1111" s="15"/>
      <c r="C1111" s="15"/>
      <c r="D1111" s="15"/>
      <c r="E1111" s="15"/>
      <c r="F1111" s="15"/>
      <c r="G1111" s="15"/>
      <c r="H1111" s="15"/>
      <c r="I1111" s="15"/>
      <c r="J1111" s="15"/>
      <c r="K1111" s="15"/>
      <c r="L1111" s="15"/>
      <c r="M1111" s="15"/>
      <c r="N1111" s="15"/>
      <c r="O1111" s="15"/>
      <c r="P1111" s="15"/>
      <c r="Q1111" s="15"/>
      <c r="R1111" s="15"/>
      <c r="S1111" s="15"/>
      <c r="T1111" s="15"/>
      <c r="U1111" s="15"/>
      <c r="V1111" s="15"/>
    </row>
    <row r="1112" spans="1:22">
      <c r="A1112" s="15"/>
      <c r="C1112" s="15"/>
      <c r="D1112" s="15"/>
      <c r="E1112" s="15"/>
      <c r="F1112" s="15"/>
      <c r="G1112" s="15"/>
      <c r="H1112" s="15"/>
      <c r="I1112" s="15"/>
      <c r="J1112" s="15"/>
      <c r="K1112" s="15"/>
      <c r="L1112" s="15"/>
      <c r="M1112" s="15"/>
      <c r="N1112" s="15"/>
      <c r="O1112" s="15"/>
      <c r="P1112" s="15"/>
      <c r="Q1112" s="15"/>
      <c r="R1112" s="15"/>
      <c r="S1112" s="15"/>
      <c r="T1112" s="15"/>
      <c r="U1112" s="15"/>
      <c r="V1112" s="15"/>
    </row>
    <row r="1113" spans="1:22">
      <c r="A1113" s="15"/>
      <c r="C1113" s="15"/>
      <c r="D1113" s="15"/>
      <c r="E1113" s="15"/>
      <c r="F1113" s="15"/>
      <c r="G1113" s="15"/>
      <c r="H1113" s="15"/>
      <c r="I1113" s="15"/>
      <c r="J1113" s="15"/>
      <c r="K1113" s="15"/>
      <c r="L1113" s="15"/>
      <c r="M1113" s="15"/>
      <c r="N1113" s="15"/>
      <c r="O1113" s="15"/>
      <c r="P1113" s="15"/>
      <c r="Q1113" s="15"/>
      <c r="R1113" s="15"/>
      <c r="S1113" s="15"/>
      <c r="T1113" s="15"/>
      <c r="U1113" s="15"/>
      <c r="V1113" s="15"/>
    </row>
    <row r="1114" spans="1:22">
      <c r="A1114" s="15"/>
      <c r="C1114" s="15"/>
      <c r="D1114" s="15"/>
      <c r="E1114" s="15"/>
      <c r="F1114" s="15"/>
      <c r="G1114" s="15"/>
      <c r="H1114" s="15"/>
      <c r="I1114" s="15"/>
      <c r="J1114" s="15"/>
      <c r="K1114" s="15"/>
      <c r="L1114" s="15"/>
      <c r="M1114" s="15"/>
      <c r="N1114" s="15"/>
      <c r="O1114" s="15"/>
      <c r="P1114" s="15"/>
      <c r="Q1114" s="15"/>
      <c r="R1114" s="15"/>
      <c r="S1114" s="15"/>
      <c r="T1114" s="15"/>
      <c r="U1114" s="15"/>
      <c r="V1114" s="15"/>
    </row>
    <row r="1115" spans="1:22">
      <c r="A1115" s="15"/>
      <c r="C1115" s="15"/>
      <c r="D1115" s="15"/>
      <c r="E1115" s="15"/>
      <c r="F1115" s="15"/>
      <c r="G1115" s="15"/>
      <c r="H1115" s="15"/>
      <c r="I1115" s="15"/>
      <c r="J1115" s="15"/>
      <c r="K1115" s="15"/>
      <c r="L1115" s="15"/>
      <c r="M1115" s="15"/>
      <c r="N1115" s="15"/>
      <c r="O1115" s="15"/>
      <c r="P1115" s="15"/>
      <c r="Q1115" s="15"/>
      <c r="R1115" s="15"/>
      <c r="S1115" s="15"/>
      <c r="T1115" s="15"/>
      <c r="U1115" s="15"/>
      <c r="V1115" s="15"/>
    </row>
    <row r="1116" spans="1:22">
      <c r="A1116" s="15"/>
      <c r="C1116" s="15"/>
      <c r="D1116" s="15"/>
      <c r="E1116" s="15"/>
      <c r="F1116" s="15"/>
      <c r="G1116" s="15"/>
      <c r="H1116" s="15"/>
      <c r="I1116" s="15"/>
      <c r="J1116" s="15"/>
      <c r="K1116" s="15"/>
      <c r="L1116" s="15"/>
      <c r="M1116" s="15"/>
      <c r="N1116" s="15"/>
      <c r="O1116" s="15"/>
      <c r="P1116" s="15"/>
      <c r="Q1116" s="15"/>
      <c r="R1116" s="15"/>
      <c r="S1116" s="15"/>
      <c r="T1116" s="15"/>
      <c r="U1116" s="15"/>
      <c r="V1116" s="15"/>
    </row>
    <row r="1117" spans="1:22">
      <c r="A1117" s="15"/>
      <c r="C1117" s="15"/>
      <c r="D1117" s="15"/>
      <c r="E1117" s="15"/>
      <c r="F1117" s="15"/>
      <c r="G1117" s="15"/>
      <c r="H1117" s="15"/>
      <c r="I1117" s="15"/>
      <c r="J1117" s="15"/>
      <c r="K1117" s="15"/>
      <c r="L1117" s="15"/>
      <c r="M1117" s="15"/>
      <c r="N1117" s="15"/>
      <c r="O1117" s="15"/>
      <c r="P1117" s="15"/>
      <c r="Q1117" s="15"/>
      <c r="R1117" s="15"/>
      <c r="S1117" s="15"/>
      <c r="T1117" s="15"/>
      <c r="U1117" s="15"/>
      <c r="V1117" s="15"/>
    </row>
    <row r="1118" spans="1:22">
      <c r="A1118" s="15"/>
      <c r="C1118" s="15"/>
      <c r="D1118" s="15"/>
      <c r="E1118" s="15"/>
      <c r="F1118" s="15"/>
      <c r="G1118" s="15"/>
      <c r="H1118" s="15"/>
      <c r="I1118" s="15"/>
      <c r="J1118" s="15"/>
      <c r="K1118" s="15"/>
      <c r="L1118" s="15"/>
      <c r="M1118" s="15"/>
      <c r="N1118" s="15"/>
      <c r="O1118" s="15"/>
      <c r="P1118" s="15"/>
      <c r="Q1118" s="15"/>
      <c r="R1118" s="15"/>
      <c r="S1118" s="15"/>
      <c r="T1118" s="15"/>
      <c r="U1118" s="15"/>
      <c r="V1118" s="15"/>
    </row>
    <row r="1119" spans="1:22">
      <c r="A1119" s="15"/>
      <c r="C1119" s="15"/>
      <c r="D1119" s="15"/>
      <c r="E1119" s="15"/>
      <c r="F1119" s="15"/>
      <c r="G1119" s="15"/>
      <c r="H1119" s="15"/>
      <c r="I1119" s="15"/>
      <c r="J1119" s="15"/>
      <c r="K1119" s="15"/>
      <c r="L1119" s="15"/>
      <c r="M1119" s="15"/>
      <c r="N1119" s="15"/>
      <c r="O1119" s="15"/>
      <c r="P1119" s="15"/>
      <c r="Q1119" s="15"/>
      <c r="R1119" s="15"/>
      <c r="S1119" s="15"/>
      <c r="T1119" s="15"/>
      <c r="U1119" s="15"/>
      <c r="V1119" s="15"/>
    </row>
    <row r="1120" spans="1:22">
      <c r="A1120" s="15"/>
      <c r="C1120" s="15"/>
      <c r="D1120" s="15"/>
      <c r="E1120" s="15"/>
      <c r="F1120" s="15"/>
      <c r="G1120" s="15"/>
      <c r="H1120" s="15"/>
      <c r="I1120" s="15"/>
      <c r="J1120" s="15"/>
      <c r="K1120" s="15"/>
      <c r="L1120" s="15"/>
      <c r="M1120" s="15"/>
      <c r="N1120" s="15"/>
      <c r="O1120" s="15"/>
      <c r="P1120" s="15"/>
      <c r="Q1120" s="15"/>
      <c r="R1120" s="15"/>
      <c r="S1120" s="15"/>
      <c r="T1120" s="15"/>
      <c r="U1120" s="15"/>
      <c r="V1120" s="15"/>
    </row>
    <row r="1121" spans="1:22">
      <c r="A1121" s="15"/>
      <c r="C1121" s="15"/>
      <c r="D1121" s="15"/>
      <c r="E1121" s="15"/>
      <c r="F1121" s="15"/>
      <c r="G1121" s="15"/>
      <c r="H1121" s="15"/>
      <c r="I1121" s="15"/>
      <c r="J1121" s="15"/>
      <c r="K1121" s="15"/>
      <c r="L1121" s="15"/>
      <c r="M1121" s="15"/>
      <c r="N1121" s="15"/>
      <c r="O1121" s="15"/>
      <c r="P1121" s="15"/>
      <c r="Q1121" s="15"/>
      <c r="R1121" s="15"/>
      <c r="S1121" s="15"/>
      <c r="T1121" s="15"/>
      <c r="U1121" s="15"/>
      <c r="V1121" s="15"/>
    </row>
    <row r="1122" spans="1:22">
      <c r="A1122" s="15"/>
      <c r="C1122" s="15"/>
      <c r="D1122" s="15"/>
      <c r="E1122" s="15"/>
      <c r="F1122" s="15"/>
      <c r="G1122" s="15"/>
      <c r="H1122" s="15"/>
      <c r="I1122" s="15"/>
      <c r="J1122" s="15"/>
      <c r="K1122" s="15"/>
      <c r="L1122" s="15"/>
      <c r="M1122" s="15"/>
      <c r="N1122" s="15"/>
      <c r="O1122" s="15"/>
      <c r="P1122" s="15"/>
      <c r="Q1122" s="15"/>
      <c r="R1122" s="15"/>
      <c r="S1122" s="15"/>
      <c r="T1122" s="15"/>
      <c r="U1122" s="15"/>
      <c r="V1122" s="15"/>
    </row>
    <row r="1123" spans="1:22">
      <c r="A1123" s="15"/>
      <c r="C1123" s="15"/>
      <c r="D1123" s="15"/>
      <c r="E1123" s="15"/>
      <c r="F1123" s="15"/>
      <c r="G1123" s="15"/>
      <c r="H1123" s="15"/>
      <c r="I1123" s="15"/>
      <c r="J1123" s="15"/>
      <c r="K1123" s="15"/>
      <c r="L1123" s="15"/>
      <c r="M1123" s="15"/>
      <c r="N1123" s="15"/>
      <c r="O1123" s="15"/>
      <c r="P1123" s="15"/>
      <c r="Q1123" s="15"/>
      <c r="R1123" s="15"/>
      <c r="S1123" s="15"/>
      <c r="T1123" s="15"/>
      <c r="U1123" s="15"/>
      <c r="V1123" s="15"/>
    </row>
    <row r="1124" spans="1:22">
      <c r="A1124" s="15"/>
      <c r="C1124" s="15"/>
      <c r="D1124" s="15"/>
      <c r="E1124" s="15"/>
      <c r="F1124" s="15"/>
      <c r="G1124" s="15"/>
      <c r="H1124" s="15"/>
      <c r="I1124" s="15"/>
      <c r="J1124" s="15"/>
      <c r="K1124" s="15"/>
      <c r="L1124" s="15"/>
      <c r="M1124" s="15"/>
      <c r="N1124" s="15"/>
      <c r="O1124" s="15"/>
      <c r="P1124" s="15"/>
      <c r="Q1124" s="15"/>
      <c r="R1124" s="15"/>
      <c r="S1124" s="15"/>
      <c r="T1124" s="15"/>
      <c r="U1124" s="15"/>
      <c r="V1124" s="15"/>
    </row>
    <row r="1125" spans="1:22">
      <c r="A1125" s="15"/>
      <c r="C1125" s="15"/>
      <c r="D1125" s="15"/>
      <c r="E1125" s="15"/>
      <c r="F1125" s="15"/>
      <c r="G1125" s="15"/>
      <c r="H1125" s="15"/>
      <c r="I1125" s="15"/>
      <c r="J1125" s="15"/>
      <c r="K1125" s="15"/>
      <c r="L1125" s="15"/>
      <c r="M1125" s="15"/>
      <c r="N1125" s="15"/>
      <c r="O1125" s="15"/>
      <c r="P1125" s="15"/>
      <c r="Q1125" s="15"/>
      <c r="R1125" s="15"/>
      <c r="S1125" s="15"/>
      <c r="T1125" s="15"/>
      <c r="U1125" s="15"/>
      <c r="V1125" s="15"/>
    </row>
    <row r="1126" spans="1:22">
      <c r="A1126" s="15"/>
      <c r="C1126" s="15"/>
      <c r="D1126" s="15"/>
      <c r="E1126" s="15"/>
      <c r="F1126" s="15"/>
      <c r="G1126" s="15"/>
      <c r="H1126" s="15"/>
      <c r="I1126" s="15"/>
      <c r="J1126" s="15"/>
      <c r="K1126" s="15"/>
      <c r="L1126" s="15"/>
      <c r="M1126" s="15"/>
      <c r="N1126" s="15"/>
      <c r="O1126" s="15"/>
      <c r="P1126" s="15"/>
      <c r="Q1126" s="15"/>
      <c r="R1126" s="15"/>
      <c r="S1126" s="15"/>
      <c r="T1126" s="15"/>
      <c r="U1126" s="15"/>
      <c r="V1126" s="15"/>
    </row>
    <row r="1127" spans="1:22">
      <c r="A1127" s="15"/>
      <c r="C1127" s="15"/>
      <c r="D1127" s="15"/>
      <c r="E1127" s="15"/>
      <c r="F1127" s="15"/>
      <c r="G1127" s="15"/>
      <c r="H1127" s="15"/>
      <c r="I1127" s="15"/>
      <c r="J1127" s="15"/>
      <c r="K1127" s="15"/>
      <c r="L1127" s="15"/>
      <c r="M1127" s="15"/>
      <c r="N1127" s="15"/>
      <c r="O1127" s="15"/>
      <c r="P1127" s="15"/>
      <c r="Q1127" s="15"/>
      <c r="R1127" s="15"/>
      <c r="S1127" s="15"/>
      <c r="T1127" s="15"/>
      <c r="U1127" s="15"/>
      <c r="V1127" s="15"/>
    </row>
    <row r="1128" spans="1:22">
      <c r="A1128" s="15"/>
      <c r="C1128" s="15"/>
      <c r="D1128" s="15"/>
      <c r="E1128" s="15"/>
      <c r="F1128" s="15"/>
      <c r="G1128" s="15"/>
      <c r="H1128" s="15"/>
      <c r="I1128" s="15"/>
      <c r="J1128" s="15"/>
      <c r="K1128" s="15"/>
      <c r="L1128" s="15"/>
      <c r="M1128" s="15"/>
      <c r="N1128" s="15"/>
      <c r="O1128" s="15"/>
      <c r="P1128" s="15"/>
      <c r="Q1128" s="15"/>
      <c r="R1128" s="15"/>
      <c r="S1128" s="15"/>
      <c r="T1128" s="15"/>
      <c r="U1128" s="15"/>
      <c r="V1128" s="15"/>
    </row>
    <row r="1129" spans="1:22">
      <c r="A1129" s="15"/>
      <c r="C1129" s="15"/>
      <c r="D1129" s="15"/>
      <c r="E1129" s="15"/>
      <c r="F1129" s="15"/>
      <c r="G1129" s="15"/>
      <c r="H1129" s="15"/>
      <c r="I1129" s="15"/>
      <c r="J1129" s="15"/>
      <c r="K1129" s="15"/>
      <c r="L1129" s="15"/>
      <c r="M1129" s="15"/>
      <c r="N1129" s="15"/>
      <c r="O1129" s="15"/>
      <c r="P1129" s="15"/>
      <c r="Q1129" s="15"/>
      <c r="R1129" s="15"/>
      <c r="S1129" s="15"/>
      <c r="T1129" s="15"/>
      <c r="U1129" s="15"/>
      <c r="V1129" s="15"/>
    </row>
    <row r="1130" spans="1:22">
      <c r="A1130" s="15"/>
      <c r="C1130" s="15"/>
      <c r="D1130" s="15"/>
      <c r="E1130" s="15"/>
      <c r="F1130" s="15"/>
      <c r="G1130" s="15"/>
      <c r="H1130" s="15"/>
      <c r="I1130" s="15"/>
      <c r="J1130" s="15"/>
      <c r="K1130" s="15"/>
      <c r="L1130" s="15"/>
      <c r="M1130" s="15"/>
      <c r="N1130" s="15"/>
      <c r="O1130" s="15"/>
      <c r="P1130" s="15"/>
      <c r="Q1130" s="15"/>
      <c r="R1130" s="15"/>
      <c r="S1130" s="15"/>
      <c r="T1130" s="15"/>
      <c r="U1130" s="15"/>
      <c r="V1130" s="15"/>
    </row>
    <row r="1131" spans="1:22">
      <c r="A1131" s="15"/>
      <c r="C1131" s="15"/>
      <c r="D1131" s="15"/>
      <c r="E1131" s="15"/>
      <c r="F1131" s="15"/>
      <c r="G1131" s="15"/>
      <c r="H1131" s="15"/>
      <c r="I1131" s="15"/>
      <c r="J1131" s="15"/>
      <c r="K1131" s="15"/>
      <c r="L1131" s="15"/>
      <c r="M1131" s="15"/>
      <c r="N1131" s="15"/>
      <c r="O1131" s="15"/>
      <c r="P1131" s="15"/>
      <c r="Q1131" s="15"/>
      <c r="R1131" s="15"/>
      <c r="S1131" s="15"/>
      <c r="T1131" s="15"/>
      <c r="U1131" s="15"/>
      <c r="V1131" s="15"/>
    </row>
    <row r="1132" spans="1:22">
      <c r="A1132" s="15"/>
      <c r="C1132" s="15"/>
      <c r="D1132" s="15"/>
      <c r="E1132" s="15"/>
      <c r="F1132" s="15"/>
      <c r="G1132" s="15"/>
      <c r="H1132" s="15"/>
      <c r="I1132" s="15"/>
      <c r="J1132" s="15"/>
      <c r="K1132" s="15"/>
      <c r="L1132" s="15"/>
      <c r="M1132" s="15"/>
      <c r="N1132" s="15"/>
      <c r="O1132" s="15"/>
      <c r="P1132" s="15"/>
      <c r="Q1132" s="15"/>
      <c r="R1132" s="15"/>
      <c r="S1132" s="15"/>
      <c r="T1132" s="15"/>
      <c r="U1132" s="15"/>
      <c r="V1132" s="15"/>
    </row>
    <row r="1133" spans="1:22">
      <c r="A1133" s="15"/>
      <c r="C1133" s="15"/>
      <c r="D1133" s="15"/>
      <c r="E1133" s="15"/>
      <c r="F1133" s="15"/>
      <c r="G1133" s="15"/>
      <c r="H1133" s="15"/>
      <c r="I1133" s="15"/>
      <c r="J1133" s="15"/>
      <c r="K1133" s="15"/>
      <c r="L1133" s="15"/>
      <c r="M1133" s="15"/>
      <c r="N1133" s="15"/>
      <c r="O1133" s="15"/>
      <c r="P1133" s="15"/>
      <c r="Q1133" s="15"/>
      <c r="R1133" s="15"/>
      <c r="S1133" s="15"/>
      <c r="T1133" s="15"/>
      <c r="U1133" s="15"/>
      <c r="V1133" s="15"/>
    </row>
    <row r="1134" spans="1:22">
      <c r="A1134" s="15"/>
      <c r="C1134" s="15"/>
      <c r="D1134" s="15"/>
      <c r="E1134" s="15"/>
      <c r="F1134" s="15"/>
      <c r="G1134" s="15"/>
      <c r="H1134" s="15"/>
      <c r="I1134" s="15"/>
      <c r="J1134" s="15"/>
      <c r="K1134" s="15"/>
      <c r="L1134" s="15"/>
      <c r="M1134" s="15"/>
      <c r="N1134" s="15"/>
      <c r="O1134" s="15"/>
      <c r="P1134" s="15"/>
      <c r="Q1134" s="15"/>
      <c r="R1134" s="15"/>
      <c r="S1134" s="15"/>
      <c r="T1134" s="15"/>
      <c r="U1134" s="15"/>
      <c r="V1134" s="15"/>
    </row>
    <row r="1135" spans="1:22">
      <c r="A1135" s="15"/>
      <c r="C1135" s="15"/>
      <c r="D1135" s="15"/>
      <c r="E1135" s="15"/>
      <c r="F1135" s="15"/>
      <c r="G1135" s="15"/>
      <c r="H1135" s="15"/>
      <c r="I1135" s="15"/>
      <c r="J1135" s="15"/>
      <c r="K1135" s="15"/>
      <c r="L1135" s="15"/>
      <c r="M1135" s="15"/>
      <c r="N1135" s="15"/>
      <c r="O1135" s="15"/>
      <c r="P1135" s="15"/>
      <c r="Q1135" s="15"/>
      <c r="R1135" s="15"/>
      <c r="S1135" s="15"/>
      <c r="T1135" s="15"/>
      <c r="U1135" s="15"/>
      <c r="V1135" s="15"/>
    </row>
    <row r="1136" spans="1:22">
      <c r="A1136" s="15"/>
      <c r="C1136" s="15"/>
      <c r="D1136" s="15"/>
      <c r="E1136" s="15"/>
      <c r="F1136" s="15"/>
      <c r="G1136" s="15"/>
      <c r="H1136" s="15"/>
      <c r="I1136" s="15"/>
      <c r="J1136" s="15"/>
      <c r="K1136" s="15"/>
      <c r="L1136" s="15"/>
      <c r="M1136" s="15"/>
      <c r="N1136" s="15"/>
      <c r="O1136" s="15"/>
      <c r="P1136" s="15"/>
      <c r="Q1136" s="15"/>
      <c r="R1136" s="15"/>
      <c r="S1136" s="15"/>
      <c r="T1136" s="15"/>
      <c r="U1136" s="15"/>
      <c r="V1136" s="15"/>
    </row>
    <row r="1137" spans="1:22">
      <c r="A1137" s="15"/>
      <c r="C1137" s="15"/>
      <c r="D1137" s="15"/>
      <c r="E1137" s="15"/>
      <c r="F1137" s="15"/>
      <c r="G1137" s="15"/>
      <c r="H1137" s="15"/>
      <c r="I1137" s="15"/>
      <c r="J1137" s="15"/>
      <c r="K1137" s="15"/>
      <c r="L1137" s="15"/>
      <c r="M1137" s="15"/>
      <c r="N1137" s="15"/>
      <c r="O1137" s="15"/>
      <c r="P1137" s="15"/>
      <c r="Q1137" s="15"/>
      <c r="R1137" s="15"/>
      <c r="S1137" s="15"/>
      <c r="T1137" s="15"/>
      <c r="U1137" s="15"/>
      <c r="V1137" s="15"/>
    </row>
    <row r="1138" spans="1:22">
      <c r="A1138" s="15"/>
      <c r="C1138" s="15"/>
      <c r="D1138" s="15"/>
      <c r="E1138" s="15"/>
      <c r="F1138" s="15"/>
      <c r="G1138" s="15"/>
      <c r="H1138" s="15"/>
      <c r="I1138" s="15"/>
      <c r="J1138" s="15"/>
      <c r="K1138" s="15"/>
      <c r="L1138" s="15"/>
      <c r="M1138" s="15"/>
      <c r="N1138" s="15"/>
      <c r="O1138" s="15"/>
      <c r="P1138" s="15"/>
      <c r="Q1138" s="15"/>
      <c r="R1138" s="15"/>
      <c r="S1138" s="15"/>
      <c r="T1138" s="15"/>
      <c r="U1138" s="15"/>
      <c r="V1138" s="15"/>
    </row>
    <row r="1139" spans="1:22">
      <c r="A1139" s="15"/>
      <c r="C1139" s="15"/>
      <c r="D1139" s="15"/>
      <c r="E1139" s="15"/>
      <c r="F1139" s="15"/>
      <c r="G1139" s="15"/>
      <c r="H1139" s="15"/>
      <c r="I1139" s="15"/>
      <c r="J1139" s="15"/>
      <c r="K1139" s="15"/>
      <c r="L1139" s="15"/>
      <c r="M1139" s="15"/>
      <c r="N1139" s="15"/>
      <c r="O1139" s="15"/>
      <c r="P1139" s="15"/>
      <c r="Q1139" s="15"/>
      <c r="R1139" s="15"/>
      <c r="S1139" s="15"/>
      <c r="T1139" s="15"/>
      <c r="U1139" s="15"/>
      <c r="V1139" s="15"/>
    </row>
    <row r="1140" spans="1:22">
      <c r="A1140" s="15"/>
      <c r="C1140" s="15"/>
      <c r="D1140" s="15"/>
      <c r="E1140" s="15"/>
      <c r="F1140" s="15"/>
      <c r="G1140" s="15"/>
      <c r="H1140" s="15"/>
      <c r="I1140" s="15"/>
      <c r="J1140" s="15"/>
      <c r="K1140" s="15"/>
      <c r="L1140" s="15"/>
      <c r="M1140" s="15"/>
      <c r="N1140" s="15"/>
      <c r="O1140" s="15"/>
      <c r="P1140" s="15"/>
      <c r="Q1140" s="15"/>
      <c r="R1140" s="15"/>
      <c r="S1140" s="15"/>
      <c r="T1140" s="15"/>
      <c r="U1140" s="15"/>
      <c r="V1140" s="15"/>
    </row>
    <row r="1141" spans="1:22">
      <c r="A1141" s="15"/>
      <c r="C1141" s="15"/>
      <c r="D1141" s="15"/>
      <c r="E1141" s="15"/>
      <c r="F1141" s="15"/>
      <c r="G1141" s="15"/>
      <c r="H1141" s="15"/>
      <c r="I1141" s="15"/>
      <c r="J1141" s="15"/>
      <c r="K1141" s="15"/>
      <c r="L1141" s="15"/>
      <c r="M1141" s="15"/>
      <c r="N1141" s="15"/>
      <c r="O1141" s="15"/>
      <c r="P1141" s="15"/>
      <c r="Q1141" s="15"/>
      <c r="R1141" s="15"/>
      <c r="S1141" s="15"/>
      <c r="T1141" s="15"/>
      <c r="U1141" s="15"/>
      <c r="V1141" s="15"/>
    </row>
    <row r="1142" spans="1:22">
      <c r="A1142" s="15"/>
      <c r="C1142" s="15"/>
      <c r="D1142" s="15"/>
      <c r="E1142" s="15"/>
      <c r="F1142" s="15"/>
      <c r="G1142" s="15"/>
      <c r="H1142" s="15"/>
      <c r="I1142" s="15"/>
      <c r="J1142" s="15"/>
      <c r="K1142" s="15"/>
      <c r="L1142" s="15"/>
      <c r="M1142" s="15"/>
      <c r="N1142" s="15"/>
      <c r="O1142" s="15"/>
      <c r="P1142" s="15"/>
      <c r="Q1142" s="15"/>
      <c r="R1142" s="15"/>
      <c r="S1142" s="15"/>
      <c r="T1142" s="15"/>
      <c r="U1142" s="15"/>
      <c r="V1142" s="15"/>
    </row>
    <row r="1143" spans="1:22">
      <c r="A1143" s="15"/>
      <c r="C1143" s="15"/>
      <c r="D1143" s="15"/>
      <c r="E1143" s="15"/>
      <c r="F1143" s="15"/>
      <c r="G1143" s="15"/>
      <c r="H1143" s="15"/>
      <c r="I1143" s="15"/>
      <c r="J1143" s="15"/>
      <c r="K1143" s="15"/>
      <c r="L1143" s="15"/>
      <c r="M1143" s="15"/>
      <c r="N1143" s="15"/>
      <c r="O1143" s="15"/>
      <c r="P1143" s="15"/>
      <c r="Q1143" s="15"/>
      <c r="R1143" s="15"/>
      <c r="S1143" s="15"/>
      <c r="T1143" s="15"/>
      <c r="U1143" s="15"/>
      <c r="V1143" s="15"/>
    </row>
    <row r="1144" spans="1:22">
      <c r="A1144" s="15"/>
      <c r="C1144" s="15"/>
      <c r="D1144" s="15"/>
      <c r="E1144" s="15"/>
      <c r="F1144" s="15"/>
      <c r="G1144" s="15"/>
      <c r="H1144" s="15"/>
      <c r="I1144" s="15"/>
      <c r="J1144" s="15"/>
      <c r="K1144" s="15"/>
      <c r="L1144" s="15"/>
      <c r="M1144" s="15"/>
      <c r="N1144" s="15"/>
      <c r="O1144" s="15"/>
      <c r="P1144" s="15"/>
      <c r="Q1144" s="15"/>
      <c r="R1144" s="15"/>
      <c r="S1144" s="15"/>
      <c r="T1144" s="15"/>
      <c r="U1144" s="15"/>
      <c r="V1144" s="15"/>
    </row>
    <row r="1145" spans="1:22">
      <c r="A1145" s="15"/>
      <c r="C1145" s="15"/>
      <c r="D1145" s="15"/>
      <c r="E1145" s="15"/>
      <c r="F1145" s="15"/>
      <c r="G1145" s="15"/>
      <c r="H1145" s="15"/>
      <c r="I1145" s="15"/>
      <c r="J1145" s="15"/>
      <c r="K1145" s="15"/>
      <c r="L1145" s="15"/>
      <c r="M1145" s="15"/>
      <c r="N1145" s="15"/>
      <c r="O1145" s="15"/>
      <c r="P1145" s="15"/>
      <c r="Q1145" s="15"/>
      <c r="R1145" s="15"/>
      <c r="S1145" s="15"/>
      <c r="T1145" s="15"/>
      <c r="U1145" s="15"/>
      <c r="V1145" s="15"/>
    </row>
    <row r="1146" spans="1:22">
      <c r="A1146" s="15"/>
      <c r="C1146" s="15"/>
      <c r="D1146" s="15"/>
      <c r="E1146" s="15"/>
      <c r="F1146" s="15"/>
      <c r="G1146" s="15"/>
      <c r="H1146" s="15"/>
      <c r="I1146" s="15"/>
      <c r="J1146" s="15"/>
      <c r="K1146" s="15"/>
      <c r="L1146" s="15"/>
      <c r="M1146" s="15"/>
      <c r="N1146" s="15"/>
      <c r="O1146" s="15"/>
      <c r="P1146" s="15"/>
      <c r="Q1146" s="15"/>
      <c r="R1146" s="15"/>
      <c r="S1146" s="15"/>
      <c r="T1146" s="15"/>
      <c r="U1146" s="15"/>
      <c r="V1146" s="15"/>
    </row>
    <row r="1147" spans="1:22">
      <c r="A1147" s="15"/>
      <c r="C1147" s="15"/>
      <c r="D1147" s="15"/>
      <c r="E1147" s="15"/>
      <c r="F1147" s="15"/>
      <c r="G1147" s="15"/>
      <c r="H1147" s="15"/>
      <c r="I1147" s="15"/>
      <c r="J1147" s="15"/>
      <c r="K1147" s="15"/>
      <c r="L1147" s="15"/>
      <c r="M1147" s="15"/>
      <c r="N1147" s="15"/>
      <c r="O1147" s="15"/>
      <c r="P1147" s="15"/>
      <c r="Q1147" s="15"/>
      <c r="R1147" s="15"/>
      <c r="S1147" s="15"/>
      <c r="T1147" s="15"/>
      <c r="U1147" s="15"/>
      <c r="V1147" s="15"/>
    </row>
    <row r="1148" spans="1:22">
      <c r="A1148" s="15"/>
      <c r="C1148" s="15"/>
      <c r="D1148" s="15"/>
      <c r="E1148" s="15"/>
      <c r="F1148" s="15"/>
      <c r="G1148" s="15"/>
      <c r="H1148" s="15"/>
      <c r="I1148" s="15"/>
      <c r="J1148" s="15"/>
      <c r="K1148" s="15"/>
      <c r="L1148" s="15"/>
      <c r="M1148" s="15"/>
      <c r="N1148" s="15"/>
      <c r="O1148" s="15"/>
      <c r="P1148" s="15"/>
      <c r="Q1148" s="15"/>
      <c r="R1148" s="15"/>
      <c r="S1148" s="15"/>
      <c r="T1148" s="15"/>
      <c r="U1148" s="15"/>
      <c r="V1148" s="15"/>
    </row>
    <row r="1149" spans="1:22">
      <c r="A1149" s="15"/>
      <c r="C1149" s="15"/>
      <c r="D1149" s="15"/>
      <c r="E1149" s="15"/>
      <c r="F1149" s="15"/>
      <c r="G1149" s="15"/>
      <c r="H1149" s="15"/>
      <c r="I1149" s="15"/>
      <c r="J1149" s="15"/>
      <c r="K1149" s="15"/>
      <c r="L1149" s="15"/>
      <c r="M1149" s="15"/>
      <c r="N1149" s="15"/>
      <c r="O1149" s="15"/>
      <c r="P1149" s="15"/>
      <c r="Q1149" s="15"/>
      <c r="R1149" s="15"/>
      <c r="S1149" s="15"/>
      <c r="T1149" s="15"/>
      <c r="U1149" s="15"/>
      <c r="V1149" s="15"/>
    </row>
    <row r="1150" spans="1:22">
      <c r="A1150" s="15"/>
      <c r="C1150" s="15"/>
      <c r="D1150" s="15"/>
      <c r="E1150" s="15"/>
      <c r="F1150" s="15"/>
      <c r="G1150" s="15"/>
      <c r="H1150" s="15"/>
      <c r="I1150" s="15"/>
      <c r="J1150" s="15"/>
      <c r="K1150" s="15"/>
      <c r="L1150" s="15"/>
      <c r="M1150" s="15"/>
      <c r="N1150" s="15"/>
      <c r="O1150" s="15"/>
      <c r="P1150" s="15"/>
      <c r="Q1150" s="15"/>
      <c r="R1150" s="15"/>
      <c r="S1150" s="15"/>
      <c r="T1150" s="15"/>
      <c r="U1150" s="15"/>
      <c r="V1150" s="15"/>
    </row>
    <row r="1151" spans="1:22">
      <c r="A1151" s="15"/>
      <c r="C1151" s="15"/>
      <c r="D1151" s="15"/>
      <c r="E1151" s="15"/>
      <c r="F1151" s="15"/>
      <c r="G1151" s="15"/>
      <c r="H1151" s="15"/>
      <c r="I1151" s="15"/>
      <c r="J1151" s="15"/>
      <c r="K1151" s="15"/>
      <c r="L1151" s="15"/>
      <c r="M1151" s="15"/>
      <c r="N1151" s="15"/>
      <c r="O1151" s="15"/>
      <c r="P1151" s="15"/>
      <c r="Q1151" s="15"/>
      <c r="R1151" s="15"/>
      <c r="S1151" s="15"/>
      <c r="T1151" s="15"/>
      <c r="U1151" s="15"/>
      <c r="V1151" s="15"/>
    </row>
    <row r="1152" spans="1:22">
      <c r="A1152" s="15"/>
      <c r="C1152" s="15"/>
      <c r="D1152" s="15"/>
      <c r="E1152" s="15"/>
      <c r="F1152" s="15"/>
      <c r="G1152" s="15"/>
      <c r="H1152" s="15"/>
      <c r="I1152" s="15"/>
      <c r="J1152" s="15"/>
      <c r="K1152" s="15"/>
      <c r="L1152" s="15"/>
      <c r="M1152" s="15"/>
      <c r="N1152" s="15"/>
      <c r="O1152" s="15"/>
      <c r="P1152" s="15"/>
      <c r="Q1152" s="15"/>
      <c r="R1152" s="15"/>
      <c r="S1152" s="15"/>
      <c r="T1152" s="15"/>
      <c r="U1152" s="15"/>
      <c r="V1152" s="15"/>
    </row>
    <row r="1153" spans="1:22">
      <c r="A1153" s="15"/>
      <c r="C1153" s="15"/>
      <c r="D1153" s="15"/>
      <c r="E1153" s="15"/>
      <c r="F1153" s="15"/>
      <c r="G1153" s="15"/>
      <c r="H1153" s="15"/>
      <c r="I1153" s="15"/>
      <c r="J1153" s="15"/>
      <c r="K1153" s="15"/>
      <c r="L1153" s="15"/>
      <c r="M1153" s="15"/>
      <c r="N1153" s="15"/>
      <c r="O1153" s="15"/>
      <c r="P1153" s="15"/>
      <c r="Q1153" s="15"/>
      <c r="R1153" s="15"/>
      <c r="S1153" s="15"/>
      <c r="T1153" s="15"/>
      <c r="U1153" s="15"/>
      <c r="V1153" s="15"/>
    </row>
    <row r="1154" spans="1:22">
      <c r="A1154" s="15"/>
      <c r="C1154" s="15"/>
      <c r="D1154" s="15"/>
      <c r="E1154" s="15"/>
      <c r="F1154" s="15"/>
      <c r="G1154" s="15"/>
      <c r="H1154" s="15"/>
      <c r="I1154" s="15"/>
      <c r="J1154" s="15"/>
      <c r="K1154" s="15"/>
      <c r="L1154" s="15"/>
      <c r="M1154" s="15"/>
      <c r="N1154" s="15"/>
      <c r="O1154" s="15"/>
      <c r="P1154" s="15"/>
      <c r="Q1154" s="15"/>
      <c r="R1154" s="15"/>
      <c r="S1154" s="15"/>
      <c r="T1154" s="15"/>
      <c r="U1154" s="15"/>
      <c r="V1154" s="15"/>
    </row>
    <row r="1155" spans="1:22">
      <c r="A1155" s="15"/>
      <c r="C1155" s="15"/>
      <c r="D1155" s="15"/>
      <c r="E1155" s="15"/>
      <c r="F1155" s="15"/>
      <c r="G1155" s="15"/>
      <c r="H1155" s="15"/>
      <c r="I1155" s="15"/>
      <c r="J1155" s="15"/>
      <c r="K1155" s="15"/>
      <c r="L1155" s="15"/>
      <c r="M1155" s="15"/>
      <c r="N1155" s="15"/>
      <c r="O1155" s="15"/>
      <c r="P1155" s="15"/>
      <c r="Q1155" s="15"/>
      <c r="R1155" s="15"/>
      <c r="S1155" s="15"/>
      <c r="T1155" s="15"/>
      <c r="U1155" s="15"/>
      <c r="V1155" s="15"/>
    </row>
    <row r="1156" spans="1:22">
      <c r="A1156" s="15"/>
      <c r="C1156" s="15"/>
      <c r="D1156" s="15"/>
      <c r="E1156" s="15"/>
      <c r="F1156" s="15"/>
      <c r="G1156" s="15"/>
      <c r="H1156" s="15"/>
      <c r="I1156" s="15"/>
      <c r="J1156" s="15"/>
      <c r="K1156" s="15"/>
      <c r="L1156" s="15"/>
      <c r="M1156" s="15"/>
      <c r="N1156" s="15"/>
      <c r="O1156" s="15"/>
      <c r="P1156" s="15"/>
      <c r="Q1156" s="15"/>
      <c r="R1156" s="15"/>
      <c r="S1156" s="15"/>
      <c r="T1156" s="15"/>
      <c r="U1156" s="15"/>
      <c r="V1156" s="15"/>
    </row>
    <row r="1157" spans="1:22">
      <c r="A1157" s="15"/>
      <c r="C1157" s="15"/>
      <c r="D1157" s="15"/>
      <c r="E1157" s="15"/>
      <c r="F1157" s="15"/>
      <c r="G1157" s="15"/>
      <c r="H1157" s="15"/>
      <c r="I1157" s="15"/>
      <c r="J1157" s="15"/>
      <c r="K1157" s="15"/>
      <c r="L1157" s="15"/>
      <c r="M1157" s="15"/>
      <c r="N1157" s="15"/>
      <c r="O1157" s="15"/>
      <c r="P1157" s="15"/>
      <c r="Q1157" s="15"/>
      <c r="R1157" s="15"/>
      <c r="S1157" s="15"/>
      <c r="T1157" s="15"/>
      <c r="U1157" s="15"/>
      <c r="V1157" s="15"/>
    </row>
    <row r="1158" spans="1:22">
      <c r="A1158" s="15"/>
      <c r="C1158" s="15"/>
      <c r="D1158" s="15"/>
      <c r="E1158" s="15"/>
      <c r="F1158" s="15"/>
      <c r="G1158" s="15"/>
      <c r="H1158" s="15"/>
      <c r="I1158" s="15"/>
      <c r="J1158" s="15"/>
      <c r="K1158" s="15"/>
      <c r="L1158" s="15"/>
      <c r="M1158" s="15"/>
      <c r="N1158" s="15"/>
      <c r="O1158" s="15"/>
      <c r="P1158" s="15"/>
      <c r="Q1158" s="15"/>
      <c r="R1158" s="15"/>
      <c r="S1158" s="15"/>
      <c r="T1158" s="15"/>
      <c r="U1158" s="15"/>
      <c r="V1158" s="15"/>
    </row>
    <row r="1159" spans="1:22">
      <c r="A1159" s="15"/>
      <c r="C1159" s="15"/>
      <c r="D1159" s="15"/>
      <c r="E1159" s="15"/>
      <c r="F1159" s="15"/>
      <c r="G1159" s="15"/>
      <c r="H1159" s="15"/>
      <c r="I1159" s="15"/>
      <c r="J1159" s="15"/>
      <c r="K1159" s="15"/>
      <c r="L1159" s="15"/>
      <c r="M1159" s="15"/>
      <c r="N1159" s="15"/>
      <c r="O1159" s="15"/>
      <c r="P1159" s="15"/>
      <c r="Q1159" s="15"/>
      <c r="R1159" s="15"/>
      <c r="S1159" s="15"/>
      <c r="T1159" s="15"/>
      <c r="U1159" s="15"/>
      <c r="V1159" s="15"/>
    </row>
    <row r="1160" spans="1:22">
      <c r="A1160" s="15"/>
      <c r="C1160" s="15"/>
      <c r="D1160" s="15"/>
      <c r="E1160" s="15"/>
      <c r="F1160" s="15"/>
      <c r="G1160" s="15"/>
      <c r="H1160" s="15"/>
      <c r="I1160" s="15"/>
      <c r="J1160" s="15"/>
      <c r="K1160" s="15"/>
      <c r="L1160" s="15"/>
      <c r="M1160" s="15"/>
      <c r="N1160" s="15"/>
      <c r="O1160" s="15"/>
      <c r="P1160" s="15"/>
      <c r="Q1160" s="15"/>
      <c r="R1160" s="15"/>
      <c r="S1160" s="15"/>
      <c r="T1160" s="15"/>
      <c r="U1160" s="15"/>
      <c r="V1160" s="15"/>
    </row>
    <row r="1161" spans="1:22">
      <c r="A1161" s="15"/>
      <c r="C1161" s="15"/>
      <c r="D1161" s="15"/>
      <c r="E1161" s="15"/>
      <c r="F1161" s="15"/>
      <c r="G1161" s="15"/>
      <c r="H1161" s="15"/>
      <c r="I1161" s="15"/>
      <c r="J1161" s="15"/>
      <c r="K1161" s="15"/>
      <c r="L1161" s="15"/>
      <c r="M1161" s="15"/>
      <c r="N1161" s="15"/>
      <c r="O1161" s="15"/>
      <c r="P1161" s="15"/>
      <c r="Q1161" s="15"/>
      <c r="R1161" s="15"/>
      <c r="S1161" s="15"/>
      <c r="T1161" s="15"/>
      <c r="U1161" s="15"/>
      <c r="V1161" s="15"/>
    </row>
    <row r="1162" spans="1:22">
      <c r="A1162" s="15"/>
      <c r="C1162" s="15"/>
      <c r="D1162" s="15"/>
      <c r="E1162" s="15"/>
      <c r="F1162" s="15"/>
      <c r="G1162" s="15"/>
      <c r="H1162" s="15"/>
      <c r="I1162" s="15"/>
      <c r="J1162" s="15"/>
      <c r="K1162" s="15"/>
      <c r="L1162" s="15"/>
      <c r="M1162" s="15"/>
      <c r="N1162" s="15"/>
      <c r="O1162" s="15"/>
      <c r="P1162" s="15"/>
      <c r="Q1162" s="15"/>
      <c r="R1162" s="15"/>
      <c r="S1162" s="15"/>
      <c r="T1162" s="15"/>
      <c r="U1162" s="15"/>
      <c r="V1162" s="15"/>
    </row>
    <row r="1163" spans="1:22">
      <c r="A1163" s="15"/>
      <c r="C1163" s="15"/>
      <c r="D1163" s="15"/>
      <c r="E1163" s="15"/>
      <c r="F1163" s="15"/>
      <c r="G1163" s="15"/>
      <c r="H1163" s="15"/>
      <c r="I1163" s="15"/>
      <c r="J1163" s="15"/>
      <c r="K1163" s="15"/>
      <c r="L1163" s="15"/>
      <c r="M1163" s="15"/>
      <c r="N1163" s="15"/>
      <c r="O1163" s="15"/>
      <c r="P1163" s="15"/>
      <c r="Q1163" s="15"/>
      <c r="R1163" s="15"/>
      <c r="S1163" s="15"/>
      <c r="T1163" s="15"/>
      <c r="U1163" s="15"/>
      <c r="V1163" s="15"/>
    </row>
    <row r="1164" spans="1:22">
      <c r="A1164" s="15"/>
      <c r="C1164" s="15"/>
      <c r="D1164" s="15"/>
      <c r="E1164" s="15"/>
      <c r="F1164" s="15"/>
      <c r="G1164" s="15"/>
      <c r="H1164" s="15"/>
      <c r="I1164" s="15"/>
      <c r="J1164" s="15"/>
      <c r="K1164" s="15"/>
      <c r="L1164" s="15"/>
      <c r="M1164" s="15"/>
      <c r="N1164" s="15"/>
      <c r="O1164" s="15"/>
      <c r="P1164" s="15"/>
      <c r="Q1164" s="15"/>
      <c r="R1164" s="15"/>
      <c r="S1164" s="15"/>
      <c r="T1164" s="15"/>
      <c r="U1164" s="15"/>
      <c r="V1164" s="15"/>
    </row>
    <row r="1165" spans="1:22">
      <c r="A1165" s="15"/>
      <c r="C1165" s="15"/>
      <c r="D1165" s="15"/>
      <c r="E1165" s="15"/>
      <c r="F1165" s="15"/>
      <c r="G1165" s="15"/>
      <c r="H1165" s="15"/>
      <c r="I1165" s="15"/>
      <c r="J1165" s="15"/>
      <c r="K1165" s="15"/>
      <c r="L1165" s="15"/>
      <c r="M1165" s="15"/>
      <c r="N1165" s="15"/>
      <c r="O1165" s="15"/>
      <c r="P1165" s="15"/>
      <c r="Q1165" s="15"/>
      <c r="R1165" s="15"/>
      <c r="S1165" s="15"/>
      <c r="T1165" s="15"/>
      <c r="U1165" s="15"/>
      <c r="V1165" s="15"/>
    </row>
    <row r="1166" spans="1:22">
      <c r="A1166" s="15"/>
      <c r="C1166" s="15"/>
      <c r="D1166" s="15"/>
      <c r="E1166" s="15"/>
      <c r="F1166" s="15"/>
      <c r="G1166" s="15"/>
      <c r="H1166" s="15"/>
      <c r="I1166" s="15"/>
      <c r="J1166" s="15"/>
      <c r="K1166" s="15"/>
      <c r="L1166" s="15"/>
      <c r="M1166" s="15"/>
      <c r="N1166" s="15"/>
      <c r="O1166" s="15"/>
      <c r="P1166" s="15"/>
      <c r="Q1166" s="15"/>
      <c r="R1166" s="15"/>
      <c r="S1166" s="15"/>
      <c r="T1166" s="15"/>
      <c r="U1166" s="15"/>
      <c r="V1166" s="15"/>
    </row>
  </sheetData>
  <mergeCells count="7">
    <mergeCell ref="A247:AE247"/>
    <mergeCell ref="A244:H244"/>
    <mergeCell ref="AF244:AG244"/>
    <mergeCell ref="A245:D245"/>
    <mergeCell ref="AF245:AG245"/>
    <mergeCell ref="A246:F246"/>
    <mergeCell ref="AF246:AG246"/>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BB68"/>
  <sheetViews>
    <sheetView workbookViewId="0">
      <pane xSplit="1" topLeftCell="AD1" activePane="topRight" state="frozen"/>
      <selection pane="topRight" activeCell="AT23" sqref="AT23"/>
    </sheetView>
  </sheetViews>
  <sheetFormatPr defaultRowHeight="12.75"/>
  <cols>
    <col min="1" max="1" width="53.140625" bestFit="1" customWidth="1"/>
    <col min="2" max="36" width="7.7109375" customWidth="1"/>
    <col min="37" max="37" width="11.85546875" customWidth="1"/>
    <col min="38" max="38" width="12.85546875" customWidth="1"/>
    <col min="39" max="39" width="11.140625" customWidth="1"/>
    <col min="40" max="40" width="10.28515625" customWidth="1"/>
    <col min="41" max="41" width="9.42578125" customWidth="1"/>
    <col min="42" max="42" width="9.28515625" customWidth="1"/>
    <col min="43" max="43" width="9.140625" customWidth="1"/>
    <col min="44" max="44" width="11.42578125" customWidth="1"/>
    <col min="45" max="45" width="14.28515625" customWidth="1"/>
    <col min="46" max="46" width="12" customWidth="1"/>
    <col min="47" max="47" width="14" customWidth="1"/>
    <col min="48" max="48" width="11.7109375" customWidth="1"/>
  </cols>
  <sheetData>
    <row r="1" spans="1:54" s="15" customFormat="1" ht="38.25">
      <c r="A1" s="146" t="s">
        <v>191</v>
      </c>
      <c r="B1" s="147" t="s">
        <v>193</v>
      </c>
      <c r="C1" s="148">
        <v>1991</v>
      </c>
      <c r="D1" s="148">
        <v>1992</v>
      </c>
      <c r="E1" s="148">
        <v>1993</v>
      </c>
      <c r="F1" s="148">
        <v>1994</v>
      </c>
      <c r="G1" s="148">
        <v>1995</v>
      </c>
      <c r="H1" s="148">
        <v>1996</v>
      </c>
      <c r="I1" s="148">
        <v>1997</v>
      </c>
      <c r="J1" s="148">
        <v>1998</v>
      </c>
      <c r="K1" s="148">
        <v>1999</v>
      </c>
      <c r="L1" s="148">
        <v>2000</v>
      </c>
      <c r="M1" s="148">
        <v>2001</v>
      </c>
      <c r="N1" s="148">
        <v>2002</v>
      </c>
      <c r="O1" s="148">
        <v>2003</v>
      </c>
      <c r="P1" s="148">
        <v>2004</v>
      </c>
      <c r="Q1" s="148">
        <v>2005</v>
      </c>
      <c r="R1" s="148">
        <v>2006</v>
      </c>
      <c r="S1" s="148">
        <v>2007</v>
      </c>
      <c r="T1" s="148">
        <v>2008</v>
      </c>
      <c r="U1" s="148">
        <v>2009</v>
      </c>
      <c r="V1" s="148">
        <v>2010</v>
      </c>
      <c r="W1" s="148">
        <v>2011</v>
      </c>
      <c r="X1" s="148">
        <v>2012</v>
      </c>
      <c r="Y1" s="148">
        <v>2013</v>
      </c>
      <c r="Z1" s="148">
        <v>2014</v>
      </c>
      <c r="AA1" s="149">
        <v>2015</v>
      </c>
      <c r="AB1" s="149">
        <v>2016</v>
      </c>
      <c r="AC1" s="149">
        <v>2017</v>
      </c>
      <c r="AD1" s="847">
        <v>2018</v>
      </c>
      <c r="AE1" s="848">
        <v>2019</v>
      </c>
      <c r="AF1" s="848">
        <v>2020</v>
      </c>
      <c r="AG1" s="849">
        <v>2021</v>
      </c>
      <c r="AH1" s="850">
        <v>2022</v>
      </c>
      <c r="AI1" s="850">
        <v>2023</v>
      </c>
      <c r="AJ1" s="850">
        <v>2024</v>
      </c>
      <c r="AK1" s="850">
        <v>2025</v>
      </c>
      <c r="AL1" s="150" t="s">
        <v>521</v>
      </c>
      <c r="AM1" s="846"/>
      <c r="AN1" s="898"/>
      <c r="AO1" s="658"/>
      <c r="AP1" s="658"/>
      <c r="AQ1" s="658"/>
      <c r="AR1" s="658"/>
      <c r="AS1" s="658"/>
      <c r="AT1" s="658"/>
      <c r="AU1" s="658"/>
      <c r="AV1" s="658"/>
    </row>
    <row r="2" spans="1:54" s="15" customFormat="1" ht="27.75">
      <c r="A2" s="93" t="s">
        <v>414</v>
      </c>
      <c r="B2" s="152" t="s">
        <v>130</v>
      </c>
      <c r="C2" s="95" t="s">
        <v>1</v>
      </c>
      <c r="D2" s="95" t="s">
        <v>1</v>
      </c>
      <c r="E2" s="95" t="s">
        <v>1</v>
      </c>
      <c r="F2" s="95" t="s">
        <v>1</v>
      </c>
      <c r="G2" s="95" t="s">
        <v>1</v>
      </c>
      <c r="H2" s="95" t="s">
        <v>1</v>
      </c>
      <c r="I2" s="95" t="s">
        <v>1</v>
      </c>
      <c r="J2" s="95" t="s">
        <v>1</v>
      </c>
      <c r="K2" s="95" t="s">
        <v>1</v>
      </c>
      <c r="L2" s="153">
        <v>11382</v>
      </c>
      <c r="M2" s="153">
        <v>14478</v>
      </c>
      <c r="N2" s="153">
        <v>17243</v>
      </c>
      <c r="O2" s="153">
        <v>20123</v>
      </c>
      <c r="P2" s="153">
        <v>24235</v>
      </c>
      <c r="Q2" s="153">
        <v>29347</v>
      </c>
      <c r="R2" s="153">
        <v>38190</v>
      </c>
      <c r="S2" s="153">
        <v>51703</v>
      </c>
      <c r="T2" s="153">
        <v>69881</v>
      </c>
      <c r="U2" s="153">
        <v>71012</v>
      </c>
      <c r="V2" s="154">
        <v>67190</v>
      </c>
      <c r="W2" s="154">
        <v>76846</v>
      </c>
      <c r="X2" s="154">
        <v>86733</v>
      </c>
      <c r="Y2" s="154">
        <v>95095</v>
      </c>
      <c r="Z2" s="154">
        <v>104832</v>
      </c>
      <c r="AA2" s="154">
        <v>111530</v>
      </c>
      <c r="AB2" s="155">
        <v>124281</v>
      </c>
      <c r="AC2" s="156">
        <v>130268</v>
      </c>
      <c r="AD2" s="155">
        <v>138927</v>
      </c>
      <c r="AE2" s="155">
        <v>150380</v>
      </c>
      <c r="AF2" s="155">
        <v>164721</v>
      </c>
      <c r="AG2" s="829">
        <v>179554</v>
      </c>
      <c r="AH2" s="798">
        <v>238496</v>
      </c>
      <c r="AI2" s="829">
        <v>288339</v>
      </c>
      <c r="AJ2" s="947">
        <v>344454</v>
      </c>
      <c r="AK2" s="1099">
        <v>378080</v>
      </c>
      <c r="AL2" s="1100">
        <v>408182</v>
      </c>
      <c r="AM2" s="857"/>
      <c r="AN2" s="857"/>
      <c r="AO2" s="480"/>
      <c r="AP2" s="480"/>
      <c r="AQ2" s="659"/>
      <c r="AR2" s="480"/>
      <c r="AS2" s="480"/>
      <c r="AT2" s="670"/>
      <c r="AU2" s="670"/>
      <c r="AV2" s="670"/>
    </row>
    <row r="3" spans="1:54" s="15" customFormat="1" ht="15">
      <c r="A3" s="93" t="s">
        <v>415</v>
      </c>
      <c r="B3" s="89" t="s">
        <v>74</v>
      </c>
      <c r="C3" s="90" t="s">
        <v>1</v>
      </c>
      <c r="D3" s="90" t="s">
        <v>1</v>
      </c>
      <c r="E3" s="90" t="s">
        <v>1</v>
      </c>
      <c r="F3" s="90" t="s">
        <v>1</v>
      </c>
      <c r="G3" s="90" t="s">
        <v>1</v>
      </c>
      <c r="H3" s="90" t="s">
        <v>1</v>
      </c>
      <c r="I3" s="90" t="s">
        <v>1</v>
      </c>
      <c r="J3" s="90" t="s">
        <v>1</v>
      </c>
      <c r="K3" s="90" t="s">
        <v>1</v>
      </c>
      <c r="L3" s="157">
        <v>111</v>
      </c>
      <c r="M3" s="157">
        <v>127.2</v>
      </c>
      <c r="N3" s="157">
        <v>119.1</v>
      </c>
      <c r="O3" s="157">
        <v>116.7</v>
      </c>
      <c r="P3" s="157">
        <v>120.4</v>
      </c>
      <c r="Q3" s="157">
        <v>121.1</v>
      </c>
      <c r="R3" s="157">
        <v>130.1</v>
      </c>
      <c r="S3" s="157">
        <v>135.4</v>
      </c>
      <c r="T3" s="157">
        <v>135.19999999999999</v>
      </c>
      <c r="U3" s="157">
        <v>101.6</v>
      </c>
      <c r="V3" s="157">
        <v>94.6</v>
      </c>
      <c r="W3" s="158">
        <v>114.4</v>
      </c>
      <c r="X3" s="158">
        <v>112.9</v>
      </c>
      <c r="Y3" s="158">
        <v>109.6</v>
      </c>
      <c r="Z3" s="158">
        <v>110.2</v>
      </c>
      <c r="AA3" s="158">
        <v>106.4</v>
      </c>
      <c r="AB3" s="159">
        <v>111.4</v>
      </c>
      <c r="AC3" s="160">
        <v>104.8</v>
      </c>
      <c r="AD3" s="159">
        <v>106.6</v>
      </c>
      <c r="AE3" s="159">
        <v>108.2</v>
      </c>
      <c r="AF3" s="158">
        <v>109.5</v>
      </c>
      <c r="AG3" s="809">
        <v>109</v>
      </c>
      <c r="AH3" s="815">
        <v>113.9</v>
      </c>
      <c r="AI3" s="780">
        <v>120.9</v>
      </c>
      <c r="AJ3" s="929">
        <v>119.5</v>
      </c>
      <c r="AK3" s="1101">
        <v>109.8</v>
      </c>
      <c r="AL3" s="1102">
        <v>115.1</v>
      </c>
      <c r="AM3" s="858"/>
      <c r="AN3" s="858"/>
      <c r="AO3" s="480"/>
      <c r="AP3" s="480"/>
      <c r="AQ3" s="10"/>
      <c r="AR3" s="480"/>
      <c r="AS3" s="480"/>
      <c r="AT3" s="319"/>
      <c r="AU3" s="319"/>
      <c r="AV3" s="319"/>
    </row>
    <row r="4" spans="1:54" s="15" customFormat="1" ht="27.75">
      <c r="A4" s="93" t="s">
        <v>416</v>
      </c>
      <c r="B4" s="89" t="s">
        <v>74</v>
      </c>
      <c r="C4" s="90" t="s">
        <v>1</v>
      </c>
      <c r="D4" s="90" t="s">
        <v>1</v>
      </c>
      <c r="E4" s="90" t="s">
        <v>1</v>
      </c>
      <c r="F4" s="90" t="s">
        <v>1</v>
      </c>
      <c r="G4" s="90" t="s">
        <v>1</v>
      </c>
      <c r="H4" s="90" t="s">
        <v>1</v>
      </c>
      <c r="I4" s="90" t="s">
        <v>1</v>
      </c>
      <c r="J4" s="90" t="s">
        <v>1</v>
      </c>
      <c r="K4" s="90" t="s">
        <v>1</v>
      </c>
      <c r="L4" s="157">
        <v>94.7</v>
      </c>
      <c r="M4" s="158">
        <v>116.6</v>
      </c>
      <c r="N4" s="158">
        <v>111.3</v>
      </c>
      <c r="O4" s="158">
        <v>107.7</v>
      </c>
      <c r="P4" s="158">
        <v>110.8</v>
      </c>
      <c r="Q4" s="158">
        <v>111.1</v>
      </c>
      <c r="R4" s="158">
        <v>116.1</v>
      </c>
      <c r="S4" s="158">
        <v>116.6</v>
      </c>
      <c r="T4" s="158">
        <v>110.8</v>
      </c>
      <c r="U4" s="158">
        <v>93.5</v>
      </c>
      <c r="V4" s="158">
        <v>88.1</v>
      </c>
      <c r="W4" s="158">
        <v>105.4</v>
      </c>
      <c r="X4" s="158">
        <v>107.5</v>
      </c>
      <c r="Y4" s="158">
        <v>103.5</v>
      </c>
      <c r="Z4" s="158">
        <v>103.8</v>
      </c>
      <c r="AA4" s="158">
        <v>100</v>
      </c>
      <c r="AB4" s="159">
        <v>96.6</v>
      </c>
      <c r="AC4" s="160">
        <v>97.9</v>
      </c>
      <c r="AD4" s="161">
        <v>100.5</v>
      </c>
      <c r="AE4" s="158">
        <v>103</v>
      </c>
      <c r="AF4" s="159">
        <v>102.6</v>
      </c>
      <c r="AG4" s="775">
        <v>101.3</v>
      </c>
      <c r="AH4" s="815">
        <v>99.2</v>
      </c>
      <c r="AI4" s="780">
        <v>105.6</v>
      </c>
      <c r="AJ4" s="931">
        <v>109.5</v>
      </c>
      <c r="AK4" s="938">
        <v>98.2</v>
      </c>
      <c r="AL4" s="40">
        <v>103.4</v>
      </c>
      <c r="AM4" s="859"/>
      <c r="AN4" s="859"/>
      <c r="AO4" s="480"/>
      <c r="AP4" s="480"/>
      <c r="AQ4" s="491"/>
      <c r="AR4" s="480"/>
      <c r="AS4" s="480"/>
      <c r="AT4" s="13"/>
      <c r="AU4" s="13"/>
      <c r="AV4" s="13"/>
    </row>
    <row r="5" spans="1:54" s="15" customFormat="1" ht="25.5">
      <c r="A5" s="93" t="s">
        <v>192</v>
      </c>
      <c r="B5" s="89" t="s">
        <v>74</v>
      </c>
      <c r="C5" s="90" t="s">
        <v>1</v>
      </c>
      <c r="D5" s="90" t="s">
        <v>1</v>
      </c>
      <c r="E5" s="90" t="s">
        <v>1</v>
      </c>
      <c r="F5" s="90" t="s">
        <v>1</v>
      </c>
      <c r="G5" s="90" t="s">
        <v>1</v>
      </c>
      <c r="H5" s="90" t="s">
        <v>1</v>
      </c>
      <c r="I5" s="90" t="s">
        <v>1</v>
      </c>
      <c r="J5" s="90" t="s">
        <v>1</v>
      </c>
      <c r="K5" s="90" t="s">
        <v>1</v>
      </c>
      <c r="L5" s="90"/>
      <c r="M5" s="90">
        <v>19.399999999999999</v>
      </c>
      <c r="N5" s="90">
        <v>13.1</v>
      </c>
      <c r="O5" s="90">
        <v>12.1</v>
      </c>
      <c r="P5" s="90">
        <v>12.6</v>
      </c>
      <c r="Q5" s="90">
        <v>10.6</v>
      </c>
      <c r="R5" s="90">
        <v>12.1</v>
      </c>
      <c r="S5" s="90">
        <v>8.5</v>
      </c>
      <c r="T5" s="90">
        <v>13.7</v>
      </c>
      <c r="U5" s="90">
        <v>3</v>
      </c>
      <c r="V5" s="90">
        <v>2.6</v>
      </c>
      <c r="W5" s="90">
        <v>2</v>
      </c>
      <c r="X5" s="90">
        <v>0.4</v>
      </c>
      <c r="Y5" s="90">
        <v>0.6</v>
      </c>
      <c r="Z5" s="90">
        <v>0.6</v>
      </c>
      <c r="AA5" s="90">
        <v>0.6</v>
      </c>
      <c r="AB5" s="40">
        <v>0.8</v>
      </c>
      <c r="AC5" s="163" t="s">
        <v>64</v>
      </c>
      <c r="AD5" s="54">
        <v>2.8</v>
      </c>
      <c r="AE5" s="40">
        <v>2.8</v>
      </c>
      <c r="AF5" s="40">
        <v>4.4000000000000004</v>
      </c>
      <c r="AG5" s="162">
        <v>5.2</v>
      </c>
      <c r="AH5" s="13">
        <v>4.8</v>
      </c>
      <c r="AI5" s="13">
        <v>5.0999999999999996</v>
      </c>
      <c r="AJ5" s="931">
        <v>4.5</v>
      </c>
      <c r="AK5" s="938">
        <v>4.3</v>
      </c>
      <c r="AL5" s="40">
        <v>4.0999999999999996</v>
      </c>
      <c r="AM5" s="860"/>
      <c r="AN5" s="860"/>
      <c r="AO5" s="480"/>
      <c r="AP5" s="480"/>
      <c r="AQ5" s="480"/>
      <c r="AR5" s="480"/>
      <c r="AS5" s="480"/>
      <c r="AT5" s="13"/>
      <c r="AU5" s="13"/>
      <c r="AV5" s="13"/>
    </row>
    <row r="6" spans="1:54" s="15" customFormat="1" ht="29.25" customHeight="1">
      <c r="A6" s="948" t="s">
        <v>522</v>
      </c>
      <c r="B6" s="949"/>
      <c r="C6" s="949"/>
      <c r="D6" s="949"/>
      <c r="E6" s="949"/>
      <c r="F6" s="949"/>
      <c r="G6" s="949"/>
      <c r="H6" s="949"/>
      <c r="I6" s="949"/>
      <c r="J6" s="949"/>
      <c r="K6" s="949"/>
      <c r="L6" s="949"/>
      <c r="M6" s="949"/>
      <c r="N6" s="949"/>
      <c r="O6" s="949"/>
      <c r="P6" s="949"/>
      <c r="Q6" s="949"/>
      <c r="R6" s="949"/>
      <c r="S6" s="949"/>
      <c r="T6" s="949"/>
      <c r="U6" s="949"/>
      <c r="V6" s="949"/>
      <c r="W6" s="949"/>
      <c r="X6" s="949"/>
      <c r="Y6" s="949"/>
      <c r="Z6" s="949"/>
      <c r="AA6" s="949"/>
      <c r="AB6" s="950"/>
      <c r="AC6" s="840"/>
      <c r="AD6" s="780"/>
      <c r="AE6" s="841"/>
      <c r="AF6" s="775"/>
      <c r="AG6" s="775"/>
      <c r="AH6" s="775"/>
      <c r="AI6" s="775"/>
      <c r="AJ6" s="775"/>
      <c r="AK6" s="937"/>
      <c r="AL6" s="812"/>
      <c r="AM6" s="834"/>
      <c r="AN6" s="812"/>
      <c r="AO6" s="834"/>
      <c r="AP6" s="834"/>
      <c r="AQ6" s="834"/>
      <c r="AR6" s="834"/>
      <c r="AS6" s="834"/>
      <c r="AT6" s="775"/>
      <c r="AU6" s="775"/>
      <c r="AV6" s="775"/>
    </row>
    <row r="7" spans="1:54" s="15" customFormat="1" ht="15">
      <c r="A7" s="842" t="s">
        <v>417</v>
      </c>
      <c r="B7" s="844"/>
      <c r="C7" s="809"/>
      <c r="D7" s="809"/>
      <c r="E7" s="809"/>
      <c r="F7" s="809"/>
      <c r="G7" s="809"/>
      <c r="H7" s="809"/>
      <c r="I7" s="809"/>
      <c r="J7" s="809"/>
      <c r="K7" s="809"/>
      <c r="L7" s="809"/>
      <c r="M7" s="809"/>
      <c r="N7" s="809"/>
      <c r="O7" s="809"/>
      <c r="P7" s="809"/>
      <c r="Q7" s="809"/>
      <c r="R7" s="809"/>
      <c r="S7" s="809"/>
      <c r="T7" s="809"/>
      <c r="U7" s="809"/>
      <c r="V7" s="809"/>
      <c r="W7" s="809"/>
      <c r="X7" s="809"/>
      <c r="Y7" s="809"/>
      <c r="Z7" s="809"/>
      <c r="AA7" s="839"/>
      <c r="AB7" s="775"/>
      <c r="AC7" s="840"/>
      <c r="AD7" s="780"/>
      <c r="AE7" s="841"/>
      <c r="AF7" s="775"/>
      <c r="AG7" s="775"/>
      <c r="AH7" s="775"/>
      <c r="AI7" s="775"/>
      <c r="AJ7" s="775"/>
      <c r="AK7" s="775"/>
      <c r="AL7" s="812"/>
      <c r="AM7" s="834"/>
      <c r="AN7" s="812"/>
      <c r="AO7" s="834"/>
      <c r="AP7" s="834"/>
      <c r="AQ7" s="834"/>
      <c r="AR7" s="834"/>
      <c r="AS7" s="834"/>
      <c r="AT7" s="775"/>
      <c r="AU7" s="775"/>
      <c r="AV7" s="775"/>
    </row>
    <row r="8" spans="1:54" s="15" customFormat="1">
      <c r="A8" s="843"/>
      <c r="B8" s="844"/>
      <c r="C8" s="809"/>
      <c r="D8" s="809"/>
      <c r="E8" s="809"/>
      <c r="F8" s="809"/>
      <c r="G8" s="809"/>
      <c r="H8" s="809"/>
      <c r="I8" s="809"/>
      <c r="J8" s="809"/>
      <c r="K8" s="809"/>
      <c r="L8" s="809"/>
      <c r="M8" s="809"/>
      <c r="N8" s="809"/>
      <c r="O8" s="809"/>
      <c r="P8" s="809"/>
      <c r="Q8" s="809"/>
      <c r="R8" s="809"/>
      <c r="S8" s="809"/>
      <c r="T8" s="809"/>
      <c r="U8" s="809"/>
      <c r="V8" s="809"/>
      <c r="W8" s="809"/>
      <c r="X8" s="809"/>
      <c r="Y8" s="809"/>
      <c r="Z8" s="809"/>
      <c r="AA8" s="839"/>
      <c r="AB8" s="775"/>
      <c r="AC8" s="840"/>
      <c r="AD8" s="780"/>
      <c r="AE8" s="841"/>
      <c r="AF8" s="775"/>
      <c r="AG8" s="775"/>
      <c r="AH8" s="775"/>
      <c r="AI8" s="775"/>
      <c r="AJ8" s="775"/>
      <c r="AK8" s="775"/>
      <c r="AL8" s="812"/>
      <c r="AM8" s="834"/>
      <c r="AN8" s="812"/>
      <c r="AO8" s="834"/>
      <c r="AP8" s="834"/>
      <c r="AQ8" s="834"/>
      <c r="AR8" s="834"/>
      <c r="AS8" s="834"/>
      <c r="AT8" s="775"/>
      <c r="AU8" s="775"/>
      <c r="AV8" s="775"/>
    </row>
    <row r="9" spans="1:54" s="15" customFormat="1" ht="38.25">
      <c r="A9" s="146" t="s">
        <v>131</v>
      </c>
      <c r="B9" s="147" t="s">
        <v>193</v>
      </c>
      <c r="C9" s="148">
        <v>1991</v>
      </c>
      <c r="D9" s="148">
        <v>1992</v>
      </c>
      <c r="E9" s="148">
        <v>1993</v>
      </c>
      <c r="F9" s="148">
        <v>1994</v>
      </c>
      <c r="G9" s="148">
        <v>1995</v>
      </c>
      <c r="H9" s="148">
        <v>1996</v>
      </c>
      <c r="I9" s="148">
        <v>1997</v>
      </c>
      <c r="J9" s="148">
        <v>1998</v>
      </c>
      <c r="K9" s="148">
        <v>1999</v>
      </c>
      <c r="L9" s="148">
        <v>2000</v>
      </c>
      <c r="M9" s="148">
        <v>2001</v>
      </c>
      <c r="N9" s="148">
        <v>2002</v>
      </c>
      <c r="O9" s="148">
        <v>2003</v>
      </c>
      <c r="P9" s="148">
        <v>2004</v>
      </c>
      <c r="Q9" s="148">
        <v>2005</v>
      </c>
      <c r="R9" s="148">
        <v>2006</v>
      </c>
      <c r="S9" s="148">
        <v>2007</v>
      </c>
      <c r="T9" s="148">
        <v>2008</v>
      </c>
      <c r="U9" s="148">
        <v>2009</v>
      </c>
      <c r="V9" s="148">
        <v>2010</v>
      </c>
      <c r="W9" s="148">
        <v>2011</v>
      </c>
      <c r="X9" s="148">
        <v>2012</v>
      </c>
      <c r="Y9" s="148">
        <v>2013</v>
      </c>
      <c r="Z9" s="148">
        <v>2014</v>
      </c>
      <c r="AA9" s="149">
        <v>2015</v>
      </c>
      <c r="AB9" s="149">
        <v>2016</v>
      </c>
      <c r="AC9" s="149">
        <v>2017</v>
      </c>
      <c r="AD9" s="148">
        <v>2018</v>
      </c>
      <c r="AE9" s="150">
        <v>2019</v>
      </c>
      <c r="AF9" s="150">
        <v>2020</v>
      </c>
      <c r="AG9" s="151">
        <v>2021</v>
      </c>
      <c r="AH9" s="680">
        <v>2022</v>
      </c>
      <c r="AI9" s="680">
        <v>2023</v>
      </c>
      <c r="AJ9" s="680">
        <v>2024</v>
      </c>
      <c r="AK9" s="845" t="s">
        <v>504</v>
      </c>
      <c r="AL9" s="934" t="s">
        <v>505</v>
      </c>
      <c r="AM9" s="934" t="s">
        <v>520</v>
      </c>
      <c r="AN9" s="680"/>
      <c r="AO9" s="680"/>
      <c r="AP9" s="680"/>
      <c r="AQ9" s="680"/>
      <c r="AR9" s="680"/>
      <c r="AS9" s="680"/>
      <c r="AT9" s="680"/>
      <c r="AU9" s="845"/>
      <c r="AW9" s="11"/>
      <c r="AX9" s="11"/>
      <c r="AY9" s="11"/>
      <c r="AZ9" s="11"/>
      <c r="BA9" s="11"/>
      <c r="BB9" s="48"/>
    </row>
    <row r="10" spans="1:54" s="15" customFormat="1">
      <c r="B10" s="166" t="s">
        <v>130</v>
      </c>
      <c r="C10" s="90" t="s">
        <v>1</v>
      </c>
      <c r="D10" s="90" t="s">
        <v>1</v>
      </c>
      <c r="E10" s="90" t="s">
        <v>1</v>
      </c>
      <c r="F10" s="90" t="s">
        <v>1</v>
      </c>
      <c r="G10" s="90" t="s">
        <v>1</v>
      </c>
      <c r="H10" s="90" t="s">
        <v>1</v>
      </c>
      <c r="I10" s="95">
        <v>4055</v>
      </c>
      <c r="J10" s="95">
        <v>4457</v>
      </c>
      <c r="K10" s="95">
        <v>4108</v>
      </c>
      <c r="L10" s="95">
        <v>4552</v>
      </c>
      <c r="M10" s="95">
        <v>4977</v>
      </c>
      <c r="N10" s="95">
        <v>5212</v>
      </c>
      <c r="O10" s="95">
        <v>5727</v>
      </c>
      <c r="P10" s="95">
        <v>6035</v>
      </c>
      <c r="Q10" s="95">
        <v>6647</v>
      </c>
      <c r="R10" s="95">
        <v>10089</v>
      </c>
      <c r="S10" s="95">
        <v>12283</v>
      </c>
      <c r="T10" s="95">
        <v>15786</v>
      </c>
      <c r="U10" s="95">
        <v>15557</v>
      </c>
      <c r="V10" s="95">
        <v>16233</v>
      </c>
      <c r="W10" s="95">
        <v>18638</v>
      </c>
      <c r="X10" s="95">
        <v>19283</v>
      </c>
      <c r="Y10" s="95">
        <v>19969</v>
      </c>
      <c r="Z10" s="95">
        <v>21242</v>
      </c>
      <c r="AA10" s="105">
        <v>22283</v>
      </c>
      <c r="AB10" s="95">
        <v>24225</v>
      </c>
      <c r="AC10" s="105">
        <v>26544</v>
      </c>
      <c r="AD10" s="478" t="s">
        <v>459</v>
      </c>
      <c r="AE10" s="167">
        <v>32993</v>
      </c>
      <c r="AF10" s="168">
        <v>35798</v>
      </c>
      <c r="AG10" s="479">
        <v>39347</v>
      </c>
      <c r="AH10" s="479">
        <v>46636</v>
      </c>
      <c r="AI10" s="479">
        <v>50165</v>
      </c>
      <c r="AJ10" s="362">
        <v>53400</v>
      </c>
      <c r="AK10" s="829">
        <v>60378</v>
      </c>
      <c r="AL10" s="935">
        <v>71515</v>
      </c>
      <c r="AM10" s="935">
        <v>75203</v>
      </c>
      <c r="AN10" s="362"/>
      <c r="AO10" s="362"/>
      <c r="AP10" s="766"/>
      <c r="AQ10" s="766"/>
      <c r="AR10" s="813"/>
      <c r="AS10" s="829"/>
      <c r="AT10" s="813"/>
      <c r="AU10" s="829"/>
    </row>
    <row r="11" spans="1:54" s="11" customFormat="1" ht="21.75" customHeight="1">
      <c r="B11" s="671"/>
      <c r="C11" s="671"/>
      <c r="D11" s="671"/>
      <c r="E11" s="671"/>
      <c r="F11" s="671"/>
      <c r="G11" s="671"/>
      <c r="H11" s="671"/>
      <c r="I11" s="671"/>
      <c r="J11" s="671"/>
      <c r="K11" s="671"/>
      <c r="L11" s="671"/>
      <c r="M11" s="671"/>
      <c r="N11" s="671"/>
      <c r="O11" s="671"/>
      <c r="P11" s="671"/>
      <c r="Q11" s="671"/>
      <c r="R11" s="671"/>
      <c r="S11" s="671"/>
      <c r="T11" s="671"/>
      <c r="U11" s="671"/>
      <c r="V11" s="671"/>
      <c r="W11" s="671"/>
      <c r="X11" s="671"/>
      <c r="Y11" s="671"/>
      <c r="Z11" s="671"/>
      <c r="AA11" s="671"/>
      <c r="AB11" s="672"/>
      <c r="AC11" s="673"/>
      <c r="AD11" s="674"/>
      <c r="AE11" s="675"/>
      <c r="AF11" s="675"/>
      <c r="AG11" s="676"/>
      <c r="AH11" s="676"/>
      <c r="AI11" s="164"/>
      <c r="AJ11" s="676"/>
      <c r="AK11" s="164"/>
      <c r="AM11" s="164"/>
      <c r="AN11" s="164"/>
      <c r="AO11" s="164"/>
      <c r="AP11" s="165"/>
      <c r="AQ11" s="165"/>
      <c r="AR11" s="44"/>
      <c r="AS11" s="44"/>
      <c r="AT11" s="677"/>
      <c r="AU11" s="813"/>
      <c r="AV11" s="813"/>
    </row>
    <row r="12" spans="1:54" s="87" customFormat="1" ht="38.25">
      <c r="A12" s="174" t="s">
        <v>194</v>
      </c>
      <c r="B12" s="175" t="s">
        <v>200</v>
      </c>
      <c r="C12" s="176">
        <v>1991</v>
      </c>
      <c r="D12" s="176">
        <v>1992</v>
      </c>
      <c r="E12" s="176">
        <v>1993</v>
      </c>
      <c r="F12" s="176">
        <v>1994</v>
      </c>
      <c r="G12" s="176">
        <v>1995</v>
      </c>
      <c r="H12" s="176">
        <v>1996</v>
      </c>
      <c r="I12" s="176">
        <v>1997</v>
      </c>
      <c r="J12" s="176">
        <v>1998</v>
      </c>
      <c r="K12" s="176">
        <v>1999</v>
      </c>
      <c r="L12" s="176">
        <v>2000</v>
      </c>
      <c r="M12" s="176">
        <v>2001</v>
      </c>
      <c r="N12" s="176">
        <v>2002</v>
      </c>
      <c r="O12" s="176">
        <v>2003</v>
      </c>
      <c r="P12" s="176">
        <v>2004</v>
      </c>
      <c r="Q12" s="176">
        <v>2005</v>
      </c>
      <c r="R12" s="176">
        <v>2006</v>
      </c>
      <c r="S12" s="176">
        <v>2007</v>
      </c>
      <c r="T12" s="176">
        <v>2008</v>
      </c>
      <c r="U12" s="176">
        <v>2009</v>
      </c>
      <c r="V12" s="176">
        <v>2010</v>
      </c>
      <c r="W12" s="176">
        <v>2011</v>
      </c>
      <c r="X12" s="176">
        <v>2012</v>
      </c>
      <c r="Y12" s="176">
        <v>2013</v>
      </c>
      <c r="Z12" s="176">
        <v>2014</v>
      </c>
      <c r="AA12" s="176">
        <v>2015</v>
      </c>
      <c r="AB12" s="176">
        <v>2016</v>
      </c>
      <c r="AC12" s="176">
        <v>2017</v>
      </c>
      <c r="AD12" s="176">
        <v>2018</v>
      </c>
      <c r="AE12" s="176">
        <v>2019</v>
      </c>
      <c r="AF12" s="177">
        <v>2020</v>
      </c>
      <c r="AG12" s="177">
        <v>2021</v>
      </c>
      <c r="AH12" s="178">
        <v>2022</v>
      </c>
      <c r="AI12" s="179">
        <v>2023</v>
      </c>
      <c r="AJ12" s="681">
        <v>2024</v>
      </c>
      <c r="AK12" s="180">
        <v>2025</v>
      </c>
      <c r="AL12" s="180" t="s">
        <v>493</v>
      </c>
      <c r="AM12" s="180" t="s">
        <v>539</v>
      </c>
      <c r="AN12" s="832"/>
      <c r="AO12" s="180"/>
      <c r="AP12" s="180"/>
      <c r="AQ12" s="180"/>
      <c r="AR12" s="180"/>
      <c r="AS12" s="180"/>
      <c r="AT12" s="180"/>
      <c r="AU12" s="180"/>
      <c r="AV12" s="180"/>
      <c r="AW12" s="181"/>
      <c r="AX12" s="181"/>
      <c r="AY12" s="181"/>
      <c r="AZ12" s="181"/>
      <c r="BA12" s="181"/>
      <c r="BB12" s="181"/>
    </row>
    <row r="13" spans="1:54" s="11" customFormat="1">
      <c r="A13" s="182" t="s">
        <v>195</v>
      </c>
      <c r="B13" s="183" t="s">
        <v>203</v>
      </c>
      <c r="C13" s="184">
        <v>596.20000000000005</v>
      </c>
      <c r="D13" s="184">
        <v>573</v>
      </c>
      <c r="E13" s="184">
        <v>531.1</v>
      </c>
      <c r="F13" s="184">
        <v>557.79999999999995</v>
      </c>
      <c r="G13" s="184">
        <v>655.8</v>
      </c>
      <c r="H13" s="184">
        <v>670.8</v>
      </c>
      <c r="I13" s="184">
        <v>616.5</v>
      </c>
      <c r="J13" s="184">
        <v>635.1</v>
      </c>
      <c r="K13" s="184">
        <v>651.1</v>
      </c>
      <c r="L13" s="184">
        <v>624.9</v>
      </c>
      <c r="M13" s="184">
        <v>556</v>
      </c>
      <c r="N13" s="184">
        <v>563.29999999999995</v>
      </c>
      <c r="O13" s="184">
        <v>577.29999999999995</v>
      </c>
      <c r="P13" s="184">
        <v>602</v>
      </c>
      <c r="Q13" s="184">
        <v>619.1</v>
      </c>
      <c r="R13" s="184">
        <v>643.4</v>
      </c>
      <c r="S13" s="184">
        <v>677.3</v>
      </c>
      <c r="T13" s="184">
        <v>705.5</v>
      </c>
      <c r="U13" s="184">
        <v>706.8</v>
      </c>
      <c r="V13" s="184">
        <v>722.4</v>
      </c>
      <c r="W13" s="184">
        <v>740.9</v>
      </c>
      <c r="X13" s="184">
        <v>774.7</v>
      </c>
      <c r="Y13" s="184">
        <v>787.5</v>
      </c>
      <c r="Z13" s="184">
        <v>809.2</v>
      </c>
      <c r="AA13" s="184">
        <v>885.1</v>
      </c>
      <c r="AB13" s="184">
        <v>916.3</v>
      </c>
      <c r="AC13" s="184">
        <v>939.2</v>
      </c>
      <c r="AD13" s="185">
        <v>961.7</v>
      </c>
      <c r="AE13" s="164">
        <v>986.6</v>
      </c>
      <c r="AF13" s="186">
        <v>1011.5</v>
      </c>
      <c r="AG13" s="187">
        <v>1036.3</v>
      </c>
      <c r="AH13" s="188">
        <v>1051</v>
      </c>
      <c r="AI13" s="189">
        <v>1098</v>
      </c>
      <c r="AJ13" s="682">
        <v>1135.0999999999999</v>
      </c>
      <c r="AK13" s="191">
        <v>1173.5999999999999</v>
      </c>
      <c r="AL13" s="907">
        <v>1216.2</v>
      </c>
      <c r="AM13" s="6">
        <v>1217.5</v>
      </c>
      <c r="AN13" s="833"/>
      <c r="AO13" s="192"/>
      <c r="AP13" s="193"/>
      <c r="AQ13" s="194"/>
      <c r="AR13" s="192"/>
      <c r="AS13" s="195"/>
      <c r="AT13" s="195"/>
      <c r="AU13" s="195"/>
      <c r="AV13" s="195"/>
      <c r="AY13" s="197"/>
    </row>
    <row r="14" spans="1:54" s="11" customFormat="1">
      <c r="A14" s="182" t="s">
        <v>102</v>
      </c>
      <c r="B14" s="198" t="s">
        <v>74</v>
      </c>
      <c r="C14" s="184"/>
      <c r="D14" s="184">
        <v>96.1</v>
      </c>
      <c r="E14" s="184">
        <v>92.7</v>
      </c>
      <c r="F14" s="184">
        <v>105</v>
      </c>
      <c r="G14" s="184">
        <v>117.6</v>
      </c>
      <c r="H14" s="184">
        <v>102.3</v>
      </c>
      <c r="I14" s="184">
        <v>91.9</v>
      </c>
      <c r="J14" s="184">
        <v>103</v>
      </c>
      <c r="K14" s="184">
        <v>102.5</v>
      </c>
      <c r="L14" s="184">
        <v>96</v>
      </c>
      <c r="M14" s="184">
        <v>89</v>
      </c>
      <c r="N14" s="184">
        <v>101.3</v>
      </c>
      <c r="O14" s="184">
        <v>102.2</v>
      </c>
      <c r="P14" s="184">
        <v>104.3</v>
      </c>
      <c r="Q14" s="184">
        <v>102.8</v>
      </c>
      <c r="R14" s="184">
        <v>103.9</v>
      </c>
      <c r="S14" s="184">
        <v>105.3</v>
      </c>
      <c r="T14" s="184">
        <v>104.2</v>
      </c>
      <c r="U14" s="184">
        <v>100.2</v>
      </c>
      <c r="V14" s="184">
        <v>102.2</v>
      </c>
      <c r="W14" s="184">
        <v>102.6</v>
      </c>
      <c r="X14" s="184">
        <v>104.5</v>
      </c>
      <c r="Y14" s="184">
        <v>101.7</v>
      </c>
      <c r="Z14" s="184">
        <v>102.7</v>
      </c>
      <c r="AA14" s="184">
        <v>109.4</v>
      </c>
      <c r="AB14" s="184">
        <v>103.5</v>
      </c>
      <c r="AC14" s="184">
        <v>102.5</v>
      </c>
      <c r="AD14" s="185">
        <v>102.4</v>
      </c>
      <c r="AE14" s="164">
        <v>102.6</v>
      </c>
      <c r="AF14" s="185">
        <v>102.5</v>
      </c>
      <c r="AG14" s="185">
        <v>102.4</v>
      </c>
      <c r="AH14" s="199">
        <v>101.4</v>
      </c>
      <c r="AI14" s="200">
        <v>104.5</v>
      </c>
      <c r="AJ14" s="477">
        <v>103.4</v>
      </c>
      <c r="AK14" s="13">
        <v>103.4</v>
      </c>
      <c r="AL14" s="938">
        <v>103.4</v>
      </c>
      <c r="AM14" s="4">
        <v>103.7</v>
      </c>
      <c r="AN14" s="834"/>
      <c r="AO14" s="201"/>
      <c r="AP14" s="202"/>
      <c r="AQ14" s="201"/>
      <c r="AR14" s="201"/>
      <c r="AS14" s="203"/>
      <c r="AT14" s="203"/>
      <c r="AU14" s="203"/>
      <c r="AV14" s="203"/>
    </row>
    <row r="15" spans="1:54" s="11" customFormat="1">
      <c r="A15" s="182" t="s">
        <v>194</v>
      </c>
      <c r="B15" s="183" t="s">
        <v>203</v>
      </c>
      <c r="C15" s="184">
        <v>596.20000000000005</v>
      </c>
      <c r="D15" s="184">
        <v>573</v>
      </c>
      <c r="E15" s="184">
        <v>476.9</v>
      </c>
      <c r="F15" s="184">
        <v>511.7</v>
      </c>
      <c r="G15" s="184">
        <v>587.4</v>
      </c>
      <c r="H15" s="184">
        <v>589.29999999999995</v>
      </c>
      <c r="I15" s="184">
        <v>533.29999999999995</v>
      </c>
      <c r="J15" s="184">
        <v>546.9</v>
      </c>
      <c r="K15" s="184">
        <v>560.20000000000005</v>
      </c>
      <c r="L15" s="184">
        <v>549.4</v>
      </c>
      <c r="M15" s="184">
        <v>496.1</v>
      </c>
      <c r="N15" s="184">
        <v>509.3</v>
      </c>
      <c r="O15" s="184">
        <v>525.70000000000005</v>
      </c>
      <c r="P15" s="184">
        <v>549.29999999999995</v>
      </c>
      <c r="Q15" s="184">
        <v>566.9</v>
      </c>
      <c r="R15" s="184">
        <v>590.5</v>
      </c>
      <c r="S15" s="184">
        <v>624.29999999999995</v>
      </c>
      <c r="T15" s="184">
        <v>653.6</v>
      </c>
      <c r="U15" s="184">
        <v>652.20000000000005</v>
      </c>
      <c r="V15" s="184">
        <v>676.9</v>
      </c>
      <c r="W15" s="184">
        <v>699.2</v>
      </c>
      <c r="X15" s="184">
        <v>731</v>
      </c>
      <c r="Y15" s="184">
        <v>743.1</v>
      </c>
      <c r="Z15" s="184">
        <v>764.4</v>
      </c>
      <c r="AA15" s="184">
        <v>838.5</v>
      </c>
      <c r="AB15" s="184">
        <v>867.9</v>
      </c>
      <c r="AC15" s="184">
        <v>889.6</v>
      </c>
      <c r="AD15" s="185">
        <v>911.9</v>
      </c>
      <c r="AE15" s="164">
        <v>936.5</v>
      </c>
      <c r="AF15" s="185">
        <v>959.3</v>
      </c>
      <c r="AG15" s="185">
        <v>982.8</v>
      </c>
      <c r="AH15" s="199">
        <v>998</v>
      </c>
      <c r="AI15" s="200">
        <v>1045.5</v>
      </c>
      <c r="AJ15" s="477">
        <v>1083</v>
      </c>
      <c r="AK15" s="191">
        <v>1121</v>
      </c>
      <c r="AL15" s="907">
        <v>1163</v>
      </c>
      <c r="AM15" s="6">
        <v>1164</v>
      </c>
      <c r="AN15" s="833"/>
      <c r="AO15" s="201"/>
      <c r="AP15" s="193"/>
      <c r="AQ15" s="201"/>
      <c r="AR15" s="201"/>
      <c r="AS15" s="195"/>
      <c r="AT15" s="195"/>
      <c r="AU15" s="195"/>
      <c r="AV15" s="195"/>
      <c r="AY15" s="197"/>
    </row>
    <row r="16" spans="1:54" s="11" customFormat="1">
      <c r="A16" s="182" t="s">
        <v>102</v>
      </c>
      <c r="B16" s="198" t="s">
        <v>74</v>
      </c>
      <c r="C16" s="184"/>
      <c r="D16" s="184">
        <v>96.1</v>
      </c>
      <c r="E16" s="184">
        <v>83.2</v>
      </c>
      <c r="F16" s="184">
        <v>107.3</v>
      </c>
      <c r="G16" s="184">
        <v>114.8</v>
      </c>
      <c r="H16" s="184">
        <v>100.3</v>
      </c>
      <c r="I16" s="184">
        <v>90.5</v>
      </c>
      <c r="J16" s="184">
        <v>102.6</v>
      </c>
      <c r="K16" s="184">
        <v>102.4</v>
      </c>
      <c r="L16" s="184">
        <v>98.1</v>
      </c>
      <c r="M16" s="184">
        <v>90.3</v>
      </c>
      <c r="N16" s="184">
        <v>102.7</v>
      </c>
      <c r="O16" s="184">
        <v>103.2</v>
      </c>
      <c r="P16" s="184">
        <v>104.5</v>
      </c>
      <c r="Q16" s="184">
        <v>103.2</v>
      </c>
      <c r="R16" s="184">
        <v>104.2</v>
      </c>
      <c r="S16" s="184">
        <v>105.7</v>
      </c>
      <c r="T16" s="184">
        <v>104.7</v>
      </c>
      <c r="U16" s="184">
        <v>99.8</v>
      </c>
      <c r="V16" s="184">
        <v>103.8</v>
      </c>
      <c r="W16" s="184">
        <v>103.3</v>
      </c>
      <c r="X16" s="184">
        <v>104.5</v>
      </c>
      <c r="Y16" s="184">
        <v>101.7</v>
      </c>
      <c r="Z16" s="184">
        <v>102.9</v>
      </c>
      <c r="AA16" s="184">
        <v>109.7</v>
      </c>
      <c r="AB16" s="184">
        <v>103.5</v>
      </c>
      <c r="AC16" s="184">
        <v>102.5</v>
      </c>
      <c r="AD16" s="185">
        <v>102.5</v>
      </c>
      <c r="AE16" s="164">
        <v>102.7</v>
      </c>
      <c r="AF16" s="185">
        <v>102.4</v>
      </c>
      <c r="AG16" s="204">
        <v>102.4</v>
      </c>
      <c r="AH16" s="199">
        <v>101.5</v>
      </c>
      <c r="AI16" s="200">
        <v>104.8</v>
      </c>
      <c r="AJ16" s="477">
        <v>103.6</v>
      </c>
      <c r="AK16" s="13">
        <v>103.5</v>
      </c>
      <c r="AL16" s="938">
        <v>103.9</v>
      </c>
      <c r="AM16" s="4">
        <v>103.7</v>
      </c>
      <c r="AN16" s="834"/>
      <c r="AO16" s="201"/>
      <c r="AP16" s="202"/>
      <c r="AQ16" s="205"/>
      <c r="AR16" s="201"/>
      <c r="AS16" s="203"/>
      <c r="AT16" s="203"/>
      <c r="AU16" s="203"/>
      <c r="AV16" s="203"/>
    </row>
    <row r="17" spans="1:51" s="11" customFormat="1">
      <c r="A17" s="182" t="s">
        <v>196</v>
      </c>
      <c r="B17" s="183" t="s">
        <v>203</v>
      </c>
      <c r="C17" s="184" t="s">
        <v>1</v>
      </c>
      <c r="D17" s="184" t="s">
        <v>1</v>
      </c>
      <c r="E17" s="184" t="s">
        <v>1</v>
      </c>
      <c r="F17" s="184">
        <v>487.9</v>
      </c>
      <c r="G17" s="184">
        <v>450.6</v>
      </c>
      <c r="H17" s="184">
        <v>409.4</v>
      </c>
      <c r="I17" s="184">
        <v>398.4</v>
      </c>
      <c r="J17" s="184">
        <v>376.7</v>
      </c>
      <c r="K17" s="184">
        <v>374.5</v>
      </c>
      <c r="L17" s="184">
        <v>373.2</v>
      </c>
      <c r="M17" s="184">
        <v>388.7</v>
      </c>
      <c r="N17" s="184">
        <v>406.3</v>
      </c>
      <c r="O17" s="184">
        <v>428.8</v>
      </c>
      <c r="P17" s="184">
        <v>454.5</v>
      </c>
      <c r="Q17" s="184">
        <v>520.9</v>
      </c>
      <c r="R17" s="184">
        <v>546.79999999999995</v>
      </c>
      <c r="S17" s="184">
        <v>580.20000000000005</v>
      </c>
      <c r="T17" s="184">
        <v>607.29999999999995</v>
      </c>
      <c r="U17" s="184">
        <v>606.29999999999995</v>
      </c>
      <c r="V17" s="184">
        <v>620.20000000000005</v>
      </c>
      <c r="W17" s="184">
        <v>638.1</v>
      </c>
      <c r="X17" s="184">
        <v>671.5</v>
      </c>
      <c r="Y17" s="184">
        <v>683.5</v>
      </c>
      <c r="Z17" s="184">
        <v>704.3</v>
      </c>
      <c r="AA17" s="184">
        <v>771.9</v>
      </c>
      <c r="AB17" s="184">
        <v>803.5</v>
      </c>
      <c r="AC17" s="184">
        <v>821.7</v>
      </c>
      <c r="AD17" s="185">
        <v>841.2</v>
      </c>
      <c r="AE17" s="164">
        <v>864.3</v>
      </c>
      <c r="AF17" s="185">
        <v>877.6</v>
      </c>
      <c r="AG17" s="206">
        <v>886.8</v>
      </c>
      <c r="AH17" s="199">
        <v>885.6</v>
      </c>
      <c r="AI17" s="200">
        <v>921.7</v>
      </c>
      <c r="AJ17" s="477">
        <v>953.7</v>
      </c>
      <c r="AK17" s="13">
        <v>985.5</v>
      </c>
      <c r="AL17" s="938">
        <v>1024.7</v>
      </c>
      <c r="AM17" s="4">
        <v>1025.3</v>
      </c>
      <c r="AN17" s="834"/>
      <c r="AO17" s="201"/>
      <c r="AP17" s="202"/>
      <c r="AQ17" s="207"/>
      <c r="AR17" s="201"/>
      <c r="AS17" s="203"/>
      <c r="AT17" s="203"/>
      <c r="AU17" s="203"/>
      <c r="AV17" s="203"/>
    </row>
    <row r="18" spans="1:51" s="11" customFormat="1">
      <c r="A18" s="182" t="s">
        <v>102</v>
      </c>
      <c r="B18" s="198" t="s">
        <v>74</v>
      </c>
      <c r="C18" s="184" t="s">
        <v>1</v>
      </c>
      <c r="D18" s="184" t="s">
        <v>1</v>
      </c>
      <c r="E18" s="184" t="s">
        <v>1</v>
      </c>
      <c r="F18" s="184" t="s">
        <v>1</v>
      </c>
      <c r="G18" s="184">
        <v>92.4</v>
      </c>
      <c r="H18" s="184">
        <v>90.9</v>
      </c>
      <c r="I18" s="184">
        <v>97.3</v>
      </c>
      <c r="J18" s="184">
        <v>94.6</v>
      </c>
      <c r="K18" s="184">
        <v>99.4</v>
      </c>
      <c r="L18" s="184">
        <v>99.7</v>
      </c>
      <c r="M18" s="184">
        <v>104.2</v>
      </c>
      <c r="N18" s="184">
        <v>104.5</v>
      </c>
      <c r="O18" s="184">
        <v>105.4</v>
      </c>
      <c r="P18" s="184">
        <v>106</v>
      </c>
      <c r="Q18" s="184">
        <v>114.6</v>
      </c>
      <c r="R18" s="184">
        <v>105</v>
      </c>
      <c r="S18" s="184">
        <v>106.1</v>
      </c>
      <c r="T18" s="184">
        <v>104.7</v>
      </c>
      <c r="U18" s="184">
        <v>99.8</v>
      </c>
      <c r="V18" s="184">
        <v>102.3</v>
      </c>
      <c r="W18" s="184">
        <v>102.9</v>
      </c>
      <c r="X18" s="184">
        <v>105.2</v>
      </c>
      <c r="Y18" s="184">
        <v>101.8</v>
      </c>
      <c r="Z18" s="184">
        <v>103.1</v>
      </c>
      <c r="AA18" s="184">
        <v>109.6</v>
      </c>
      <c r="AB18" s="184">
        <v>104.1</v>
      </c>
      <c r="AC18" s="184">
        <v>102.3</v>
      </c>
      <c r="AD18" s="185">
        <v>102.4</v>
      </c>
      <c r="AE18" s="164">
        <v>102.7</v>
      </c>
      <c r="AF18" s="185">
        <v>101.6</v>
      </c>
      <c r="AG18" s="185">
        <v>101</v>
      </c>
      <c r="AH18" s="199">
        <v>99.9</v>
      </c>
      <c r="AI18" s="200">
        <v>104.1</v>
      </c>
      <c r="AJ18" s="477">
        <v>103.5</v>
      </c>
      <c r="AK18" s="13">
        <v>103.3</v>
      </c>
      <c r="AL18" s="938">
        <v>104</v>
      </c>
      <c r="AM18" s="3">
        <v>104</v>
      </c>
      <c r="AN18" s="834"/>
      <c r="AO18" s="201"/>
      <c r="AP18" s="202"/>
      <c r="AQ18" s="201"/>
      <c r="AR18" s="201"/>
      <c r="AS18" s="203"/>
      <c r="AT18" s="203"/>
      <c r="AU18" s="203"/>
      <c r="AV18" s="203"/>
    </row>
    <row r="19" spans="1:51" s="11" customFormat="1" ht="15">
      <c r="A19" s="209" t="s">
        <v>418</v>
      </c>
      <c r="B19" s="183" t="s">
        <v>203</v>
      </c>
      <c r="C19" s="184" t="s">
        <v>1</v>
      </c>
      <c r="D19" s="184" t="s">
        <v>1</v>
      </c>
      <c r="E19" s="184" t="s">
        <v>1</v>
      </c>
      <c r="F19" s="184">
        <v>23.8</v>
      </c>
      <c r="G19" s="184">
        <v>136.80000000000001</v>
      </c>
      <c r="H19" s="184">
        <v>179.9</v>
      </c>
      <c r="I19" s="184">
        <v>134.9</v>
      </c>
      <c r="J19" s="184">
        <v>170.2</v>
      </c>
      <c r="K19" s="184">
        <v>185.7</v>
      </c>
      <c r="L19" s="184">
        <v>176.2</v>
      </c>
      <c r="M19" s="184">
        <v>107.4</v>
      </c>
      <c r="N19" s="184">
        <v>103</v>
      </c>
      <c r="O19" s="184">
        <v>96.9</v>
      </c>
      <c r="P19" s="184">
        <v>94.8</v>
      </c>
      <c r="Q19" s="184">
        <v>46</v>
      </c>
      <c r="R19" s="184">
        <v>43.7</v>
      </c>
      <c r="S19" s="184">
        <v>44.1</v>
      </c>
      <c r="T19" s="184">
        <v>46.4</v>
      </c>
      <c r="U19" s="184">
        <v>45.9</v>
      </c>
      <c r="V19" s="184">
        <v>56.7</v>
      </c>
      <c r="W19" s="184">
        <v>61.1</v>
      </c>
      <c r="X19" s="184">
        <v>59.5</v>
      </c>
      <c r="Y19" s="184">
        <v>59.6</v>
      </c>
      <c r="Z19" s="184">
        <v>60.2</v>
      </c>
      <c r="AA19" s="184">
        <v>66.599999999999994</v>
      </c>
      <c r="AB19" s="184">
        <v>64.400000000000006</v>
      </c>
      <c r="AC19" s="184">
        <v>67.900000000000006</v>
      </c>
      <c r="AD19" s="185">
        <v>70.7</v>
      </c>
      <c r="AE19" s="164">
        <v>72.3</v>
      </c>
      <c r="AF19" s="185">
        <v>81.7</v>
      </c>
      <c r="AG19" s="206">
        <v>95.9</v>
      </c>
      <c r="AH19" s="199">
        <v>112.4</v>
      </c>
      <c r="AI19" s="200">
        <v>123.8</v>
      </c>
      <c r="AJ19" s="477">
        <v>129.4</v>
      </c>
      <c r="AK19" s="477">
        <v>135.4</v>
      </c>
      <c r="AL19" s="938">
        <v>138.30000000000001</v>
      </c>
      <c r="AM19" s="4">
        <v>138.69999999999999</v>
      </c>
      <c r="AN19" s="834"/>
      <c r="AO19" s="201"/>
      <c r="AP19" s="202"/>
      <c r="AQ19" s="207"/>
      <c r="AR19" s="201"/>
      <c r="AS19" s="203"/>
      <c r="AT19" s="203"/>
      <c r="AU19" s="203"/>
      <c r="AV19" s="203"/>
      <c r="AY19" s="197"/>
    </row>
    <row r="20" spans="1:51" s="11" customFormat="1" ht="25.5">
      <c r="A20" s="182" t="s">
        <v>102</v>
      </c>
      <c r="B20" s="198" t="s">
        <v>74</v>
      </c>
      <c r="C20" s="184" t="s">
        <v>1</v>
      </c>
      <c r="D20" s="184" t="s">
        <v>1</v>
      </c>
      <c r="E20" s="184" t="s">
        <v>1</v>
      </c>
      <c r="F20" s="184" t="s">
        <v>1</v>
      </c>
      <c r="G20" s="210" t="s">
        <v>243</v>
      </c>
      <c r="H20" s="184">
        <v>131.5</v>
      </c>
      <c r="I20" s="184">
        <v>75</v>
      </c>
      <c r="J20" s="184">
        <v>126.2</v>
      </c>
      <c r="K20" s="184">
        <v>109.1</v>
      </c>
      <c r="L20" s="184">
        <v>94.9</v>
      </c>
      <c r="M20" s="184">
        <v>61</v>
      </c>
      <c r="N20" s="184">
        <v>95.9</v>
      </c>
      <c r="O20" s="184">
        <v>94</v>
      </c>
      <c r="P20" s="184">
        <v>97.8</v>
      </c>
      <c r="Q20" s="184">
        <v>48.5</v>
      </c>
      <c r="R20" s="184">
        <v>95</v>
      </c>
      <c r="S20" s="184">
        <v>100.9</v>
      </c>
      <c r="T20" s="184">
        <v>105.2</v>
      </c>
      <c r="U20" s="184">
        <v>98.9</v>
      </c>
      <c r="V20" s="184">
        <v>123.5</v>
      </c>
      <c r="W20" s="184">
        <v>107.8</v>
      </c>
      <c r="X20" s="184">
        <v>97.4</v>
      </c>
      <c r="Y20" s="184">
        <v>100.2</v>
      </c>
      <c r="Z20" s="184">
        <v>101</v>
      </c>
      <c r="AA20" s="184">
        <v>110.6</v>
      </c>
      <c r="AB20" s="184">
        <v>96.7</v>
      </c>
      <c r="AC20" s="184">
        <v>105.4</v>
      </c>
      <c r="AD20" s="185">
        <v>104.1</v>
      </c>
      <c r="AE20" s="164">
        <v>102.3</v>
      </c>
      <c r="AF20" s="185">
        <v>113</v>
      </c>
      <c r="AG20" s="185">
        <v>117.4</v>
      </c>
      <c r="AH20" s="199">
        <v>117.2</v>
      </c>
      <c r="AI20" s="200">
        <v>110.1</v>
      </c>
      <c r="AJ20" s="477">
        <v>104.5</v>
      </c>
      <c r="AK20" s="13">
        <v>104.6</v>
      </c>
      <c r="AL20" s="938">
        <v>103.2</v>
      </c>
      <c r="AM20" s="4">
        <v>102.4</v>
      </c>
      <c r="AN20" s="834"/>
      <c r="AO20" s="201"/>
      <c r="AP20" s="202"/>
      <c r="AQ20" s="201"/>
      <c r="AR20" s="201"/>
      <c r="AS20" s="203"/>
      <c r="AT20" s="203"/>
      <c r="AU20" s="203"/>
      <c r="AV20" s="203"/>
    </row>
    <row r="21" spans="1:51" s="11" customFormat="1">
      <c r="A21" s="209" t="s">
        <v>197</v>
      </c>
      <c r="B21" s="183" t="s">
        <v>203</v>
      </c>
      <c r="C21" s="184" t="s">
        <v>1</v>
      </c>
      <c r="D21" s="184" t="s">
        <v>1</v>
      </c>
      <c r="E21" s="184" t="s">
        <v>1</v>
      </c>
      <c r="F21" s="184">
        <v>46.1</v>
      </c>
      <c r="G21" s="184">
        <v>68.400000000000006</v>
      </c>
      <c r="H21" s="184">
        <v>81.5</v>
      </c>
      <c r="I21" s="184">
        <v>83.2</v>
      </c>
      <c r="J21" s="184">
        <v>88.2</v>
      </c>
      <c r="K21" s="184">
        <v>90.9</v>
      </c>
      <c r="L21" s="184">
        <v>75.5</v>
      </c>
      <c r="M21" s="184">
        <v>60</v>
      </c>
      <c r="N21" s="184">
        <v>54</v>
      </c>
      <c r="O21" s="184">
        <v>51.6</v>
      </c>
      <c r="P21" s="184">
        <v>52.7</v>
      </c>
      <c r="Q21" s="184">
        <v>52.2</v>
      </c>
      <c r="R21" s="184">
        <v>52.9</v>
      </c>
      <c r="S21" s="184">
        <v>53</v>
      </c>
      <c r="T21" s="184">
        <v>51.9</v>
      </c>
      <c r="U21" s="184">
        <v>54.6</v>
      </c>
      <c r="V21" s="184">
        <v>45.5</v>
      </c>
      <c r="W21" s="184">
        <v>41.7</v>
      </c>
      <c r="X21" s="184">
        <v>43.6</v>
      </c>
      <c r="Y21" s="184">
        <v>44.4</v>
      </c>
      <c r="Z21" s="184">
        <v>44.7</v>
      </c>
      <c r="AA21" s="184">
        <v>46.5</v>
      </c>
      <c r="AB21" s="184">
        <v>48.4</v>
      </c>
      <c r="AC21" s="184">
        <v>49.6</v>
      </c>
      <c r="AD21" s="185">
        <v>49.8</v>
      </c>
      <c r="AE21" s="206">
        <v>50</v>
      </c>
      <c r="AF21" s="185">
        <v>52.2</v>
      </c>
      <c r="AG21" s="206">
        <v>53.5</v>
      </c>
      <c r="AH21" s="211">
        <v>53</v>
      </c>
      <c r="AI21" s="200">
        <v>52.5</v>
      </c>
      <c r="AJ21" s="477">
        <v>52</v>
      </c>
      <c r="AK21" s="13">
        <v>52.6</v>
      </c>
      <c r="AL21" s="938">
        <v>53.3</v>
      </c>
      <c r="AM21" s="3">
        <v>53.5</v>
      </c>
      <c r="AN21" s="835"/>
      <c r="AO21" s="201"/>
      <c r="AP21" s="202"/>
      <c r="AQ21" s="207"/>
      <c r="AR21" s="201"/>
      <c r="AS21" s="203"/>
      <c r="AT21" s="203"/>
      <c r="AU21" s="203"/>
      <c r="AV21" s="203"/>
    </row>
    <row r="22" spans="1:51" s="11" customFormat="1">
      <c r="A22" s="182" t="s">
        <v>102</v>
      </c>
      <c r="B22" s="198" t="s">
        <v>74</v>
      </c>
      <c r="C22" s="184" t="s">
        <v>1</v>
      </c>
      <c r="D22" s="184" t="s">
        <v>1</v>
      </c>
      <c r="E22" s="184" t="s">
        <v>1</v>
      </c>
      <c r="F22" s="184" t="s">
        <v>1</v>
      </c>
      <c r="G22" s="184">
        <v>148.4</v>
      </c>
      <c r="H22" s="184">
        <v>119.2</v>
      </c>
      <c r="I22" s="184">
        <v>102.1</v>
      </c>
      <c r="J22" s="184">
        <v>106</v>
      </c>
      <c r="K22" s="184">
        <v>103.1</v>
      </c>
      <c r="L22" s="184">
        <v>83.1</v>
      </c>
      <c r="M22" s="184">
        <v>79.5</v>
      </c>
      <c r="N22" s="184">
        <v>90</v>
      </c>
      <c r="O22" s="184">
        <v>95.6</v>
      </c>
      <c r="P22" s="184">
        <v>102.1</v>
      </c>
      <c r="Q22" s="184">
        <v>99.1</v>
      </c>
      <c r="R22" s="184">
        <v>101.5</v>
      </c>
      <c r="S22" s="184">
        <v>100.2</v>
      </c>
      <c r="T22" s="184">
        <v>97.9</v>
      </c>
      <c r="U22" s="184">
        <v>105.2</v>
      </c>
      <c r="V22" s="184">
        <v>83.3</v>
      </c>
      <c r="W22" s="184">
        <v>91.6</v>
      </c>
      <c r="X22" s="184">
        <v>104.6</v>
      </c>
      <c r="Y22" s="184">
        <v>101.8</v>
      </c>
      <c r="Z22" s="184">
        <v>100.7</v>
      </c>
      <c r="AA22" s="184">
        <v>104</v>
      </c>
      <c r="AB22" s="184">
        <v>104.1</v>
      </c>
      <c r="AC22" s="184">
        <v>102.5</v>
      </c>
      <c r="AD22" s="185">
        <v>100.4</v>
      </c>
      <c r="AE22" s="164">
        <v>100.6</v>
      </c>
      <c r="AF22" s="185">
        <v>104.3</v>
      </c>
      <c r="AG22" s="204">
        <v>102.5</v>
      </c>
      <c r="AH22" s="199">
        <v>99.8</v>
      </c>
      <c r="AI22" s="200">
        <v>99.1</v>
      </c>
      <c r="AJ22" s="477">
        <v>99</v>
      </c>
      <c r="AK22" s="13">
        <v>101.2</v>
      </c>
      <c r="AL22" s="938"/>
      <c r="AM22" s="4">
        <v>102.5</v>
      </c>
      <c r="AN22" s="834"/>
      <c r="AO22" s="201"/>
      <c r="AP22" s="212"/>
      <c r="AQ22" s="205"/>
      <c r="AR22" s="201"/>
      <c r="AS22" s="203"/>
      <c r="AT22" s="203"/>
      <c r="AU22" s="203"/>
      <c r="AV22" s="203"/>
    </row>
    <row r="23" spans="1:51" s="11" customFormat="1" ht="25.5">
      <c r="A23" s="209" t="s">
        <v>198</v>
      </c>
      <c r="B23" s="213" t="s">
        <v>74</v>
      </c>
      <c r="C23" s="184" t="s">
        <v>1</v>
      </c>
      <c r="D23" s="184">
        <v>7.0000000000000007E-2</v>
      </c>
      <c r="E23" s="184">
        <v>0.04</v>
      </c>
      <c r="F23" s="184">
        <v>0.06</v>
      </c>
      <c r="G23" s="184">
        <v>0.2</v>
      </c>
      <c r="H23" s="184">
        <v>0.7</v>
      </c>
      <c r="I23" s="184">
        <v>1.3</v>
      </c>
      <c r="J23" s="184">
        <v>1.8</v>
      </c>
      <c r="K23" s="184">
        <v>2</v>
      </c>
      <c r="L23" s="184">
        <v>2.6</v>
      </c>
      <c r="M23" s="184">
        <v>2.1</v>
      </c>
      <c r="N23" s="184">
        <v>1.6</v>
      </c>
      <c r="O23" s="184">
        <v>1.2</v>
      </c>
      <c r="P23" s="184">
        <v>1</v>
      </c>
      <c r="Q23" s="184">
        <v>0.7</v>
      </c>
      <c r="R23" s="184">
        <v>0.6</v>
      </c>
      <c r="S23" s="184">
        <v>0.4</v>
      </c>
      <c r="T23" s="184">
        <v>0.3</v>
      </c>
      <c r="U23" s="184">
        <v>0.7</v>
      </c>
      <c r="V23" s="184">
        <v>0.5</v>
      </c>
      <c r="W23" s="184">
        <v>0.4</v>
      </c>
      <c r="X23" s="184">
        <v>0.1</v>
      </c>
      <c r="Y23" s="184">
        <v>0.1</v>
      </c>
      <c r="Z23" s="184">
        <v>0.1</v>
      </c>
      <c r="AA23" s="184">
        <v>0.1</v>
      </c>
      <c r="AB23" s="184">
        <v>0.2</v>
      </c>
      <c r="AC23" s="214">
        <v>0.5</v>
      </c>
      <c r="AD23" s="214">
        <v>1</v>
      </c>
      <c r="AE23" s="206">
        <v>1</v>
      </c>
      <c r="AF23" s="204">
        <v>1.9</v>
      </c>
      <c r="AG23" s="204">
        <v>0.9</v>
      </c>
      <c r="AH23" s="215">
        <v>1.2</v>
      </c>
      <c r="AI23" s="216">
        <v>1.2</v>
      </c>
      <c r="AJ23" s="683">
        <v>1.8</v>
      </c>
      <c r="AK23" s="13">
        <v>1.8</v>
      </c>
      <c r="AL23" s="938">
        <v>2.8</v>
      </c>
      <c r="AM23" s="3">
        <v>3</v>
      </c>
      <c r="AN23" s="834"/>
      <c r="AO23" s="217"/>
      <c r="AP23" s="192"/>
      <c r="AQ23" s="217"/>
      <c r="AR23" s="217"/>
      <c r="AS23" s="203"/>
      <c r="AT23" s="203"/>
      <c r="AU23" s="203"/>
      <c r="AV23" s="203"/>
    </row>
    <row r="24" spans="1:51" s="11" customFormat="1" ht="15">
      <c r="A24" s="209" t="s">
        <v>419</v>
      </c>
      <c r="B24" s="183" t="s">
        <v>203</v>
      </c>
      <c r="C24" s="184">
        <v>0.1</v>
      </c>
      <c r="D24" s="184">
        <v>0.3</v>
      </c>
      <c r="E24" s="184">
        <v>0.2</v>
      </c>
      <c r="F24" s="184">
        <v>0.3</v>
      </c>
      <c r="G24" s="184">
        <v>0.9</v>
      </c>
      <c r="H24" s="184">
        <v>4.0999999999999996</v>
      </c>
      <c r="I24" s="184">
        <v>7.8</v>
      </c>
      <c r="J24" s="184">
        <v>9.6</v>
      </c>
      <c r="K24" s="184">
        <v>10.9</v>
      </c>
      <c r="L24" s="184">
        <v>14.7</v>
      </c>
      <c r="M24" s="184">
        <v>11.8</v>
      </c>
      <c r="N24" s="184">
        <v>9</v>
      </c>
      <c r="O24" s="184">
        <v>6.6</v>
      </c>
      <c r="P24" s="184">
        <v>6.2</v>
      </c>
      <c r="Q24" s="184">
        <v>4.4000000000000004</v>
      </c>
      <c r="R24" s="184">
        <v>3.8</v>
      </c>
      <c r="S24" s="184">
        <v>2.9</v>
      </c>
      <c r="T24" s="214">
        <v>2.2999999999999998</v>
      </c>
      <c r="U24" s="184">
        <v>5.0999999999999996</v>
      </c>
      <c r="V24" s="184">
        <v>3</v>
      </c>
      <c r="W24" s="184">
        <v>2.8</v>
      </c>
      <c r="X24" s="184">
        <v>1.1000000000000001</v>
      </c>
      <c r="Y24" s="214">
        <v>0.8</v>
      </c>
      <c r="Z24" s="184">
        <v>1</v>
      </c>
      <c r="AA24" s="184">
        <v>1.3</v>
      </c>
      <c r="AB24" s="218">
        <v>1.7</v>
      </c>
      <c r="AC24" s="214">
        <v>5</v>
      </c>
      <c r="AD24" s="214">
        <v>10.199999999999999</v>
      </c>
      <c r="AE24" s="219">
        <v>9.5</v>
      </c>
      <c r="AF24" s="204">
        <v>19.5</v>
      </c>
      <c r="AG24" s="204">
        <v>9.6999999999999993</v>
      </c>
      <c r="AH24" s="215">
        <v>13.3</v>
      </c>
      <c r="AI24" s="216">
        <v>13</v>
      </c>
      <c r="AJ24" s="683">
        <v>13.3</v>
      </c>
      <c r="AK24" s="265">
        <v>21.6</v>
      </c>
      <c r="AL24" s="907">
        <v>32.6</v>
      </c>
      <c r="AM24" s="6">
        <v>37</v>
      </c>
      <c r="AN24" s="836"/>
      <c r="AO24" s="217"/>
      <c r="AP24" s="192"/>
      <c r="AQ24" s="217"/>
      <c r="AR24" s="217"/>
      <c r="AS24" s="195"/>
      <c r="AT24" s="195"/>
      <c r="AU24" s="195"/>
      <c r="AV24" s="195"/>
    </row>
    <row r="25" spans="1:51" s="11" customFormat="1">
      <c r="A25" s="209" t="s">
        <v>506</v>
      </c>
      <c r="B25" s="213" t="s">
        <v>74</v>
      </c>
      <c r="C25" s="184" t="s">
        <v>1</v>
      </c>
      <c r="D25" s="184" t="s">
        <v>1</v>
      </c>
      <c r="E25" s="184" t="s">
        <v>1</v>
      </c>
      <c r="F25" s="184" t="s">
        <v>1</v>
      </c>
      <c r="G25" s="184" t="s">
        <v>1</v>
      </c>
      <c r="H25" s="184" t="s">
        <v>1</v>
      </c>
      <c r="I25" s="184" t="s">
        <v>1</v>
      </c>
      <c r="J25" s="184" t="s">
        <v>1</v>
      </c>
      <c r="K25" s="184" t="s">
        <v>1</v>
      </c>
      <c r="L25" s="184" t="s">
        <v>1</v>
      </c>
      <c r="M25" s="184">
        <v>16.3</v>
      </c>
      <c r="N25" s="184">
        <v>13.7</v>
      </c>
      <c r="O25" s="184">
        <v>13.1</v>
      </c>
      <c r="P25" s="184">
        <v>14.7</v>
      </c>
      <c r="Q25" s="184">
        <v>14.9</v>
      </c>
      <c r="R25" s="184">
        <v>13.7</v>
      </c>
      <c r="S25" s="184">
        <v>12</v>
      </c>
      <c r="T25" s="184">
        <v>6.8</v>
      </c>
      <c r="U25" s="184">
        <v>6.8</v>
      </c>
      <c r="V25" s="184">
        <v>5.8</v>
      </c>
      <c r="W25" s="184">
        <v>4.5</v>
      </c>
      <c r="X25" s="184">
        <v>4.5</v>
      </c>
      <c r="Y25" s="184">
        <v>6.9</v>
      </c>
      <c r="Z25" s="184">
        <v>7.6</v>
      </c>
      <c r="AA25" s="184">
        <v>8.6</v>
      </c>
      <c r="AB25" s="184">
        <v>7.7</v>
      </c>
      <c r="AC25" s="184">
        <v>6.6</v>
      </c>
      <c r="AD25" s="164">
        <v>6.3</v>
      </c>
      <c r="AE25" s="164">
        <v>6.1</v>
      </c>
      <c r="AF25" s="206">
        <v>6.1</v>
      </c>
      <c r="AG25" s="206">
        <v>6.1</v>
      </c>
      <c r="AH25" s="220">
        <v>6</v>
      </c>
      <c r="AI25" s="190">
        <v>7.4</v>
      </c>
      <c r="AJ25" s="191">
        <v>6.5</v>
      </c>
      <c r="AK25" s="13">
        <v>5.7</v>
      </c>
      <c r="AL25" s="938">
        <v>4.9000000000000004</v>
      </c>
      <c r="AM25" s="4">
        <v>4.8</v>
      </c>
      <c r="AN25" s="834"/>
      <c r="AO25" s="207"/>
      <c r="AP25" s="192"/>
      <c r="AQ25" s="207"/>
      <c r="AR25" s="207"/>
      <c r="AS25" s="203"/>
      <c r="AT25" s="203"/>
      <c r="AU25" s="203"/>
      <c r="AV25" s="203"/>
    </row>
    <row r="26" spans="1:51" s="11" customFormat="1" ht="15">
      <c r="A26" s="209" t="s">
        <v>420</v>
      </c>
      <c r="B26" s="213" t="s">
        <v>74</v>
      </c>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221"/>
      <c r="AE26" s="164"/>
      <c r="AF26" s="206"/>
      <c r="AG26" s="206"/>
      <c r="AH26" s="220"/>
      <c r="AI26" s="190"/>
      <c r="AJ26" s="191"/>
      <c r="AK26" s="13"/>
      <c r="AL26" s="938"/>
      <c r="AM26" s="4"/>
      <c r="AN26" s="834"/>
      <c r="AO26" s="207"/>
      <c r="AP26" s="192"/>
      <c r="AQ26" s="207"/>
      <c r="AR26" s="207"/>
      <c r="AS26" s="203"/>
      <c r="AT26" s="203"/>
      <c r="AU26" s="203"/>
      <c r="AV26" s="203"/>
    </row>
    <row r="27" spans="1:51" s="11" customFormat="1">
      <c r="A27" s="209" t="s">
        <v>108</v>
      </c>
      <c r="B27" s="213"/>
      <c r="C27" s="184" t="s">
        <v>1</v>
      </c>
      <c r="D27" s="184" t="s">
        <v>1</v>
      </c>
      <c r="E27" s="184" t="s">
        <v>1</v>
      </c>
      <c r="F27" s="184">
        <v>8.3000000000000007</v>
      </c>
      <c r="G27" s="184">
        <v>10.4</v>
      </c>
      <c r="H27" s="184">
        <v>12.1</v>
      </c>
      <c r="I27" s="184">
        <v>13.5</v>
      </c>
      <c r="J27" s="184">
        <v>13.9</v>
      </c>
      <c r="K27" s="184">
        <v>14</v>
      </c>
      <c r="L27" s="184">
        <v>12.1</v>
      </c>
      <c r="M27" s="184">
        <v>10.8</v>
      </c>
      <c r="N27" s="184">
        <v>9.6</v>
      </c>
      <c r="O27" s="184">
        <v>8.9</v>
      </c>
      <c r="P27" s="184">
        <v>8.8000000000000007</v>
      </c>
      <c r="Q27" s="184">
        <v>8.4</v>
      </c>
      <c r="R27" s="184">
        <v>8.1999999999999993</v>
      </c>
      <c r="S27" s="184">
        <v>7.8</v>
      </c>
      <c r="T27" s="184">
        <v>7.4</v>
      </c>
      <c r="U27" s="184">
        <v>7.7</v>
      </c>
      <c r="V27" s="184">
        <v>6.3</v>
      </c>
      <c r="W27" s="184">
        <v>5.6</v>
      </c>
      <c r="X27" s="184">
        <v>5.6</v>
      </c>
      <c r="Y27" s="184">
        <v>5.6</v>
      </c>
      <c r="Z27" s="184">
        <v>5.5</v>
      </c>
      <c r="AA27" s="184">
        <v>5.3</v>
      </c>
      <c r="AB27" s="184">
        <v>5.3</v>
      </c>
      <c r="AC27" s="184">
        <v>5.3</v>
      </c>
      <c r="AD27" s="184">
        <v>5.2</v>
      </c>
      <c r="AE27" s="164">
        <v>5.0999999999999996</v>
      </c>
      <c r="AF27" s="185">
        <v>5.2</v>
      </c>
      <c r="AG27" s="204">
        <v>5.2</v>
      </c>
      <c r="AH27" s="199">
        <v>5</v>
      </c>
      <c r="AI27" s="200">
        <v>4.8</v>
      </c>
      <c r="AJ27" s="477">
        <v>4.5999999999999996</v>
      </c>
      <c r="AK27" s="13">
        <v>4.5</v>
      </c>
      <c r="AL27" s="938">
        <v>4.4000000000000004</v>
      </c>
      <c r="AM27" s="4">
        <v>4.4000000000000004</v>
      </c>
      <c r="AN27" s="834"/>
      <c r="AO27" s="222"/>
      <c r="AP27" s="192"/>
      <c r="AQ27" s="217"/>
      <c r="AR27" s="222"/>
      <c r="AS27" s="203"/>
      <c r="AT27" s="203"/>
      <c r="AU27" s="203"/>
      <c r="AV27" s="203"/>
    </row>
    <row r="28" spans="1:51" s="11" customFormat="1" ht="15">
      <c r="A28" s="209" t="s">
        <v>507</v>
      </c>
      <c r="B28" s="213" t="s">
        <v>74</v>
      </c>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221"/>
      <c r="AE28" s="164"/>
      <c r="AF28" s="221"/>
      <c r="AG28" s="164"/>
      <c r="AH28" s="225"/>
      <c r="AI28" s="226"/>
      <c r="AJ28" s="684"/>
      <c r="AK28" s="13"/>
      <c r="AL28" s="938"/>
      <c r="AM28" s="4"/>
      <c r="AN28" s="834"/>
      <c r="AO28" s="227"/>
      <c r="AP28" s="192"/>
      <c r="AQ28" s="192"/>
      <c r="AR28" s="227"/>
      <c r="AS28" s="203"/>
      <c r="AT28" s="203"/>
      <c r="AU28" s="203"/>
      <c r="AV28" s="203"/>
    </row>
    <row r="29" spans="1:51" s="11" customFormat="1">
      <c r="A29" s="209" t="s">
        <v>108</v>
      </c>
      <c r="B29" s="223"/>
      <c r="C29" s="214" t="s">
        <v>1</v>
      </c>
      <c r="D29" s="214" t="s">
        <v>1</v>
      </c>
      <c r="E29" s="214" t="s">
        <v>1</v>
      </c>
      <c r="F29" s="214" t="s">
        <v>1</v>
      </c>
      <c r="G29" s="214" t="s">
        <v>1</v>
      </c>
      <c r="H29" s="214" t="s">
        <v>1</v>
      </c>
      <c r="I29" s="214" t="s">
        <v>1</v>
      </c>
      <c r="J29" s="214" t="s">
        <v>1</v>
      </c>
      <c r="K29" s="214" t="s">
        <v>1</v>
      </c>
      <c r="L29" s="214" t="s">
        <v>1</v>
      </c>
      <c r="M29" s="214">
        <v>15.2</v>
      </c>
      <c r="N29" s="214">
        <v>15.3</v>
      </c>
      <c r="O29" s="214">
        <v>13.4</v>
      </c>
      <c r="P29" s="214">
        <v>18</v>
      </c>
      <c r="Q29" s="214">
        <v>17.600000000000001</v>
      </c>
      <c r="R29" s="214">
        <v>16.2</v>
      </c>
      <c r="S29" s="214">
        <v>16.399999999999999</v>
      </c>
      <c r="T29" s="214">
        <v>8.8000000000000007</v>
      </c>
      <c r="U29" s="214">
        <v>10</v>
      </c>
      <c r="V29" s="214">
        <v>8.8000000000000007</v>
      </c>
      <c r="W29" s="214">
        <v>7</v>
      </c>
      <c r="X29" s="214">
        <v>5.4</v>
      </c>
      <c r="Y29" s="214">
        <v>8.5</v>
      </c>
      <c r="Z29" s="214">
        <v>8.1999999999999993</v>
      </c>
      <c r="AA29" s="214">
        <v>7.4</v>
      </c>
      <c r="AB29" s="214">
        <v>6.9</v>
      </c>
      <c r="AC29" s="214">
        <v>6.7</v>
      </c>
      <c r="AD29" s="214">
        <v>6.4</v>
      </c>
      <c r="AE29" s="164">
        <v>6.1</v>
      </c>
      <c r="AF29" s="204">
        <v>5.9</v>
      </c>
      <c r="AG29" s="224">
        <v>5.8</v>
      </c>
      <c r="AH29" s="199">
        <v>5.5</v>
      </c>
      <c r="AI29" s="200">
        <v>5.2</v>
      </c>
      <c r="AJ29" s="477">
        <v>4.4000000000000004</v>
      </c>
      <c r="AK29" s="13">
        <v>4.0999999999999996</v>
      </c>
      <c r="AL29" s="938">
        <v>3.8</v>
      </c>
      <c r="AM29" s="3">
        <v>3.6</v>
      </c>
      <c r="AN29" s="835"/>
      <c r="AO29" s="217"/>
      <c r="AP29" s="192"/>
      <c r="AQ29" s="217"/>
      <c r="AR29" s="217"/>
      <c r="AS29" s="203"/>
      <c r="AT29" s="203"/>
      <c r="AU29" s="203"/>
      <c r="AV29" s="203"/>
    </row>
    <row r="30" spans="1:51" s="2" customFormat="1">
      <c r="A30" s="230" t="s">
        <v>199</v>
      </c>
      <c r="B30" s="228" t="s">
        <v>74</v>
      </c>
      <c r="C30" s="229" t="s">
        <v>1</v>
      </c>
      <c r="D30" s="229" t="s">
        <v>1</v>
      </c>
      <c r="E30" s="229" t="s">
        <v>1</v>
      </c>
      <c r="F30" s="229" t="s">
        <v>1</v>
      </c>
      <c r="G30" s="229" t="s">
        <v>1</v>
      </c>
      <c r="H30" s="229" t="s">
        <v>1</v>
      </c>
      <c r="I30" s="229" t="s">
        <v>1</v>
      </c>
      <c r="J30" s="229" t="s">
        <v>1</v>
      </c>
      <c r="K30" s="229" t="s">
        <v>1</v>
      </c>
      <c r="L30" s="229" t="s">
        <v>1</v>
      </c>
      <c r="M30" s="229">
        <v>6.1</v>
      </c>
      <c r="N30" s="229">
        <v>5.0999999999999996</v>
      </c>
      <c r="O30" s="229">
        <v>5.0999999999999996</v>
      </c>
      <c r="P30" s="229">
        <v>5.5</v>
      </c>
      <c r="Q30" s="229">
        <v>3.7</v>
      </c>
      <c r="R30" s="229">
        <v>4</v>
      </c>
      <c r="S30" s="229">
        <v>5</v>
      </c>
      <c r="T30" s="229">
        <v>4</v>
      </c>
      <c r="U30" s="229">
        <v>4.0999999999999996</v>
      </c>
      <c r="V30" s="229">
        <v>2.6</v>
      </c>
      <c r="W30" s="229">
        <v>3.1</v>
      </c>
      <c r="X30" s="229">
        <v>3.4</v>
      </c>
      <c r="Y30" s="229">
        <v>3.3</v>
      </c>
      <c r="Z30" s="229">
        <v>2.1</v>
      </c>
      <c r="AA30" s="229">
        <v>2.4</v>
      </c>
      <c r="AB30" s="229">
        <v>2.5</v>
      </c>
      <c r="AC30" s="229">
        <v>1.8</v>
      </c>
      <c r="AD30" s="229">
        <v>1.8</v>
      </c>
      <c r="AE30" s="44">
        <v>1.9</v>
      </c>
      <c r="AF30" s="231">
        <v>1.9</v>
      </c>
      <c r="AG30" s="55">
        <v>1.9</v>
      </c>
      <c r="AH30" s="229">
        <v>1.7</v>
      </c>
      <c r="AI30" s="229">
        <v>1</v>
      </c>
      <c r="AJ30" s="477">
        <v>0.7</v>
      </c>
      <c r="AK30" s="13">
        <v>1.4</v>
      </c>
      <c r="AL30" s="938">
        <v>1.9</v>
      </c>
      <c r="AM30" s="4">
        <v>1.4</v>
      </c>
      <c r="AN30" s="835"/>
      <c r="AO30" s="44"/>
      <c r="AP30" s="44"/>
      <c r="AQ30" s="55"/>
      <c r="AR30" s="44"/>
      <c r="AS30" s="44"/>
      <c r="AT30" s="44"/>
      <c r="AU30" s="44"/>
      <c r="AV30" s="44"/>
    </row>
    <row r="31" spans="1:51" s="171" customFormat="1" ht="52.5" customHeight="1">
      <c r="A31" s="486" t="s">
        <v>447</v>
      </c>
      <c r="B31" s="486"/>
      <c r="C31" s="486"/>
      <c r="D31" s="486"/>
      <c r="E31" s="486"/>
      <c r="F31" s="486"/>
      <c r="G31" s="486"/>
      <c r="H31" s="486"/>
      <c r="I31" s="486"/>
      <c r="J31" s="486"/>
      <c r="K31" s="486"/>
      <c r="L31" s="486"/>
      <c r="M31" s="486"/>
      <c r="N31" s="486"/>
      <c r="O31" s="486"/>
      <c r="P31" s="486"/>
      <c r="Q31" s="486"/>
      <c r="R31" s="486"/>
      <c r="S31" s="486"/>
      <c r="T31" s="486"/>
      <c r="U31" s="486"/>
      <c r="V31" s="486"/>
      <c r="W31" s="486"/>
      <c r="X31" s="486"/>
      <c r="Y31" s="486"/>
      <c r="Z31" s="486"/>
      <c r="AA31" s="486"/>
      <c r="AB31" s="486"/>
      <c r="AC31" s="486"/>
      <c r="AD31" s="486"/>
      <c r="AE31" s="486"/>
      <c r="AF31" s="486"/>
      <c r="AG31" s="486"/>
      <c r="AH31" s="486"/>
      <c r="AI31"/>
      <c r="AM31" s="48"/>
      <c r="AN31" s="476"/>
      <c r="AO31" s="11"/>
      <c r="AP31" s="11"/>
      <c r="AQ31" s="11"/>
      <c r="AR31" s="11"/>
      <c r="AS31" s="11"/>
      <c r="AT31" s="11"/>
    </row>
    <row r="32" spans="1:51" ht="15">
      <c r="A32" s="485" t="s">
        <v>421</v>
      </c>
    </row>
    <row r="33" spans="1:38" ht="27.75">
      <c r="A33" s="482" t="s">
        <v>422</v>
      </c>
    </row>
    <row r="34" spans="1:38" ht="27.75">
      <c r="A34" s="482" t="s">
        <v>423</v>
      </c>
    </row>
    <row r="35" spans="1:38" s="15" customFormat="1" ht="38.25">
      <c r="A35" s="236" t="s">
        <v>204</v>
      </c>
      <c r="B35" s="237" t="s">
        <v>200</v>
      </c>
      <c r="C35" s="180">
        <v>1991</v>
      </c>
      <c r="D35" s="180">
        <v>1992</v>
      </c>
      <c r="E35" s="180">
        <v>1993</v>
      </c>
      <c r="F35" s="180">
        <v>1994</v>
      </c>
      <c r="G35" s="180">
        <v>1995</v>
      </c>
      <c r="H35" s="180">
        <v>1996</v>
      </c>
      <c r="I35" s="180">
        <v>1997</v>
      </c>
      <c r="J35" s="180">
        <v>1998</v>
      </c>
      <c r="K35" s="180">
        <v>1999</v>
      </c>
      <c r="L35" s="180">
        <v>2000</v>
      </c>
      <c r="M35" s="180">
        <v>2001</v>
      </c>
      <c r="N35" s="180">
        <v>2002</v>
      </c>
      <c r="O35" s="180">
        <v>2003</v>
      </c>
      <c r="P35" s="180">
        <v>2004</v>
      </c>
      <c r="Q35" s="180">
        <v>2005</v>
      </c>
      <c r="R35" s="180">
        <v>2006</v>
      </c>
      <c r="S35" s="180">
        <v>2007</v>
      </c>
      <c r="T35" s="180">
        <v>2008</v>
      </c>
      <c r="U35" s="180">
        <v>2009</v>
      </c>
      <c r="V35" s="180">
        <v>2010</v>
      </c>
      <c r="W35" s="180">
        <v>2011</v>
      </c>
      <c r="X35" s="180">
        <v>2012</v>
      </c>
      <c r="Y35" s="180">
        <v>2013</v>
      </c>
      <c r="Z35" s="180">
        <v>2014</v>
      </c>
      <c r="AA35" s="180">
        <v>2015</v>
      </c>
      <c r="AB35" s="180">
        <v>2016</v>
      </c>
      <c r="AC35" s="176">
        <v>2017</v>
      </c>
      <c r="AD35" s="176">
        <v>2018</v>
      </c>
      <c r="AE35" s="176">
        <v>2019</v>
      </c>
      <c r="AF35" s="176">
        <v>2020</v>
      </c>
      <c r="AG35" s="177">
        <v>2021</v>
      </c>
      <c r="AH35" s="177">
        <v>2022</v>
      </c>
      <c r="AI35" s="238">
        <v>2023</v>
      </c>
      <c r="AJ35" s="685">
        <v>2024</v>
      </c>
      <c r="AK35" s="681">
        <v>2025</v>
      </c>
      <c r="AL35" s="681" t="s">
        <v>494</v>
      </c>
    </row>
    <row r="36" spans="1:38" s="15" customFormat="1">
      <c r="A36" s="239" t="s">
        <v>205</v>
      </c>
      <c r="B36" s="240" t="s">
        <v>130</v>
      </c>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241"/>
      <c r="AG36" s="34"/>
      <c r="AI36" s="76"/>
      <c r="AJ36" s="13"/>
      <c r="AK36" s="13"/>
      <c r="AL36" s="18"/>
    </row>
    <row r="37" spans="1:38" s="15" customFormat="1">
      <c r="A37" s="243" t="s">
        <v>108</v>
      </c>
      <c r="B37" s="35"/>
      <c r="C37" s="66">
        <v>446</v>
      </c>
      <c r="D37" s="66">
        <v>4309</v>
      </c>
      <c r="E37" s="66">
        <v>145</v>
      </c>
      <c r="F37" s="66">
        <v>2103</v>
      </c>
      <c r="G37" s="66">
        <v>5822</v>
      </c>
      <c r="H37" s="66">
        <v>8207</v>
      </c>
      <c r="I37" s="66">
        <v>10837</v>
      </c>
      <c r="J37" s="66">
        <v>12923</v>
      </c>
      <c r="K37" s="66">
        <v>15344</v>
      </c>
      <c r="L37" s="66">
        <v>18549</v>
      </c>
      <c r="M37" s="66">
        <v>23386</v>
      </c>
      <c r="N37" s="66">
        <v>28396</v>
      </c>
      <c r="O37" s="66">
        <v>32622</v>
      </c>
      <c r="P37" s="66">
        <v>39614</v>
      </c>
      <c r="Q37" s="66">
        <v>49201</v>
      </c>
      <c r="R37" s="66">
        <v>59240</v>
      </c>
      <c r="S37" s="66">
        <v>78021</v>
      </c>
      <c r="T37" s="66">
        <v>90239</v>
      </c>
      <c r="U37" s="66">
        <v>95139</v>
      </c>
      <c r="V37" s="66">
        <v>106597</v>
      </c>
      <c r="W37" s="66">
        <v>121674</v>
      </c>
      <c r="X37" s="66">
        <v>134378</v>
      </c>
      <c r="Y37" s="66">
        <v>142310</v>
      </c>
      <c r="Z37" s="66">
        <v>155242</v>
      </c>
      <c r="AA37" s="66">
        <v>161845</v>
      </c>
      <c r="AB37" s="66">
        <v>178678</v>
      </c>
      <c r="AC37" s="66">
        <v>190875</v>
      </c>
      <c r="AD37" s="60">
        <v>200919</v>
      </c>
      <c r="AE37" s="58">
        <v>224158</v>
      </c>
      <c r="AF37" s="58">
        <v>247951</v>
      </c>
      <c r="AG37" s="58">
        <v>295985</v>
      </c>
      <c r="AH37" s="244">
        <v>354860</v>
      </c>
      <c r="AI37" s="245">
        <v>426273</v>
      </c>
      <c r="AJ37" s="678">
        <v>490963</v>
      </c>
      <c r="AK37" s="976">
        <v>556063</v>
      </c>
      <c r="AL37" s="940">
        <v>574162</v>
      </c>
    </row>
    <row r="38" spans="1:38" s="15" customFormat="1">
      <c r="A38" s="246" t="s">
        <v>109</v>
      </c>
      <c r="B38" s="35"/>
      <c r="C38" s="66" t="s">
        <v>1</v>
      </c>
      <c r="D38" s="66" t="s">
        <v>1</v>
      </c>
      <c r="E38" s="66" t="s">
        <v>1</v>
      </c>
      <c r="F38" s="66" t="s">
        <v>1</v>
      </c>
      <c r="G38" s="66" t="s">
        <v>1</v>
      </c>
      <c r="H38" s="66" t="s">
        <v>1</v>
      </c>
      <c r="I38" s="66" t="s">
        <v>1</v>
      </c>
      <c r="J38" s="66" t="s">
        <v>1</v>
      </c>
      <c r="K38" s="66" t="s">
        <v>1</v>
      </c>
      <c r="L38" s="66" t="s">
        <v>1</v>
      </c>
      <c r="M38" s="66" t="s">
        <v>1</v>
      </c>
      <c r="N38" s="66" t="s">
        <v>1</v>
      </c>
      <c r="O38" s="66" t="s">
        <v>1</v>
      </c>
      <c r="P38" s="66" t="s">
        <v>1</v>
      </c>
      <c r="Q38" s="66">
        <v>51603</v>
      </c>
      <c r="R38" s="66">
        <v>60421</v>
      </c>
      <c r="S38" s="66">
        <v>77977</v>
      </c>
      <c r="T38" s="66">
        <v>87551</v>
      </c>
      <c r="U38" s="66">
        <v>94339</v>
      </c>
      <c r="V38" s="66">
        <v>104819</v>
      </c>
      <c r="W38" s="66">
        <v>120456</v>
      </c>
      <c r="X38" s="66">
        <v>132545</v>
      </c>
      <c r="Y38" s="66">
        <v>140997</v>
      </c>
      <c r="Z38" s="66">
        <v>153590</v>
      </c>
      <c r="AA38" s="66">
        <v>160690</v>
      </c>
      <c r="AB38" s="66">
        <v>173013</v>
      </c>
      <c r="AC38" s="66">
        <v>189742</v>
      </c>
      <c r="AD38" s="60">
        <v>196396</v>
      </c>
      <c r="AE38" s="58">
        <v>223090</v>
      </c>
      <c r="AF38" s="58">
        <v>248173</v>
      </c>
      <c r="AG38" s="58">
        <v>298362</v>
      </c>
      <c r="AH38" s="244">
        <v>358519</v>
      </c>
      <c r="AI38" s="245">
        <v>429895</v>
      </c>
      <c r="AJ38" s="678">
        <v>496590</v>
      </c>
      <c r="AK38" s="976">
        <v>537457</v>
      </c>
      <c r="AL38" s="940">
        <v>549767</v>
      </c>
    </row>
    <row r="39" spans="1:38" s="15" customFormat="1">
      <c r="A39" s="246" t="s">
        <v>135</v>
      </c>
      <c r="B39" s="35"/>
      <c r="C39" s="66" t="s">
        <v>1</v>
      </c>
      <c r="D39" s="66" t="s">
        <v>1</v>
      </c>
      <c r="E39" s="66" t="s">
        <v>1</v>
      </c>
      <c r="F39" s="66" t="s">
        <v>1</v>
      </c>
      <c r="G39" s="66" t="s">
        <v>1</v>
      </c>
      <c r="H39" s="66" t="s">
        <v>1</v>
      </c>
      <c r="I39" s="66" t="s">
        <v>1</v>
      </c>
      <c r="J39" s="66" t="s">
        <v>1</v>
      </c>
      <c r="K39" s="66" t="s">
        <v>1</v>
      </c>
      <c r="L39" s="66" t="s">
        <v>1</v>
      </c>
      <c r="M39" s="66" t="s">
        <v>1</v>
      </c>
      <c r="N39" s="66" t="s">
        <v>1</v>
      </c>
      <c r="O39" s="66" t="s">
        <v>1</v>
      </c>
      <c r="P39" s="66" t="s">
        <v>1</v>
      </c>
      <c r="Q39" s="66" t="s">
        <v>1</v>
      </c>
      <c r="R39" s="66" t="s">
        <v>1</v>
      </c>
      <c r="S39" s="66" t="s">
        <v>1</v>
      </c>
      <c r="T39" s="66">
        <v>60024</v>
      </c>
      <c r="U39" s="66">
        <v>63030</v>
      </c>
      <c r="V39" s="66">
        <v>83341</v>
      </c>
      <c r="W39" s="66">
        <v>89581</v>
      </c>
      <c r="X39" s="66">
        <v>97642</v>
      </c>
      <c r="Y39" s="66">
        <v>101399</v>
      </c>
      <c r="Z39" s="66">
        <v>115466</v>
      </c>
      <c r="AA39" s="66">
        <v>117699</v>
      </c>
      <c r="AB39" s="66">
        <v>132533</v>
      </c>
      <c r="AC39" s="66">
        <v>135320</v>
      </c>
      <c r="AD39" s="60">
        <v>137918</v>
      </c>
      <c r="AE39" s="58">
        <v>155925</v>
      </c>
      <c r="AF39" s="58">
        <v>174259</v>
      </c>
      <c r="AG39" s="58">
        <v>202427</v>
      </c>
      <c r="AH39" s="244">
        <v>260782</v>
      </c>
      <c r="AI39" s="245">
        <v>297916</v>
      </c>
      <c r="AJ39" s="678">
        <v>330515</v>
      </c>
      <c r="AK39" s="976">
        <v>393652</v>
      </c>
      <c r="AL39" s="940">
        <v>423395</v>
      </c>
    </row>
    <row r="40" spans="1:38" s="15" customFormat="1">
      <c r="A40" s="246" t="s">
        <v>110</v>
      </c>
      <c r="B40" s="35"/>
      <c r="C40" s="66" t="s">
        <v>1</v>
      </c>
      <c r="D40" s="66" t="s">
        <v>1</v>
      </c>
      <c r="E40" s="66" t="s">
        <v>1</v>
      </c>
      <c r="F40" s="66" t="s">
        <v>1</v>
      </c>
      <c r="G40" s="66" t="s">
        <v>1</v>
      </c>
      <c r="H40" s="66" t="s">
        <v>1</v>
      </c>
      <c r="I40" s="66" t="s">
        <v>1</v>
      </c>
      <c r="J40" s="66" t="s">
        <v>1</v>
      </c>
      <c r="K40" s="66" t="s">
        <v>1</v>
      </c>
      <c r="L40" s="66" t="s">
        <v>1</v>
      </c>
      <c r="M40" s="66" t="s">
        <v>1</v>
      </c>
      <c r="N40" s="66" t="s">
        <v>1</v>
      </c>
      <c r="O40" s="66" t="s">
        <v>1</v>
      </c>
      <c r="P40" s="66" t="s">
        <v>1</v>
      </c>
      <c r="Q40" s="66">
        <v>33004</v>
      </c>
      <c r="R40" s="66">
        <v>40846</v>
      </c>
      <c r="S40" s="66">
        <v>52324</v>
      </c>
      <c r="T40" s="66">
        <v>61132</v>
      </c>
      <c r="U40" s="66">
        <v>67255</v>
      </c>
      <c r="V40" s="66">
        <v>72722</v>
      </c>
      <c r="W40" s="66">
        <v>83971</v>
      </c>
      <c r="X40" s="66">
        <v>92942</v>
      </c>
      <c r="Y40" s="66">
        <v>96424</v>
      </c>
      <c r="Z40" s="66">
        <v>109888</v>
      </c>
      <c r="AA40" s="66">
        <v>114882</v>
      </c>
      <c r="AB40" s="66">
        <v>127338</v>
      </c>
      <c r="AC40" s="66">
        <v>135927</v>
      </c>
      <c r="AD40" s="60">
        <v>152662</v>
      </c>
      <c r="AE40" s="58">
        <v>180798</v>
      </c>
      <c r="AF40" s="58">
        <v>189878</v>
      </c>
      <c r="AG40" s="58">
        <v>236352</v>
      </c>
      <c r="AH40" s="244">
        <v>280165</v>
      </c>
      <c r="AI40" s="245">
        <v>309703</v>
      </c>
      <c r="AJ40" s="678">
        <v>341511</v>
      </c>
      <c r="AK40" s="976">
        <v>387928</v>
      </c>
      <c r="AL40" s="940">
        <v>381098</v>
      </c>
    </row>
    <row r="41" spans="1:38" s="15" customFormat="1">
      <c r="A41" s="246" t="s">
        <v>111</v>
      </c>
      <c r="B41" s="35"/>
      <c r="C41" s="66" t="s">
        <v>1</v>
      </c>
      <c r="D41" s="66" t="s">
        <v>1</v>
      </c>
      <c r="E41" s="66" t="s">
        <v>1</v>
      </c>
      <c r="F41" s="66" t="s">
        <v>1</v>
      </c>
      <c r="G41" s="66" t="s">
        <v>1</v>
      </c>
      <c r="H41" s="66" t="s">
        <v>1</v>
      </c>
      <c r="I41" s="66" t="s">
        <v>1</v>
      </c>
      <c r="J41" s="66" t="s">
        <v>1</v>
      </c>
      <c r="K41" s="66" t="s">
        <v>1</v>
      </c>
      <c r="L41" s="66" t="s">
        <v>1</v>
      </c>
      <c r="M41" s="66" t="s">
        <v>1</v>
      </c>
      <c r="N41" s="66" t="s">
        <v>1</v>
      </c>
      <c r="O41" s="66" t="s">
        <v>1</v>
      </c>
      <c r="P41" s="66" t="s">
        <v>1</v>
      </c>
      <c r="Q41" s="66">
        <v>52712</v>
      </c>
      <c r="R41" s="66">
        <v>63093</v>
      </c>
      <c r="S41" s="66">
        <v>83182</v>
      </c>
      <c r="T41" s="66">
        <v>99248</v>
      </c>
      <c r="U41" s="66">
        <v>100422</v>
      </c>
      <c r="V41" s="66">
        <v>114720</v>
      </c>
      <c r="W41" s="66">
        <v>134338</v>
      </c>
      <c r="X41" s="66">
        <v>142806</v>
      </c>
      <c r="Y41" s="66">
        <v>156335</v>
      </c>
      <c r="Z41" s="66">
        <v>175970</v>
      </c>
      <c r="AA41" s="66">
        <v>177705</v>
      </c>
      <c r="AB41" s="66">
        <v>201042</v>
      </c>
      <c r="AC41" s="66">
        <v>222400</v>
      </c>
      <c r="AD41" s="60">
        <v>226333</v>
      </c>
      <c r="AE41" s="58">
        <v>245703</v>
      </c>
      <c r="AF41" s="58">
        <v>270499</v>
      </c>
      <c r="AG41" s="58">
        <v>325905</v>
      </c>
      <c r="AH41" s="244">
        <v>377311</v>
      </c>
      <c r="AI41" s="245">
        <v>464828</v>
      </c>
      <c r="AJ41" s="678">
        <v>558675</v>
      </c>
      <c r="AK41" s="976">
        <v>641598</v>
      </c>
      <c r="AL41" s="940">
        <v>674476</v>
      </c>
    </row>
    <row r="42" spans="1:38" s="15" customFormat="1">
      <c r="A42" s="247" t="s">
        <v>388</v>
      </c>
      <c r="B42" s="35"/>
      <c r="C42" s="66" t="s">
        <v>1</v>
      </c>
      <c r="D42" s="66" t="s">
        <v>1</v>
      </c>
      <c r="E42" s="66" t="s">
        <v>1</v>
      </c>
      <c r="F42" s="66" t="s">
        <v>1</v>
      </c>
      <c r="G42" s="66" t="s">
        <v>1</v>
      </c>
      <c r="H42" s="66" t="s">
        <v>1</v>
      </c>
      <c r="I42" s="66" t="s">
        <v>1</v>
      </c>
      <c r="J42" s="66" t="s">
        <v>1</v>
      </c>
      <c r="K42" s="66" t="s">
        <v>1</v>
      </c>
      <c r="L42" s="66" t="s">
        <v>1</v>
      </c>
      <c r="M42" s="66" t="s">
        <v>1</v>
      </c>
      <c r="N42" s="66" t="s">
        <v>1</v>
      </c>
      <c r="O42" s="66" t="s">
        <v>1</v>
      </c>
      <c r="P42" s="66" t="s">
        <v>1</v>
      </c>
      <c r="Q42" s="66">
        <v>44111</v>
      </c>
      <c r="R42" s="66">
        <v>53082</v>
      </c>
      <c r="S42" s="66">
        <v>66494</v>
      </c>
      <c r="T42" s="66">
        <v>78728</v>
      </c>
      <c r="U42" s="66">
        <v>81637</v>
      </c>
      <c r="V42" s="66">
        <v>83770</v>
      </c>
      <c r="W42" s="66">
        <v>92134</v>
      </c>
      <c r="X42" s="66">
        <v>101294</v>
      </c>
      <c r="Y42" s="66">
        <v>109979</v>
      </c>
      <c r="Z42" s="66">
        <v>120648</v>
      </c>
      <c r="AA42" s="66">
        <v>123733</v>
      </c>
      <c r="AB42" s="66">
        <v>129155</v>
      </c>
      <c r="AC42" s="66">
        <v>135358</v>
      </c>
      <c r="AD42" s="60">
        <v>152694</v>
      </c>
      <c r="AE42" s="58">
        <v>166101</v>
      </c>
      <c r="AF42" s="58">
        <v>175826</v>
      </c>
      <c r="AG42" s="58">
        <v>217713</v>
      </c>
      <c r="AH42" s="244">
        <v>266730</v>
      </c>
      <c r="AI42" s="245">
        <v>326643</v>
      </c>
      <c r="AJ42" s="678">
        <v>367739</v>
      </c>
      <c r="AK42" s="976">
        <v>388577</v>
      </c>
      <c r="AL42" s="940">
        <v>419531</v>
      </c>
    </row>
    <row r="43" spans="1:38" s="15" customFormat="1">
      <c r="A43" s="246" t="s">
        <v>136</v>
      </c>
      <c r="B43" s="35"/>
      <c r="C43" s="66" t="s">
        <v>1</v>
      </c>
      <c r="D43" s="66" t="s">
        <v>1</v>
      </c>
      <c r="E43" s="66" t="s">
        <v>1</v>
      </c>
      <c r="F43" s="66" t="s">
        <v>1</v>
      </c>
      <c r="G43" s="66" t="s">
        <v>1</v>
      </c>
      <c r="H43" s="66" t="s">
        <v>1</v>
      </c>
      <c r="I43" s="66" t="s">
        <v>1</v>
      </c>
      <c r="J43" s="66" t="s">
        <v>1</v>
      </c>
      <c r="K43" s="66" t="s">
        <v>1</v>
      </c>
      <c r="L43" s="66" t="s">
        <v>1</v>
      </c>
      <c r="M43" s="66" t="s">
        <v>1</v>
      </c>
      <c r="N43" s="66" t="s">
        <v>1</v>
      </c>
      <c r="O43" s="66" t="s">
        <v>1</v>
      </c>
      <c r="P43" s="66" t="s">
        <v>1</v>
      </c>
      <c r="Q43" s="66">
        <v>60946</v>
      </c>
      <c r="R43" s="66">
        <v>72123</v>
      </c>
      <c r="S43" s="66">
        <v>98453</v>
      </c>
      <c r="T43" s="66">
        <v>116195</v>
      </c>
      <c r="U43" s="66">
        <v>128101</v>
      </c>
      <c r="V43" s="66">
        <v>142361</v>
      </c>
      <c r="W43" s="66">
        <v>158263</v>
      </c>
      <c r="X43" s="66">
        <v>181471</v>
      </c>
      <c r="Y43" s="66">
        <v>184790</v>
      </c>
      <c r="Z43" s="66">
        <v>195174</v>
      </c>
      <c r="AA43" s="66">
        <v>210958</v>
      </c>
      <c r="AB43" s="66">
        <v>235564</v>
      </c>
      <c r="AC43" s="66">
        <v>243078</v>
      </c>
      <c r="AD43" s="60">
        <v>254679</v>
      </c>
      <c r="AE43" s="58">
        <v>282507</v>
      </c>
      <c r="AF43" s="58">
        <v>309804</v>
      </c>
      <c r="AG43" s="58">
        <v>352005</v>
      </c>
      <c r="AH43" s="244">
        <v>433208</v>
      </c>
      <c r="AI43" s="245">
        <v>527339</v>
      </c>
      <c r="AJ43" s="678">
        <v>602911</v>
      </c>
      <c r="AK43" s="976">
        <v>705637</v>
      </c>
      <c r="AL43" s="940">
        <v>722661</v>
      </c>
    </row>
    <row r="44" spans="1:38" s="15" customFormat="1">
      <c r="A44" s="246" t="s">
        <v>112</v>
      </c>
      <c r="B44" s="35"/>
      <c r="C44" s="66" t="s">
        <v>1</v>
      </c>
      <c r="D44" s="66" t="s">
        <v>1</v>
      </c>
      <c r="E44" s="66" t="s">
        <v>1</v>
      </c>
      <c r="F44" s="66" t="s">
        <v>1</v>
      </c>
      <c r="G44" s="66" t="s">
        <v>1</v>
      </c>
      <c r="H44" s="66" t="s">
        <v>1</v>
      </c>
      <c r="I44" s="66" t="s">
        <v>1</v>
      </c>
      <c r="J44" s="66" t="s">
        <v>1</v>
      </c>
      <c r="K44" s="66" t="s">
        <v>1</v>
      </c>
      <c r="L44" s="66" t="s">
        <v>1</v>
      </c>
      <c r="M44" s="66" t="s">
        <v>1</v>
      </c>
      <c r="N44" s="66" t="s">
        <v>1</v>
      </c>
      <c r="O44" s="66" t="s">
        <v>1</v>
      </c>
      <c r="P44" s="66" t="s">
        <v>1</v>
      </c>
      <c r="Q44" s="66" t="s">
        <v>1</v>
      </c>
      <c r="R44" s="66" t="s">
        <v>1</v>
      </c>
      <c r="S44" s="66" t="s">
        <v>1</v>
      </c>
      <c r="T44" s="66" t="s">
        <v>1</v>
      </c>
      <c r="U44" s="66" t="s">
        <v>1</v>
      </c>
      <c r="V44" s="66" t="s">
        <v>1</v>
      </c>
      <c r="W44" s="66" t="s">
        <v>1</v>
      </c>
      <c r="X44" s="66" t="s">
        <v>1</v>
      </c>
      <c r="Y44" s="66" t="s">
        <v>1</v>
      </c>
      <c r="Z44" s="66">
        <v>95316</v>
      </c>
      <c r="AA44" s="66">
        <v>104775</v>
      </c>
      <c r="AB44" s="66">
        <v>120653</v>
      </c>
      <c r="AC44" s="66">
        <v>127947</v>
      </c>
      <c r="AD44" s="60">
        <v>126864</v>
      </c>
      <c r="AE44" s="58">
        <v>143424</v>
      </c>
      <c r="AF44" s="58">
        <v>192747</v>
      </c>
      <c r="AG44" s="58">
        <v>233714</v>
      </c>
      <c r="AH44" s="244">
        <v>259255</v>
      </c>
      <c r="AI44" s="245">
        <v>310732</v>
      </c>
      <c r="AJ44" s="678">
        <v>347169</v>
      </c>
      <c r="AK44" s="976">
        <v>384091</v>
      </c>
      <c r="AL44" s="940">
        <v>383920</v>
      </c>
    </row>
    <row r="45" spans="1:38" s="15" customFormat="1">
      <c r="A45" s="246" t="s">
        <v>113</v>
      </c>
      <c r="B45" s="35"/>
      <c r="C45" s="66" t="s">
        <v>1</v>
      </c>
      <c r="D45" s="66" t="s">
        <v>1</v>
      </c>
      <c r="E45" s="66" t="s">
        <v>1</v>
      </c>
      <c r="F45" s="66" t="s">
        <v>1</v>
      </c>
      <c r="G45" s="66" t="s">
        <v>1</v>
      </c>
      <c r="H45" s="66" t="s">
        <v>1</v>
      </c>
      <c r="I45" s="66" t="s">
        <v>1</v>
      </c>
      <c r="J45" s="66" t="s">
        <v>1</v>
      </c>
      <c r="K45" s="66" t="s">
        <v>1</v>
      </c>
      <c r="L45" s="66" t="s">
        <v>1</v>
      </c>
      <c r="M45" s="66" t="s">
        <v>1</v>
      </c>
      <c r="N45" s="66" t="s">
        <v>1</v>
      </c>
      <c r="O45" s="66" t="s">
        <v>1</v>
      </c>
      <c r="P45" s="66" t="s">
        <v>1</v>
      </c>
      <c r="Q45" s="66">
        <v>37089</v>
      </c>
      <c r="R45" s="66">
        <v>47276</v>
      </c>
      <c r="S45" s="66">
        <v>60414</v>
      </c>
      <c r="T45" s="66">
        <v>66523</v>
      </c>
      <c r="U45" s="66">
        <v>65029</v>
      </c>
      <c r="V45" s="66">
        <v>84629</v>
      </c>
      <c r="W45" s="66">
        <v>98666</v>
      </c>
      <c r="X45" s="66">
        <v>109563</v>
      </c>
      <c r="Y45" s="66">
        <v>119211</v>
      </c>
      <c r="Z45" s="66">
        <v>130717</v>
      </c>
      <c r="AA45" s="66">
        <v>138156</v>
      </c>
      <c r="AB45" s="66">
        <v>157909</v>
      </c>
      <c r="AC45" s="66">
        <v>160684</v>
      </c>
      <c r="AD45" s="60">
        <v>179287</v>
      </c>
      <c r="AE45" s="58">
        <v>198679</v>
      </c>
      <c r="AF45" s="58">
        <v>236047</v>
      </c>
      <c r="AG45" s="58">
        <v>289839</v>
      </c>
      <c r="AH45" s="244">
        <v>345145</v>
      </c>
      <c r="AI45" s="245">
        <v>405789</v>
      </c>
      <c r="AJ45" s="678">
        <v>438955</v>
      </c>
      <c r="AK45" s="976">
        <v>518979</v>
      </c>
      <c r="AL45" s="940">
        <v>537093</v>
      </c>
    </row>
    <row r="46" spans="1:38" s="15" customFormat="1">
      <c r="A46" s="248" t="s">
        <v>206</v>
      </c>
      <c r="B46" s="249" t="s">
        <v>201</v>
      </c>
      <c r="C46" s="66" t="s">
        <v>1</v>
      </c>
      <c r="D46" s="66" t="s">
        <v>1</v>
      </c>
      <c r="E46" s="66">
        <v>27.4</v>
      </c>
      <c r="F46" s="66">
        <v>59</v>
      </c>
      <c r="G46" s="66">
        <v>96</v>
      </c>
      <c r="H46" s="66">
        <v>122</v>
      </c>
      <c r="I46" s="66">
        <v>143</v>
      </c>
      <c r="J46" s="66">
        <v>166</v>
      </c>
      <c r="K46" s="66">
        <v>131</v>
      </c>
      <c r="L46" s="66">
        <v>130</v>
      </c>
      <c r="M46" s="66">
        <v>160</v>
      </c>
      <c r="N46" s="66">
        <v>186</v>
      </c>
      <c r="O46" s="66">
        <v>219</v>
      </c>
      <c r="P46" s="66">
        <v>291</v>
      </c>
      <c r="Q46" s="66">
        <v>370</v>
      </c>
      <c r="R46" s="66">
        <v>471</v>
      </c>
      <c r="S46" s="66">
        <v>637</v>
      </c>
      <c r="T46" s="66">
        <v>746</v>
      </c>
      <c r="U46" s="66">
        <v>644</v>
      </c>
      <c r="V46" s="66">
        <v>724</v>
      </c>
      <c r="W46" s="66">
        <v>830</v>
      </c>
      <c r="X46" s="66">
        <v>901</v>
      </c>
      <c r="Y46" s="66">
        <v>935</v>
      </c>
      <c r="Z46" s="66">
        <v>850</v>
      </c>
      <c r="AA46" s="66">
        <v>730</v>
      </c>
      <c r="AB46" s="66">
        <v>522</v>
      </c>
      <c r="AC46" s="66">
        <v>586</v>
      </c>
      <c r="AD46" s="36">
        <v>582.86</v>
      </c>
      <c r="AE46" s="36">
        <v>585.6</v>
      </c>
      <c r="AF46" s="37">
        <v>600.4</v>
      </c>
      <c r="AG46" s="36">
        <v>685.6</v>
      </c>
      <c r="AH46" s="250">
        <v>770.6</v>
      </c>
      <c r="AI46" s="251">
        <v>934.2</v>
      </c>
      <c r="AJ46" s="477">
        <v>966</v>
      </c>
      <c r="AK46" s="976">
        <v>1186</v>
      </c>
      <c r="AL46" s="939">
        <v>1238</v>
      </c>
    </row>
    <row r="47" spans="1:38" s="15" customFormat="1">
      <c r="A47" s="239" t="s">
        <v>207</v>
      </c>
      <c r="B47" s="249" t="s">
        <v>74</v>
      </c>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241"/>
      <c r="AE47" s="34"/>
      <c r="AF47" s="34"/>
      <c r="AG47" s="34"/>
      <c r="AH47" s="253"/>
      <c r="AI47" s="254"/>
      <c r="AJ47" s="13"/>
      <c r="AK47" s="977"/>
      <c r="AL47" s="936"/>
    </row>
    <row r="48" spans="1:38" s="15" customFormat="1" ht="25.5">
      <c r="A48" s="243" t="s">
        <v>108</v>
      </c>
      <c r="B48" s="35"/>
      <c r="C48" s="64">
        <v>164.6</v>
      </c>
      <c r="D48" s="255" t="s">
        <v>241</v>
      </c>
      <c r="E48" s="255" t="s">
        <v>1</v>
      </c>
      <c r="F48" s="255" t="s">
        <v>242</v>
      </c>
      <c r="G48" s="255" t="s">
        <v>231</v>
      </c>
      <c r="H48" s="64">
        <v>141</v>
      </c>
      <c r="I48" s="64">
        <v>132</v>
      </c>
      <c r="J48" s="64">
        <v>119.2</v>
      </c>
      <c r="K48" s="64">
        <v>118.7</v>
      </c>
      <c r="L48" s="64">
        <v>129.30000000000001</v>
      </c>
      <c r="M48" s="64">
        <v>126.1</v>
      </c>
      <c r="N48" s="64">
        <v>121.4</v>
      </c>
      <c r="O48" s="64">
        <v>114.9</v>
      </c>
      <c r="P48" s="64">
        <v>121.4</v>
      </c>
      <c r="Q48" s="64">
        <v>124.2</v>
      </c>
      <c r="R48" s="64">
        <v>120.4</v>
      </c>
      <c r="S48" s="64">
        <v>131.69999999999999</v>
      </c>
      <c r="T48" s="64">
        <v>115.7</v>
      </c>
      <c r="U48" s="64">
        <v>105.4</v>
      </c>
      <c r="V48" s="64">
        <v>112</v>
      </c>
      <c r="W48" s="64">
        <v>114.1</v>
      </c>
      <c r="X48" s="64">
        <v>110.4</v>
      </c>
      <c r="Y48" s="64">
        <v>105.9</v>
      </c>
      <c r="Z48" s="64">
        <v>109.8</v>
      </c>
      <c r="AA48" s="64">
        <v>104.7</v>
      </c>
      <c r="AB48" s="64">
        <v>110.4</v>
      </c>
      <c r="AC48" s="64">
        <v>106.8</v>
      </c>
      <c r="AD48" s="37">
        <v>105.3</v>
      </c>
      <c r="AE48" s="36">
        <v>111.6</v>
      </c>
      <c r="AF48" s="36">
        <v>110.6</v>
      </c>
      <c r="AG48" s="36">
        <v>119.4</v>
      </c>
      <c r="AH48" s="250">
        <v>119.9</v>
      </c>
      <c r="AI48" s="251">
        <v>120.1</v>
      </c>
      <c r="AJ48" s="477">
        <v>115.2</v>
      </c>
      <c r="AK48" s="976">
        <v>113.3</v>
      </c>
      <c r="AL48" s="941">
        <v>110.7</v>
      </c>
    </row>
    <row r="49" spans="1:38" s="15" customFormat="1">
      <c r="A49" s="246" t="s">
        <v>109</v>
      </c>
      <c r="B49" s="35"/>
      <c r="C49" s="64" t="s">
        <v>1</v>
      </c>
      <c r="D49" s="64" t="s">
        <v>1</v>
      </c>
      <c r="E49" s="64" t="s">
        <v>1</v>
      </c>
      <c r="F49" s="64" t="s">
        <v>1</v>
      </c>
      <c r="G49" s="64" t="s">
        <v>1</v>
      </c>
      <c r="H49" s="64" t="s">
        <v>1</v>
      </c>
      <c r="I49" s="64" t="s">
        <v>1</v>
      </c>
      <c r="J49" s="64" t="s">
        <v>1</v>
      </c>
      <c r="K49" s="64" t="s">
        <v>1</v>
      </c>
      <c r="L49" s="64" t="s">
        <v>1</v>
      </c>
      <c r="M49" s="64" t="s">
        <v>1</v>
      </c>
      <c r="N49" s="64" t="s">
        <v>1</v>
      </c>
      <c r="O49" s="64" t="s">
        <v>1</v>
      </c>
      <c r="P49" s="64" t="s">
        <v>1</v>
      </c>
      <c r="Q49" s="64" t="s">
        <v>1</v>
      </c>
      <c r="R49" s="64">
        <v>117.08815378950837</v>
      </c>
      <c r="S49" s="64">
        <v>129.05612287118717</v>
      </c>
      <c r="T49" s="64">
        <v>112.3</v>
      </c>
      <c r="U49" s="64">
        <v>107.8</v>
      </c>
      <c r="V49" s="64">
        <v>111.1</v>
      </c>
      <c r="W49" s="64">
        <v>114.9</v>
      </c>
      <c r="X49" s="64">
        <v>110</v>
      </c>
      <c r="Y49" s="64">
        <v>106.4</v>
      </c>
      <c r="Z49" s="64">
        <v>108.9</v>
      </c>
      <c r="AA49" s="64">
        <v>105.4</v>
      </c>
      <c r="AB49" s="64">
        <v>107.7</v>
      </c>
      <c r="AC49" s="64">
        <v>109.7</v>
      </c>
      <c r="AD49" s="37">
        <v>103.5</v>
      </c>
      <c r="AE49" s="36">
        <v>113.6</v>
      </c>
      <c r="AF49" s="36">
        <v>111.2</v>
      </c>
      <c r="AG49" s="36">
        <v>120.2</v>
      </c>
      <c r="AH49" s="250">
        <v>120.2</v>
      </c>
      <c r="AI49" s="251">
        <v>119.9</v>
      </c>
      <c r="AJ49" s="477">
        <v>115.5</v>
      </c>
      <c r="AK49" s="976">
        <v>108.2</v>
      </c>
      <c r="AL49" s="941">
        <v>111</v>
      </c>
    </row>
    <row r="50" spans="1:38" s="15" customFormat="1">
      <c r="A50" s="246" t="s">
        <v>135</v>
      </c>
      <c r="B50" s="35"/>
      <c r="C50" s="64" t="s">
        <v>1</v>
      </c>
      <c r="D50" s="64" t="s">
        <v>1</v>
      </c>
      <c r="E50" s="64" t="s">
        <v>1</v>
      </c>
      <c r="F50" s="64" t="s">
        <v>1</v>
      </c>
      <c r="G50" s="64" t="s">
        <v>1</v>
      </c>
      <c r="H50" s="64" t="s">
        <v>1</v>
      </c>
      <c r="I50" s="64" t="s">
        <v>1</v>
      </c>
      <c r="J50" s="64" t="s">
        <v>1</v>
      </c>
      <c r="K50" s="64" t="s">
        <v>1</v>
      </c>
      <c r="L50" s="64" t="s">
        <v>1</v>
      </c>
      <c r="M50" s="64" t="s">
        <v>1</v>
      </c>
      <c r="N50" s="64" t="s">
        <v>1</v>
      </c>
      <c r="O50" s="64" t="s">
        <v>1</v>
      </c>
      <c r="P50" s="64" t="s">
        <v>1</v>
      </c>
      <c r="Q50" s="64" t="s">
        <v>1</v>
      </c>
      <c r="R50" s="64" t="s">
        <v>1</v>
      </c>
      <c r="S50" s="64" t="s">
        <v>1</v>
      </c>
      <c r="T50" s="64" t="s">
        <v>1</v>
      </c>
      <c r="U50" s="64">
        <v>105</v>
      </c>
      <c r="V50" s="64">
        <v>132.19999999999999</v>
      </c>
      <c r="W50" s="64">
        <v>107.5</v>
      </c>
      <c r="X50" s="64">
        <v>109</v>
      </c>
      <c r="Y50" s="64">
        <v>103.8</v>
      </c>
      <c r="Z50" s="64">
        <v>113.9</v>
      </c>
      <c r="AA50" s="64">
        <v>102.2</v>
      </c>
      <c r="AB50" s="64">
        <v>112.6</v>
      </c>
      <c r="AC50" s="64">
        <v>102.1</v>
      </c>
      <c r="AD50" s="37">
        <v>101.9</v>
      </c>
      <c r="AE50" s="36">
        <v>113.1</v>
      </c>
      <c r="AF50" s="36">
        <v>111.8</v>
      </c>
      <c r="AG50" s="36">
        <v>116.2</v>
      </c>
      <c r="AH50" s="250">
        <v>128.80000000000001</v>
      </c>
      <c r="AI50" s="251">
        <v>114.2</v>
      </c>
      <c r="AJ50" s="477">
        <v>110.9</v>
      </c>
      <c r="AK50" s="976">
        <v>119.1</v>
      </c>
      <c r="AL50" s="941">
        <v>117.7</v>
      </c>
    </row>
    <row r="51" spans="1:38" s="15" customFormat="1">
      <c r="A51" s="246" t="s">
        <v>110</v>
      </c>
      <c r="B51" s="35"/>
      <c r="C51" s="64" t="s">
        <v>1</v>
      </c>
      <c r="D51" s="64" t="s">
        <v>1</v>
      </c>
      <c r="E51" s="64" t="s">
        <v>1</v>
      </c>
      <c r="F51" s="64" t="s">
        <v>1</v>
      </c>
      <c r="G51" s="64" t="s">
        <v>1</v>
      </c>
      <c r="H51" s="64" t="s">
        <v>1</v>
      </c>
      <c r="I51" s="64" t="s">
        <v>1</v>
      </c>
      <c r="J51" s="64" t="s">
        <v>1</v>
      </c>
      <c r="K51" s="64" t="s">
        <v>1</v>
      </c>
      <c r="L51" s="64" t="s">
        <v>1</v>
      </c>
      <c r="M51" s="64" t="s">
        <v>1</v>
      </c>
      <c r="N51" s="64" t="s">
        <v>1</v>
      </c>
      <c r="O51" s="64" t="s">
        <v>1</v>
      </c>
      <c r="P51" s="64" t="s">
        <v>1</v>
      </c>
      <c r="Q51" s="64" t="s">
        <v>1</v>
      </c>
      <c r="R51" s="64">
        <v>123.76075627196703</v>
      </c>
      <c r="S51" s="64">
        <v>128.10067081231944</v>
      </c>
      <c r="T51" s="64">
        <v>116.8</v>
      </c>
      <c r="U51" s="64">
        <v>110</v>
      </c>
      <c r="V51" s="64">
        <v>108.1</v>
      </c>
      <c r="W51" s="64">
        <v>115.5</v>
      </c>
      <c r="X51" s="64">
        <v>110.7</v>
      </c>
      <c r="Y51" s="64">
        <v>103.7</v>
      </c>
      <c r="Z51" s="64">
        <v>114</v>
      </c>
      <c r="AA51" s="64">
        <v>106.2</v>
      </c>
      <c r="AB51" s="64">
        <v>110.8</v>
      </c>
      <c r="AC51" s="64">
        <v>106.7</v>
      </c>
      <c r="AD51" s="37">
        <v>112.3</v>
      </c>
      <c r="AE51" s="36">
        <v>118.4</v>
      </c>
      <c r="AF51" s="36">
        <v>105</v>
      </c>
      <c r="AG51" s="36">
        <v>124.5</v>
      </c>
      <c r="AH51" s="250">
        <v>118.5</v>
      </c>
      <c r="AI51" s="251">
        <v>110.5</v>
      </c>
      <c r="AJ51" s="477">
        <v>110.3</v>
      </c>
      <c r="AK51" s="976">
        <v>113.6</v>
      </c>
      <c r="AL51" s="941">
        <v>102.3</v>
      </c>
    </row>
    <row r="52" spans="1:38" s="15" customFormat="1">
      <c r="A52" s="246" t="s">
        <v>111</v>
      </c>
      <c r="B52" s="35"/>
      <c r="C52" s="64" t="s">
        <v>1</v>
      </c>
      <c r="D52" s="64" t="s">
        <v>1</v>
      </c>
      <c r="E52" s="64" t="s">
        <v>1</v>
      </c>
      <c r="F52" s="64" t="s">
        <v>1</v>
      </c>
      <c r="G52" s="64" t="s">
        <v>1</v>
      </c>
      <c r="H52" s="64" t="s">
        <v>1</v>
      </c>
      <c r="I52" s="64" t="s">
        <v>1</v>
      </c>
      <c r="J52" s="64" t="s">
        <v>1</v>
      </c>
      <c r="K52" s="64" t="s">
        <v>1</v>
      </c>
      <c r="L52" s="64" t="s">
        <v>1</v>
      </c>
      <c r="M52" s="64" t="s">
        <v>1</v>
      </c>
      <c r="N52" s="64" t="s">
        <v>1</v>
      </c>
      <c r="O52" s="64" t="s">
        <v>1</v>
      </c>
      <c r="P52" s="64" t="s">
        <v>1</v>
      </c>
      <c r="Q52" s="64" t="s">
        <v>1</v>
      </c>
      <c r="R52" s="64">
        <v>119.6938078615875</v>
      </c>
      <c r="S52" s="64">
        <v>131.84029924080326</v>
      </c>
      <c r="T52" s="64">
        <v>119.3</v>
      </c>
      <c r="U52" s="64">
        <v>101.2</v>
      </c>
      <c r="V52" s="64">
        <v>114.2</v>
      </c>
      <c r="W52" s="64">
        <v>117.1</v>
      </c>
      <c r="X52" s="64">
        <v>106.3</v>
      </c>
      <c r="Y52" s="64">
        <v>109.5</v>
      </c>
      <c r="Z52" s="64">
        <v>112.6</v>
      </c>
      <c r="AA52" s="64">
        <v>101.7</v>
      </c>
      <c r="AB52" s="64">
        <v>113.1</v>
      </c>
      <c r="AC52" s="64">
        <v>110.6</v>
      </c>
      <c r="AD52" s="37">
        <v>101.8</v>
      </c>
      <c r="AE52" s="36">
        <v>108.6</v>
      </c>
      <c r="AF52" s="36">
        <v>110.1</v>
      </c>
      <c r="AG52" s="36">
        <v>120.5</v>
      </c>
      <c r="AH52" s="250">
        <v>115.8</v>
      </c>
      <c r="AI52" s="251">
        <v>123.2</v>
      </c>
      <c r="AJ52" s="477">
        <v>120.2</v>
      </c>
      <c r="AK52" s="976">
        <v>114.8</v>
      </c>
      <c r="AL52" s="941">
        <v>111.2</v>
      </c>
    </row>
    <row r="53" spans="1:38" s="15" customFormat="1">
      <c r="A53" s="247" t="s">
        <v>388</v>
      </c>
      <c r="B53" s="35"/>
      <c r="C53" s="64" t="s">
        <v>1</v>
      </c>
      <c r="D53" s="64" t="s">
        <v>1</v>
      </c>
      <c r="E53" s="64" t="s">
        <v>1</v>
      </c>
      <c r="F53" s="64" t="s">
        <v>1</v>
      </c>
      <c r="G53" s="64" t="s">
        <v>1</v>
      </c>
      <c r="H53" s="64" t="s">
        <v>1</v>
      </c>
      <c r="I53" s="64" t="s">
        <v>1</v>
      </c>
      <c r="J53" s="64" t="s">
        <v>1</v>
      </c>
      <c r="K53" s="64" t="s">
        <v>1</v>
      </c>
      <c r="L53" s="64" t="s">
        <v>1</v>
      </c>
      <c r="M53" s="64" t="s">
        <v>1</v>
      </c>
      <c r="N53" s="64" t="s">
        <v>1</v>
      </c>
      <c r="O53" s="64" t="s">
        <v>1</v>
      </c>
      <c r="P53" s="64" t="s">
        <v>1</v>
      </c>
      <c r="Q53" s="64" t="s">
        <v>1</v>
      </c>
      <c r="R53" s="64">
        <v>120.3373308245109</v>
      </c>
      <c r="S53" s="64">
        <v>125.26656870502242</v>
      </c>
      <c r="T53" s="64">
        <v>118.4</v>
      </c>
      <c r="U53" s="64">
        <v>103.7</v>
      </c>
      <c r="V53" s="64">
        <v>102.6</v>
      </c>
      <c r="W53" s="64">
        <v>110</v>
      </c>
      <c r="X53" s="64">
        <v>109.9</v>
      </c>
      <c r="Y53" s="64">
        <v>108.6</v>
      </c>
      <c r="Z53" s="64">
        <v>109.7</v>
      </c>
      <c r="AA53" s="64">
        <v>102.9</v>
      </c>
      <c r="AB53" s="64">
        <v>104.4</v>
      </c>
      <c r="AC53" s="64">
        <v>104.8</v>
      </c>
      <c r="AD53" s="37">
        <v>112.8</v>
      </c>
      <c r="AE53" s="36">
        <v>108.8</v>
      </c>
      <c r="AF53" s="36">
        <v>105.9</v>
      </c>
      <c r="AG53" s="36">
        <v>123.8</v>
      </c>
      <c r="AH53" s="250">
        <v>122.5</v>
      </c>
      <c r="AI53" s="251">
        <v>122.5</v>
      </c>
      <c r="AJ53" s="477">
        <v>112.6</v>
      </c>
      <c r="AK53" s="976">
        <v>105.7</v>
      </c>
      <c r="AL53" s="941">
        <v>109.2</v>
      </c>
    </row>
    <row r="54" spans="1:38" s="15" customFormat="1">
      <c r="A54" s="246" t="s">
        <v>136</v>
      </c>
      <c r="B54" s="35"/>
      <c r="C54" s="64" t="s">
        <v>1</v>
      </c>
      <c r="D54" s="64" t="s">
        <v>1</v>
      </c>
      <c r="E54" s="64" t="s">
        <v>1</v>
      </c>
      <c r="F54" s="64" t="s">
        <v>1</v>
      </c>
      <c r="G54" s="64" t="s">
        <v>1</v>
      </c>
      <c r="H54" s="64" t="s">
        <v>1</v>
      </c>
      <c r="I54" s="64" t="s">
        <v>1</v>
      </c>
      <c r="J54" s="64" t="s">
        <v>1</v>
      </c>
      <c r="K54" s="64" t="s">
        <v>1</v>
      </c>
      <c r="L54" s="64" t="s">
        <v>1</v>
      </c>
      <c r="M54" s="64" t="s">
        <v>1</v>
      </c>
      <c r="N54" s="64" t="s">
        <v>1</v>
      </c>
      <c r="O54" s="64" t="s">
        <v>1</v>
      </c>
      <c r="P54" s="64" t="s">
        <v>1</v>
      </c>
      <c r="Q54" s="64" t="s">
        <v>1</v>
      </c>
      <c r="R54" s="64">
        <v>118.33918550848293</v>
      </c>
      <c r="S54" s="64">
        <v>136.50707818587691</v>
      </c>
      <c r="T54" s="64">
        <v>118</v>
      </c>
      <c r="U54" s="64">
        <v>110.2</v>
      </c>
      <c r="V54" s="64">
        <v>111.1</v>
      </c>
      <c r="W54" s="64">
        <v>111.2</v>
      </c>
      <c r="X54" s="64">
        <v>114.7</v>
      </c>
      <c r="Y54" s="64">
        <v>101.8</v>
      </c>
      <c r="Z54" s="64">
        <v>105.6</v>
      </c>
      <c r="AA54" s="64">
        <v>108.8</v>
      </c>
      <c r="AB54" s="64">
        <v>111.7</v>
      </c>
      <c r="AC54" s="64">
        <v>103.2</v>
      </c>
      <c r="AD54" s="37">
        <v>104.8</v>
      </c>
      <c r="AE54" s="36">
        <v>110.9</v>
      </c>
      <c r="AF54" s="36">
        <v>109.7</v>
      </c>
      <c r="AG54" s="36">
        <v>113.6</v>
      </c>
      <c r="AH54" s="250">
        <v>123.1</v>
      </c>
      <c r="AI54" s="251">
        <v>121.7</v>
      </c>
      <c r="AJ54" s="477">
        <v>114.3</v>
      </c>
      <c r="AK54" s="976">
        <v>117</v>
      </c>
      <c r="AL54" s="941">
        <v>112.8</v>
      </c>
    </row>
    <row r="55" spans="1:38" s="15" customFormat="1">
      <c r="A55" s="246" t="s">
        <v>112</v>
      </c>
      <c r="B55" s="35"/>
      <c r="C55" s="64" t="s">
        <v>1</v>
      </c>
      <c r="D55" s="64" t="s">
        <v>1</v>
      </c>
      <c r="E55" s="64" t="s">
        <v>1</v>
      </c>
      <c r="F55" s="64" t="s">
        <v>1</v>
      </c>
      <c r="G55" s="64" t="s">
        <v>1</v>
      </c>
      <c r="H55" s="64" t="s">
        <v>1</v>
      </c>
      <c r="I55" s="64" t="s">
        <v>1</v>
      </c>
      <c r="J55" s="64" t="s">
        <v>1</v>
      </c>
      <c r="K55" s="64" t="s">
        <v>1</v>
      </c>
      <c r="L55" s="64" t="s">
        <v>1</v>
      </c>
      <c r="M55" s="64" t="s">
        <v>1</v>
      </c>
      <c r="N55" s="64" t="s">
        <v>1</v>
      </c>
      <c r="O55" s="64" t="s">
        <v>1</v>
      </c>
      <c r="P55" s="64" t="s">
        <v>1</v>
      </c>
      <c r="Q55" s="64" t="s">
        <v>1</v>
      </c>
      <c r="R55" s="64" t="s">
        <v>1</v>
      </c>
      <c r="S55" s="64" t="s">
        <v>1</v>
      </c>
      <c r="T55" s="64" t="s">
        <v>1</v>
      </c>
      <c r="U55" s="64" t="s">
        <v>1</v>
      </c>
      <c r="V55" s="64" t="s">
        <v>1</v>
      </c>
      <c r="W55" s="64" t="s">
        <v>1</v>
      </c>
      <c r="X55" s="64" t="s">
        <v>1</v>
      </c>
      <c r="Y55" s="64" t="s">
        <v>1</v>
      </c>
      <c r="Z55" s="64" t="s">
        <v>1</v>
      </c>
      <c r="AA55" s="64">
        <v>114.9</v>
      </c>
      <c r="AB55" s="64">
        <v>115.2</v>
      </c>
      <c r="AC55" s="64">
        <v>106</v>
      </c>
      <c r="AD55" s="37">
        <v>99.2</v>
      </c>
      <c r="AE55" s="36">
        <v>113.1</v>
      </c>
      <c r="AF55" s="36">
        <v>134.4</v>
      </c>
      <c r="AG55" s="36">
        <v>121.3</v>
      </c>
      <c r="AH55" s="250">
        <v>110.9</v>
      </c>
      <c r="AI55" s="251">
        <v>119.9</v>
      </c>
      <c r="AJ55" s="477">
        <v>111.7</v>
      </c>
      <c r="AK55" s="976">
        <v>110.6</v>
      </c>
      <c r="AL55" s="941">
        <v>107.6</v>
      </c>
    </row>
    <row r="56" spans="1:38" s="15" customFormat="1">
      <c r="A56" s="246" t="s">
        <v>113</v>
      </c>
      <c r="B56" s="35"/>
      <c r="C56" s="64" t="s">
        <v>1</v>
      </c>
      <c r="D56" s="64" t="s">
        <v>1</v>
      </c>
      <c r="E56" s="64" t="s">
        <v>1</v>
      </c>
      <c r="F56" s="64" t="s">
        <v>1</v>
      </c>
      <c r="G56" s="64" t="s">
        <v>1</v>
      </c>
      <c r="H56" s="64" t="s">
        <v>1</v>
      </c>
      <c r="I56" s="64" t="s">
        <v>1</v>
      </c>
      <c r="J56" s="64" t="s">
        <v>1</v>
      </c>
      <c r="K56" s="64" t="s">
        <v>1</v>
      </c>
      <c r="L56" s="64" t="s">
        <v>1</v>
      </c>
      <c r="M56" s="64" t="s">
        <v>1</v>
      </c>
      <c r="N56" s="64" t="s">
        <v>1</v>
      </c>
      <c r="O56" s="64" t="s">
        <v>1</v>
      </c>
      <c r="P56" s="64" t="s">
        <v>1</v>
      </c>
      <c r="Q56" s="64" t="s">
        <v>1</v>
      </c>
      <c r="R56" s="64">
        <v>127.46636469033945</v>
      </c>
      <c r="S56" s="64">
        <v>127.78999915390472</v>
      </c>
      <c r="T56" s="64">
        <v>110.1</v>
      </c>
      <c r="U56" s="64">
        <v>97.8</v>
      </c>
      <c r="V56" s="64">
        <v>130.1</v>
      </c>
      <c r="W56" s="64">
        <v>116.6</v>
      </c>
      <c r="X56" s="64">
        <v>111</v>
      </c>
      <c r="Y56" s="64">
        <v>108.8</v>
      </c>
      <c r="Z56" s="64">
        <v>109.7</v>
      </c>
      <c r="AA56" s="64">
        <v>103.6</v>
      </c>
      <c r="AB56" s="64">
        <v>114.3</v>
      </c>
      <c r="AC56" s="64">
        <v>101.8</v>
      </c>
      <c r="AD56" s="37">
        <v>111.6</v>
      </c>
      <c r="AE56" s="36">
        <v>110.8</v>
      </c>
      <c r="AF56" s="36">
        <v>118.8</v>
      </c>
      <c r="AG56" s="36">
        <v>122.8</v>
      </c>
      <c r="AH56" s="250">
        <v>119.1</v>
      </c>
      <c r="AI56" s="251">
        <v>117.6</v>
      </c>
      <c r="AJ56" s="477">
        <v>108.2</v>
      </c>
      <c r="AK56" s="976">
        <v>118.2</v>
      </c>
      <c r="AL56" s="941">
        <v>110.7</v>
      </c>
    </row>
    <row r="57" spans="1:38" s="15" customFormat="1">
      <c r="A57" s="239" t="s">
        <v>208</v>
      </c>
      <c r="B57" s="249" t="s">
        <v>74</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256"/>
      <c r="AE57" s="36"/>
      <c r="AF57" s="36"/>
      <c r="AG57" s="257"/>
      <c r="AH57" s="250"/>
      <c r="AI57" s="251"/>
      <c r="AJ57" s="477"/>
      <c r="AK57" s="976"/>
      <c r="AL57" s="936"/>
    </row>
    <row r="58" spans="1:38" s="15" customFormat="1">
      <c r="A58" s="243" t="s">
        <v>108</v>
      </c>
      <c r="B58" s="35"/>
      <c r="C58" s="64" t="s">
        <v>1</v>
      </c>
      <c r="D58" s="64" t="s">
        <v>1</v>
      </c>
      <c r="E58" s="64" t="s">
        <v>1</v>
      </c>
      <c r="F58" s="64" t="s">
        <v>2</v>
      </c>
      <c r="G58" s="64">
        <v>95.7</v>
      </c>
      <c r="H58" s="64">
        <v>104.9</v>
      </c>
      <c r="I58" s="64">
        <v>100.5</v>
      </c>
      <c r="J58" s="64">
        <v>104.4</v>
      </c>
      <c r="K58" s="64">
        <v>105.6</v>
      </c>
      <c r="L58" s="64">
        <v>100.5</v>
      </c>
      <c r="M58" s="64">
        <v>115.6</v>
      </c>
      <c r="N58" s="64">
        <v>113.5</v>
      </c>
      <c r="O58" s="64">
        <v>106</v>
      </c>
      <c r="P58" s="64">
        <v>111.7</v>
      </c>
      <c r="Q58" s="64">
        <v>113.9</v>
      </c>
      <c r="R58" s="64">
        <v>107.4</v>
      </c>
      <c r="S58" s="64">
        <v>113.4</v>
      </c>
      <c r="T58" s="64">
        <v>94.8</v>
      </c>
      <c r="U58" s="64">
        <v>97</v>
      </c>
      <c r="V58" s="64">
        <v>104.3</v>
      </c>
      <c r="W58" s="64">
        <v>105.2</v>
      </c>
      <c r="X58" s="64">
        <v>105.2</v>
      </c>
      <c r="Y58" s="64">
        <v>100</v>
      </c>
      <c r="Z58" s="64">
        <v>103.4</v>
      </c>
      <c r="AA58" s="64">
        <v>98.4</v>
      </c>
      <c r="AB58" s="64">
        <v>95.7</v>
      </c>
      <c r="AC58" s="64">
        <v>99.7</v>
      </c>
      <c r="AD58" s="37">
        <v>99.2</v>
      </c>
      <c r="AE58" s="36">
        <v>106.3</v>
      </c>
      <c r="AF58" s="36">
        <v>103.7</v>
      </c>
      <c r="AG58" s="36">
        <v>110.9</v>
      </c>
      <c r="AH58" s="250">
        <v>104.4</v>
      </c>
      <c r="AI58" s="251">
        <v>104.9</v>
      </c>
      <c r="AJ58" s="477">
        <v>105.6</v>
      </c>
      <c r="AK58" s="976">
        <v>101.3</v>
      </c>
      <c r="AL58" s="941">
        <v>99.5</v>
      </c>
    </row>
    <row r="59" spans="1:38" s="15" customFormat="1">
      <c r="A59" s="246" t="s">
        <v>109</v>
      </c>
      <c r="B59" s="35"/>
      <c r="C59" s="64" t="s">
        <v>1</v>
      </c>
      <c r="D59" s="64" t="s">
        <v>1</v>
      </c>
      <c r="E59" s="64" t="s">
        <v>1</v>
      </c>
      <c r="F59" s="64" t="s">
        <v>1</v>
      </c>
      <c r="G59" s="64" t="s">
        <v>1</v>
      </c>
      <c r="H59" s="64" t="s">
        <v>1</v>
      </c>
      <c r="I59" s="64" t="s">
        <v>1</v>
      </c>
      <c r="J59" s="64" t="s">
        <v>1</v>
      </c>
      <c r="K59" s="64" t="s">
        <v>1</v>
      </c>
      <c r="L59" s="64" t="s">
        <v>1</v>
      </c>
      <c r="M59" s="64" t="s">
        <v>1</v>
      </c>
      <c r="N59" s="64" t="s">
        <v>1</v>
      </c>
      <c r="O59" s="64" t="s">
        <v>1</v>
      </c>
      <c r="P59" s="64" t="s">
        <v>1</v>
      </c>
      <c r="Q59" s="64" t="s">
        <v>1</v>
      </c>
      <c r="R59" s="64">
        <v>104.6</v>
      </c>
      <c r="S59" s="64">
        <v>101.6</v>
      </c>
      <c r="T59" s="64">
        <v>92.1</v>
      </c>
      <c r="U59" s="64">
        <v>99.1</v>
      </c>
      <c r="V59" s="64">
        <v>103.5</v>
      </c>
      <c r="W59" s="64">
        <v>105.9</v>
      </c>
      <c r="X59" s="64">
        <v>104.8</v>
      </c>
      <c r="Y59" s="64">
        <v>100.5</v>
      </c>
      <c r="Z59" s="64">
        <v>101.8</v>
      </c>
      <c r="AA59" s="64">
        <v>99.1</v>
      </c>
      <c r="AB59" s="64">
        <v>93.3</v>
      </c>
      <c r="AC59" s="64">
        <v>102.4</v>
      </c>
      <c r="AD59" s="37">
        <v>97.6</v>
      </c>
      <c r="AE59" s="36">
        <v>108.2</v>
      </c>
      <c r="AF59" s="36">
        <v>104.3</v>
      </c>
      <c r="AG59" s="36">
        <v>111.7</v>
      </c>
      <c r="AH59" s="250">
        <v>104.7</v>
      </c>
      <c r="AI59" s="251">
        <v>104.7</v>
      </c>
      <c r="AJ59" s="477">
        <v>105.9</v>
      </c>
      <c r="AK59" s="976">
        <v>96.8</v>
      </c>
      <c r="AL59" s="941">
        <v>99.7</v>
      </c>
    </row>
    <row r="60" spans="1:38" s="15" customFormat="1">
      <c r="A60" s="246" t="s">
        <v>135</v>
      </c>
      <c r="B60" s="35"/>
      <c r="C60" s="64" t="s">
        <v>1</v>
      </c>
      <c r="D60" s="64" t="s">
        <v>1</v>
      </c>
      <c r="E60" s="64" t="s">
        <v>1</v>
      </c>
      <c r="F60" s="64" t="s">
        <v>1</v>
      </c>
      <c r="G60" s="64" t="s">
        <v>1</v>
      </c>
      <c r="H60" s="64" t="s">
        <v>1</v>
      </c>
      <c r="I60" s="64" t="s">
        <v>1</v>
      </c>
      <c r="J60" s="64" t="s">
        <v>1</v>
      </c>
      <c r="K60" s="64" t="s">
        <v>1</v>
      </c>
      <c r="L60" s="64" t="s">
        <v>1</v>
      </c>
      <c r="M60" s="64" t="s">
        <v>1</v>
      </c>
      <c r="N60" s="64" t="s">
        <v>1</v>
      </c>
      <c r="O60" s="64" t="s">
        <v>1</v>
      </c>
      <c r="P60" s="64" t="s">
        <v>1</v>
      </c>
      <c r="Q60" s="64" t="s">
        <v>1</v>
      </c>
      <c r="R60" s="64" t="s">
        <v>1</v>
      </c>
      <c r="S60" s="64" t="s">
        <v>1</v>
      </c>
      <c r="T60" s="64" t="s">
        <v>1</v>
      </c>
      <c r="U60" s="64">
        <v>96.6</v>
      </c>
      <c r="V60" s="64">
        <v>123.1</v>
      </c>
      <c r="W60" s="64">
        <v>99.1</v>
      </c>
      <c r="X60" s="64">
        <v>103.8</v>
      </c>
      <c r="Y60" s="64">
        <v>98</v>
      </c>
      <c r="Z60" s="64">
        <v>106.4</v>
      </c>
      <c r="AA60" s="64">
        <v>96.1</v>
      </c>
      <c r="AB60" s="64">
        <v>97.6</v>
      </c>
      <c r="AC60" s="64">
        <v>95.3</v>
      </c>
      <c r="AD60" s="37">
        <v>96.1</v>
      </c>
      <c r="AE60" s="36">
        <v>107.7</v>
      </c>
      <c r="AF60" s="36">
        <v>104.7</v>
      </c>
      <c r="AG60" s="36">
        <v>108</v>
      </c>
      <c r="AH60" s="250">
        <v>112.2</v>
      </c>
      <c r="AI60" s="251">
        <v>99.8</v>
      </c>
      <c r="AJ60" s="477">
        <v>101.7</v>
      </c>
      <c r="AK60" s="976">
        <v>106.5</v>
      </c>
      <c r="AL60" s="941">
        <v>105.8</v>
      </c>
    </row>
    <row r="61" spans="1:38" s="15" customFormat="1">
      <c r="A61" s="246" t="s">
        <v>110</v>
      </c>
      <c r="B61" s="35"/>
      <c r="C61" s="64" t="s">
        <v>1</v>
      </c>
      <c r="D61" s="64" t="s">
        <v>1</v>
      </c>
      <c r="E61" s="64" t="s">
        <v>1</v>
      </c>
      <c r="F61" s="64" t="s">
        <v>1</v>
      </c>
      <c r="G61" s="64" t="s">
        <v>1</v>
      </c>
      <c r="H61" s="64" t="s">
        <v>1</v>
      </c>
      <c r="I61" s="64" t="s">
        <v>1</v>
      </c>
      <c r="J61" s="64" t="s">
        <v>1</v>
      </c>
      <c r="K61" s="64" t="s">
        <v>1</v>
      </c>
      <c r="L61" s="64" t="s">
        <v>1</v>
      </c>
      <c r="M61" s="64" t="s">
        <v>1</v>
      </c>
      <c r="N61" s="64" t="s">
        <v>1</v>
      </c>
      <c r="O61" s="64" t="s">
        <v>1</v>
      </c>
      <c r="P61" s="64" t="s">
        <v>1</v>
      </c>
      <c r="Q61" s="64" t="s">
        <v>1</v>
      </c>
      <c r="R61" s="64">
        <v>110.5</v>
      </c>
      <c r="S61" s="64">
        <v>100.8</v>
      </c>
      <c r="T61" s="64">
        <v>95.7</v>
      </c>
      <c r="U61" s="64">
        <v>101.2</v>
      </c>
      <c r="V61" s="64">
        <v>100.7</v>
      </c>
      <c r="W61" s="64">
        <v>106.4</v>
      </c>
      <c r="X61" s="64">
        <v>105.4</v>
      </c>
      <c r="Y61" s="64">
        <v>97.9</v>
      </c>
      <c r="Z61" s="64">
        <v>106.5</v>
      </c>
      <c r="AA61" s="64">
        <v>99.8</v>
      </c>
      <c r="AB61" s="64">
        <v>96.1</v>
      </c>
      <c r="AC61" s="64">
        <v>99.7</v>
      </c>
      <c r="AD61" s="37">
        <v>105.9</v>
      </c>
      <c r="AE61" s="36">
        <v>112.8</v>
      </c>
      <c r="AF61" s="36">
        <v>98.4</v>
      </c>
      <c r="AG61" s="36">
        <v>115.7</v>
      </c>
      <c r="AH61" s="250">
        <v>103.3</v>
      </c>
      <c r="AI61" s="251">
        <v>96.5</v>
      </c>
      <c r="AJ61" s="477">
        <v>101.1</v>
      </c>
      <c r="AK61" s="976">
        <v>101.6</v>
      </c>
      <c r="AL61" s="941">
        <v>91.9</v>
      </c>
    </row>
    <row r="62" spans="1:38" s="15" customFormat="1">
      <c r="A62" s="246" t="s">
        <v>111</v>
      </c>
      <c r="B62" s="35"/>
      <c r="C62" s="64" t="s">
        <v>1</v>
      </c>
      <c r="D62" s="64" t="s">
        <v>1</v>
      </c>
      <c r="E62" s="64" t="s">
        <v>1</v>
      </c>
      <c r="F62" s="64" t="s">
        <v>1</v>
      </c>
      <c r="G62" s="64" t="s">
        <v>1</v>
      </c>
      <c r="H62" s="64" t="s">
        <v>1</v>
      </c>
      <c r="I62" s="64" t="s">
        <v>1</v>
      </c>
      <c r="J62" s="64" t="s">
        <v>1</v>
      </c>
      <c r="K62" s="64" t="s">
        <v>1</v>
      </c>
      <c r="L62" s="64" t="s">
        <v>1</v>
      </c>
      <c r="M62" s="64" t="s">
        <v>1</v>
      </c>
      <c r="N62" s="64" t="s">
        <v>1</v>
      </c>
      <c r="O62" s="64" t="s">
        <v>1</v>
      </c>
      <c r="P62" s="64" t="s">
        <v>1</v>
      </c>
      <c r="Q62" s="64" t="s">
        <v>1</v>
      </c>
      <c r="R62" s="64">
        <v>106.9</v>
      </c>
      <c r="S62" s="64">
        <v>103.7</v>
      </c>
      <c r="T62" s="64">
        <v>97.8</v>
      </c>
      <c r="U62" s="64">
        <v>93.1</v>
      </c>
      <c r="V62" s="64">
        <v>106.4</v>
      </c>
      <c r="W62" s="64">
        <v>107.9</v>
      </c>
      <c r="X62" s="64">
        <v>101.2</v>
      </c>
      <c r="Y62" s="64">
        <v>103.4</v>
      </c>
      <c r="Z62" s="64">
        <v>105.2</v>
      </c>
      <c r="AA62" s="64">
        <v>95.6</v>
      </c>
      <c r="AB62" s="64">
        <v>98</v>
      </c>
      <c r="AC62" s="64">
        <v>103.3</v>
      </c>
      <c r="AD62" s="37">
        <v>95.9</v>
      </c>
      <c r="AE62" s="36">
        <v>103.4</v>
      </c>
      <c r="AF62" s="36">
        <v>103.2</v>
      </c>
      <c r="AG62" s="36">
        <v>112</v>
      </c>
      <c r="AH62" s="250">
        <v>100.8</v>
      </c>
      <c r="AI62" s="251">
        <v>107.6</v>
      </c>
      <c r="AJ62" s="477">
        <v>110.2</v>
      </c>
      <c r="AK62" s="976">
        <v>102.7</v>
      </c>
      <c r="AL62" s="941">
        <v>99.9</v>
      </c>
    </row>
    <row r="63" spans="1:38" s="15" customFormat="1">
      <c r="A63" s="247" t="s">
        <v>388</v>
      </c>
      <c r="B63" s="35"/>
      <c r="C63" s="64" t="s">
        <v>1</v>
      </c>
      <c r="D63" s="64" t="s">
        <v>1</v>
      </c>
      <c r="E63" s="64" t="s">
        <v>1</v>
      </c>
      <c r="F63" s="64" t="s">
        <v>1</v>
      </c>
      <c r="G63" s="64" t="s">
        <v>1</v>
      </c>
      <c r="H63" s="64" t="s">
        <v>1</v>
      </c>
      <c r="I63" s="64" t="s">
        <v>1</v>
      </c>
      <c r="J63" s="64" t="s">
        <v>1</v>
      </c>
      <c r="K63" s="64" t="s">
        <v>1</v>
      </c>
      <c r="L63" s="64" t="s">
        <v>1</v>
      </c>
      <c r="M63" s="64" t="s">
        <v>1</v>
      </c>
      <c r="N63" s="64" t="s">
        <v>1</v>
      </c>
      <c r="O63" s="64" t="s">
        <v>1</v>
      </c>
      <c r="P63" s="64" t="s">
        <v>1</v>
      </c>
      <c r="Q63" s="64" t="s">
        <v>1</v>
      </c>
      <c r="R63" s="64">
        <v>107.4</v>
      </c>
      <c r="S63" s="64">
        <v>98.6</v>
      </c>
      <c r="T63" s="64">
        <v>97.1</v>
      </c>
      <c r="U63" s="64">
        <v>95.4</v>
      </c>
      <c r="V63" s="64">
        <v>95.5</v>
      </c>
      <c r="W63" s="64">
        <v>101.4</v>
      </c>
      <c r="X63" s="64">
        <v>104.7</v>
      </c>
      <c r="Y63" s="64">
        <v>102.5</v>
      </c>
      <c r="Z63" s="64">
        <v>102.5</v>
      </c>
      <c r="AA63" s="64">
        <v>96.7</v>
      </c>
      <c r="AB63" s="64">
        <v>90.5</v>
      </c>
      <c r="AC63" s="64">
        <v>97.9</v>
      </c>
      <c r="AD63" s="37">
        <v>106.3</v>
      </c>
      <c r="AE63" s="36">
        <v>103.6</v>
      </c>
      <c r="AF63" s="36">
        <v>99.2</v>
      </c>
      <c r="AG63" s="36">
        <v>115.1</v>
      </c>
      <c r="AH63" s="250">
        <v>106.7</v>
      </c>
      <c r="AI63" s="251">
        <v>107</v>
      </c>
      <c r="AJ63" s="477">
        <v>103.2</v>
      </c>
      <c r="AK63" s="976">
        <v>94.5</v>
      </c>
      <c r="AL63" s="941">
        <v>98.1</v>
      </c>
    </row>
    <row r="64" spans="1:38" s="15" customFormat="1">
      <c r="A64" s="246" t="s">
        <v>136</v>
      </c>
      <c r="B64" s="35"/>
      <c r="C64" s="64" t="s">
        <v>1</v>
      </c>
      <c r="D64" s="64" t="s">
        <v>1</v>
      </c>
      <c r="E64" s="64" t="s">
        <v>1</v>
      </c>
      <c r="F64" s="64" t="s">
        <v>1</v>
      </c>
      <c r="G64" s="64" t="s">
        <v>1</v>
      </c>
      <c r="H64" s="64" t="s">
        <v>1</v>
      </c>
      <c r="I64" s="64" t="s">
        <v>1</v>
      </c>
      <c r="J64" s="64" t="s">
        <v>1</v>
      </c>
      <c r="K64" s="64" t="s">
        <v>1</v>
      </c>
      <c r="L64" s="64" t="s">
        <v>1</v>
      </c>
      <c r="M64" s="64" t="s">
        <v>1</v>
      </c>
      <c r="N64" s="64" t="s">
        <v>1</v>
      </c>
      <c r="O64" s="64" t="s">
        <v>1</v>
      </c>
      <c r="P64" s="64" t="s">
        <v>1</v>
      </c>
      <c r="Q64" s="64" t="s">
        <v>1</v>
      </c>
      <c r="R64" s="64">
        <v>105.6</v>
      </c>
      <c r="S64" s="64">
        <v>107.4</v>
      </c>
      <c r="T64" s="64">
        <v>96.7</v>
      </c>
      <c r="U64" s="64">
        <v>101.4</v>
      </c>
      <c r="V64" s="64">
        <v>103.5</v>
      </c>
      <c r="W64" s="64">
        <v>102.5</v>
      </c>
      <c r="X64" s="64">
        <v>109.2</v>
      </c>
      <c r="Y64" s="64">
        <v>96.1</v>
      </c>
      <c r="Z64" s="64">
        <v>98.7</v>
      </c>
      <c r="AA64" s="64">
        <v>102.3</v>
      </c>
      <c r="AB64" s="64">
        <v>96.8</v>
      </c>
      <c r="AC64" s="64">
        <v>96.3</v>
      </c>
      <c r="AD64" s="37">
        <v>98.7</v>
      </c>
      <c r="AE64" s="36">
        <v>105.6</v>
      </c>
      <c r="AF64" s="36">
        <v>102.8</v>
      </c>
      <c r="AG64" s="36">
        <v>105.6</v>
      </c>
      <c r="AH64" s="250">
        <v>107.2</v>
      </c>
      <c r="AI64" s="251">
        <v>106.3</v>
      </c>
      <c r="AJ64" s="477">
        <v>104.8</v>
      </c>
      <c r="AK64" s="976">
        <v>104.7</v>
      </c>
      <c r="AL64" s="941">
        <v>101.3</v>
      </c>
    </row>
    <row r="65" spans="1:38" s="15" customFormat="1">
      <c r="A65" s="246" t="s">
        <v>112</v>
      </c>
      <c r="B65" s="35"/>
      <c r="C65" s="64" t="s">
        <v>1</v>
      </c>
      <c r="D65" s="64" t="s">
        <v>1</v>
      </c>
      <c r="E65" s="64" t="s">
        <v>1</v>
      </c>
      <c r="F65" s="64" t="s">
        <v>1</v>
      </c>
      <c r="G65" s="64" t="s">
        <v>1</v>
      </c>
      <c r="H65" s="64" t="s">
        <v>1</v>
      </c>
      <c r="I65" s="64" t="s">
        <v>1</v>
      </c>
      <c r="J65" s="64" t="s">
        <v>1</v>
      </c>
      <c r="K65" s="64" t="s">
        <v>1</v>
      </c>
      <c r="L65" s="64" t="s">
        <v>1</v>
      </c>
      <c r="M65" s="64" t="s">
        <v>1</v>
      </c>
      <c r="N65" s="64" t="s">
        <v>1</v>
      </c>
      <c r="O65" s="64" t="s">
        <v>1</v>
      </c>
      <c r="P65" s="64" t="s">
        <v>1</v>
      </c>
      <c r="Q65" s="64" t="s">
        <v>1</v>
      </c>
      <c r="R65" s="64" t="s">
        <v>1</v>
      </c>
      <c r="S65" s="64" t="s">
        <v>1</v>
      </c>
      <c r="T65" s="64" t="s">
        <v>1</v>
      </c>
      <c r="U65" s="64" t="s">
        <v>1</v>
      </c>
      <c r="V65" s="64" t="s">
        <v>1</v>
      </c>
      <c r="W65" s="64" t="s">
        <v>1</v>
      </c>
      <c r="X65" s="64" t="s">
        <v>1</v>
      </c>
      <c r="Y65" s="64" t="s">
        <v>1</v>
      </c>
      <c r="Z65" s="64" t="s">
        <v>1</v>
      </c>
      <c r="AA65" s="64">
        <v>108</v>
      </c>
      <c r="AB65" s="64">
        <v>99.8</v>
      </c>
      <c r="AC65" s="64">
        <v>99</v>
      </c>
      <c r="AD65" s="37">
        <v>93.5</v>
      </c>
      <c r="AE65" s="36">
        <v>107.7</v>
      </c>
      <c r="AF65" s="36">
        <v>126</v>
      </c>
      <c r="AG65" s="36">
        <v>112.7</v>
      </c>
      <c r="AH65" s="250">
        <v>96.6</v>
      </c>
      <c r="AI65" s="251">
        <v>104.7</v>
      </c>
      <c r="AJ65" s="477">
        <v>102.4</v>
      </c>
      <c r="AK65" s="976">
        <v>99</v>
      </c>
      <c r="AL65" s="941">
        <v>96.7</v>
      </c>
    </row>
    <row r="66" spans="1:38" s="15" customFormat="1">
      <c r="A66" s="246" t="s">
        <v>113</v>
      </c>
      <c r="B66" s="35"/>
      <c r="C66" s="64" t="s">
        <v>1</v>
      </c>
      <c r="D66" s="64" t="s">
        <v>1</v>
      </c>
      <c r="E66" s="64" t="s">
        <v>1</v>
      </c>
      <c r="F66" s="64" t="s">
        <v>1</v>
      </c>
      <c r="G66" s="64" t="s">
        <v>1</v>
      </c>
      <c r="H66" s="64" t="s">
        <v>1</v>
      </c>
      <c r="I66" s="64" t="s">
        <v>1</v>
      </c>
      <c r="J66" s="64" t="s">
        <v>1</v>
      </c>
      <c r="K66" s="64" t="s">
        <v>1</v>
      </c>
      <c r="L66" s="64" t="s">
        <v>1</v>
      </c>
      <c r="M66" s="64" t="s">
        <v>1</v>
      </c>
      <c r="N66" s="64" t="s">
        <v>1</v>
      </c>
      <c r="O66" s="64" t="s">
        <v>1</v>
      </c>
      <c r="P66" s="64" t="s">
        <v>1</v>
      </c>
      <c r="Q66" s="64" t="s">
        <v>1</v>
      </c>
      <c r="R66" s="64">
        <v>113.8</v>
      </c>
      <c r="S66" s="64">
        <v>100.6</v>
      </c>
      <c r="T66" s="64">
        <v>90.3</v>
      </c>
      <c r="U66" s="64">
        <v>89.9</v>
      </c>
      <c r="V66" s="64">
        <v>121.2</v>
      </c>
      <c r="W66" s="64">
        <v>107.5</v>
      </c>
      <c r="X66" s="64">
        <v>105.7</v>
      </c>
      <c r="Y66" s="64">
        <v>102.7</v>
      </c>
      <c r="Z66" s="64">
        <v>102.5</v>
      </c>
      <c r="AA66" s="64">
        <v>97.4</v>
      </c>
      <c r="AB66" s="64">
        <v>99</v>
      </c>
      <c r="AC66" s="64">
        <v>95</v>
      </c>
      <c r="AD66" s="37">
        <v>105.2</v>
      </c>
      <c r="AE66" s="36">
        <v>105.5</v>
      </c>
      <c r="AF66" s="36">
        <v>111.3</v>
      </c>
      <c r="AG66" s="36">
        <v>114.1</v>
      </c>
      <c r="AH66" s="250">
        <v>103.7</v>
      </c>
      <c r="AI66" s="251">
        <v>102.7</v>
      </c>
      <c r="AJ66" s="477">
        <v>99.2</v>
      </c>
      <c r="AK66" s="976">
        <v>105.8</v>
      </c>
      <c r="AL66" s="941">
        <v>99.5</v>
      </c>
    </row>
    <row r="67" spans="1:38" s="15" customFormat="1" ht="21" customHeight="1">
      <c r="A67" s="258" t="s">
        <v>209</v>
      </c>
      <c r="B67" s="259" t="s">
        <v>202</v>
      </c>
      <c r="C67" s="64" t="s">
        <v>1</v>
      </c>
      <c r="D67" s="64" t="s">
        <v>1</v>
      </c>
      <c r="E67" s="66">
        <v>13</v>
      </c>
      <c r="F67" s="66">
        <v>122</v>
      </c>
      <c r="G67" s="66">
        <v>262</v>
      </c>
      <c r="H67" s="66">
        <v>1550</v>
      </c>
      <c r="I67" s="66">
        <v>2129</v>
      </c>
      <c r="J67" s="66">
        <v>2395</v>
      </c>
      <c r="K67" s="66">
        <v>2605</v>
      </c>
      <c r="L67" s="66">
        <v>2680</v>
      </c>
      <c r="M67" s="66">
        <v>3484</v>
      </c>
      <c r="N67" s="66">
        <v>4181</v>
      </c>
      <c r="O67" s="66">
        <v>5000</v>
      </c>
      <c r="P67" s="66">
        <v>6600</v>
      </c>
      <c r="Q67" s="260" t="s">
        <v>237</v>
      </c>
      <c r="R67" s="260">
        <v>9200</v>
      </c>
      <c r="S67" s="260">
        <v>9752</v>
      </c>
      <c r="T67" s="260" t="s">
        <v>238</v>
      </c>
      <c r="U67" s="260" t="s">
        <v>239</v>
      </c>
      <c r="V67" s="261" t="s">
        <v>240</v>
      </c>
      <c r="W67" s="66">
        <v>15999</v>
      </c>
      <c r="X67" s="66">
        <v>17439</v>
      </c>
      <c r="Y67" s="66">
        <v>18660</v>
      </c>
      <c r="Z67" s="64">
        <v>19966</v>
      </c>
      <c r="AA67" s="64">
        <v>21364</v>
      </c>
      <c r="AB67" s="64">
        <v>22859</v>
      </c>
      <c r="AC67" s="64">
        <v>24459</v>
      </c>
      <c r="AD67" s="64">
        <v>28284</v>
      </c>
      <c r="AE67" s="262">
        <v>42500</v>
      </c>
      <c r="AF67" s="262">
        <v>42500</v>
      </c>
      <c r="AG67" s="262">
        <v>42500</v>
      </c>
      <c r="AH67" s="263">
        <v>60000</v>
      </c>
      <c r="AI67" s="264">
        <v>70000</v>
      </c>
      <c r="AJ67" s="265">
        <v>85000</v>
      </c>
      <c r="AK67" s="978">
        <v>85000</v>
      </c>
      <c r="AL67" s="899">
        <v>85000</v>
      </c>
    </row>
    <row r="68" spans="1:38">
      <c r="AL68" s="8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F31"/>
  <sheetViews>
    <sheetView workbookViewId="0">
      <pane xSplit="1" topLeftCell="AD1" activePane="topRight" state="frozen"/>
      <selection pane="topRight" activeCell="AP25" sqref="AP25"/>
    </sheetView>
  </sheetViews>
  <sheetFormatPr defaultRowHeight="12.75"/>
  <cols>
    <col min="1" max="1" width="47.7109375" bestFit="1" customWidth="1"/>
    <col min="2" max="2" width="13.7109375" bestFit="1" customWidth="1"/>
    <col min="3" max="3" width="5.42578125" bestFit="1" customWidth="1"/>
    <col min="4" max="4" width="6.7109375" bestFit="1" customWidth="1"/>
    <col min="5" max="5" width="5" bestFit="1" customWidth="1"/>
    <col min="6" max="6" width="7.7109375" bestFit="1" customWidth="1"/>
    <col min="7" max="8" width="6.7109375" bestFit="1" customWidth="1"/>
    <col min="9" max="12" width="5.42578125" bestFit="1" customWidth="1"/>
    <col min="13" max="16" width="7.42578125" bestFit="1" customWidth="1"/>
    <col min="17" max="28" width="8.85546875" bestFit="1" customWidth="1"/>
    <col min="29" max="35" width="9.85546875" bestFit="1" customWidth="1"/>
    <col min="36" max="36" width="10.5703125" bestFit="1" customWidth="1"/>
    <col min="37" max="37" width="9.85546875" customWidth="1"/>
    <col min="38" max="38" width="10.7109375" customWidth="1"/>
  </cols>
  <sheetData>
    <row r="1" spans="1:38" s="15" customFormat="1" ht="40.5">
      <c r="A1" s="266" t="s">
        <v>100</v>
      </c>
      <c r="B1" s="267" t="s">
        <v>232</v>
      </c>
      <c r="C1" s="267">
        <v>1991</v>
      </c>
      <c r="D1" s="267">
        <v>1992</v>
      </c>
      <c r="E1" s="267">
        <v>1993</v>
      </c>
      <c r="F1" s="267">
        <v>1994</v>
      </c>
      <c r="G1" s="267">
        <v>1995</v>
      </c>
      <c r="H1" s="267">
        <v>1996</v>
      </c>
      <c r="I1" s="267">
        <v>1997</v>
      </c>
      <c r="J1" s="267">
        <v>1998</v>
      </c>
      <c r="K1" s="267">
        <v>1999</v>
      </c>
      <c r="L1" s="267">
        <v>2000</v>
      </c>
      <c r="M1" s="267">
        <v>2001</v>
      </c>
      <c r="N1" s="267">
        <v>2002</v>
      </c>
      <c r="O1" s="267">
        <v>2003</v>
      </c>
      <c r="P1" s="267">
        <v>2004</v>
      </c>
      <c r="Q1" s="267">
        <v>2005</v>
      </c>
      <c r="R1" s="267">
        <v>2006</v>
      </c>
      <c r="S1" s="267">
        <v>2007</v>
      </c>
      <c r="T1" s="267">
        <v>2008</v>
      </c>
      <c r="U1" s="267">
        <v>2009</v>
      </c>
      <c r="V1" s="267">
        <v>2010</v>
      </c>
      <c r="W1" s="267">
        <v>2011</v>
      </c>
      <c r="X1" s="267">
        <v>2012</v>
      </c>
      <c r="Y1" s="267">
        <v>2013</v>
      </c>
      <c r="Z1" s="267">
        <v>2014</v>
      </c>
      <c r="AA1" s="267">
        <v>2015</v>
      </c>
      <c r="AB1" s="268">
        <v>2016</v>
      </c>
      <c r="AC1" s="268">
        <v>2017</v>
      </c>
      <c r="AD1" s="268" t="s">
        <v>424</v>
      </c>
      <c r="AE1" s="267">
        <v>2019</v>
      </c>
      <c r="AF1" s="267">
        <v>2020</v>
      </c>
      <c r="AG1" s="269" t="s">
        <v>513</v>
      </c>
      <c r="AH1" s="269" t="s">
        <v>514</v>
      </c>
      <c r="AI1" s="270">
        <v>2023</v>
      </c>
      <c r="AJ1" s="270" t="s">
        <v>515</v>
      </c>
      <c r="AK1" s="270" t="s">
        <v>516</v>
      </c>
      <c r="AL1" s="270" t="s">
        <v>541</v>
      </c>
    </row>
    <row r="2" spans="1:38" s="15" customFormat="1" ht="15">
      <c r="A2" s="272" t="s">
        <v>101</v>
      </c>
      <c r="B2" s="273" t="s">
        <v>233</v>
      </c>
      <c r="C2" s="36" t="s">
        <v>425</v>
      </c>
      <c r="D2" s="36" t="s">
        <v>426</v>
      </c>
      <c r="E2" s="36">
        <v>2.1</v>
      </c>
      <c r="F2" s="36">
        <v>30.5</v>
      </c>
      <c r="G2" s="36">
        <v>75.099999999999994</v>
      </c>
      <c r="H2" s="36">
        <v>185.4</v>
      </c>
      <c r="I2" s="36">
        <v>250.2</v>
      </c>
      <c r="J2" s="36">
        <v>310.89999999999998</v>
      </c>
      <c r="K2" s="36">
        <v>361.3</v>
      </c>
      <c r="L2" s="36">
        <v>415.2</v>
      </c>
      <c r="M2" s="36">
        <v>570.9</v>
      </c>
      <c r="N2" s="36">
        <v>688.4</v>
      </c>
      <c r="O2" s="36">
        <v>808.8</v>
      </c>
      <c r="P2" s="36">
        <v>1102.2</v>
      </c>
      <c r="Q2" s="36">
        <v>1497.4</v>
      </c>
      <c r="R2" s="36">
        <v>2272.6999999999998</v>
      </c>
      <c r="S2" s="36">
        <v>2675.9</v>
      </c>
      <c r="T2" s="36">
        <v>2949.6</v>
      </c>
      <c r="U2" s="36">
        <v>3175.2</v>
      </c>
      <c r="V2" s="36">
        <v>3923.4</v>
      </c>
      <c r="W2" s="64" t="s">
        <v>427</v>
      </c>
      <c r="X2" s="64">
        <v>5715.9</v>
      </c>
      <c r="Y2" s="64">
        <v>7127.9</v>
      </c>
      <c r="Z2" s="64">
        <v>8143.6</v>
      </c>
      <c r="AA2" s="64">
        <v>9100</v>
      </c>
      <c r="AB2" s="274">
        <v>10601.3</v>
      </c>
      <c r="AC2" s="274">
        <v>11893.2</v>
      </c>
      <c r="AD2" s="275">
        <v>12132.6</v>
      </c>
      <c r="AE2" s="274">
        <v>13547</v>
      </c>
      <c r="AF2" s="57" t="s">
        <v>86</v>
      </c>
      <c r="AG2" s="276">
        <v>15000.1</v>
      </c>
      <c r="AH2" s="277">
        <v>19154.599999999999</v>
      </c>
      <c r="AI2" s="6">
        <v>25229.7</v>
      </c>
      <c r="AJ2" s="782">
        <v>31294.400000000001</v>
      </c>
      <c r="AK2" s="782">
        <v>37279.9</v>
      </c>
      <c r="AL2" s="312">
        <v>37279.9</v>
      </c>
    </row>
    <row r="3" spans="1:38" s="15" customFormat="1">
      <c r="A3" s="278" t="s">
        <v>102</v>
      </c>
      <c r="B3" s="273" t="s">
        <v>74</v>
      </c>
      <c r="C3" s="36" t="s">
        <v>4</v>
      </c>
      <c r="D3" s="36" t="s">
        <v>4</v>
      </c>
      <c r="E3" s="36" t="s">
        <v>4</v>
      </c>
      <c r="F3" s="36" t="s">
        <v>4</v>
      </c>
      <c r="G3" s="36" t="s">
        <v>4</v>
      </c>
      <c r="H3" s="36" t="s">
        <v>4</v>
      </c>
      <c r="I3" s="36" t="s">
        <v>4</v>
      </c>
      <c r="J3" s="36" t="s">
        <v>4</v>
      </c>
      <c r="K3" s="36" t="s">
        <v>4</v>
      </c>
      <c r="L3" s="36" t="s">
        <v>4</v>
      </c>
      <c r="M3" s="36">
        <v>119.3</v>
      </c>
      <c r="N3" s="36">
        <v>111.4</v>
      </c>
      <c r="O3" s="36">
        <v>112.1</v>
      </c>
      <c r="P3" s="36">
        <v>116.3</v>
      </c>
      <c r="Q3" s="36">
        <v>114.5</v>
      </c>
      <c r="R3" s="36">
        <v>115.8</v>
      </c>
      <c r="S3" s="36">
        <v>112.7</v>
      </c>
      <c r="T3" s="36">
        <v>96.9</v>
      </c>
      <c r="U3" s="36">
        <v>98.4</v>
      </c>
      <c r="V3" s="36">
        <v>110.4</v>
      </c>
      <c r="W3" s="64">
        <v>109.4</v>
      </c>
      <c r="X3" s="64">
        <v>109.6</v>
      </c>
      <c r="Y3" s="64">
        <v>114.8</v>
      </c>
      <c r="Z3" s="64">
        <v>107</v>
      </c>
      <c r="AA3" s="64">
        <v>104.2</v>
      </c>
      <c r="AB3" s="34">
        <v>102.6</v>
      </c>
      <c r="AC3" s="52">
        <v>102.8</v>
      </c>
      <c r="AD3" s="46">
        <v>103</v>
      </c>
      <c r="AE3" s="34">
        <v>104.5</v>
      </c>
      <c r="AF3" s="40">
        <v>95.3</v>
      </c>
      <c r="AG3" s="46">
        <v>106</v>
      </c>
      <c r="AH3" s="279">
        <v>105</v>
      </c>
      <c r="AI3" s="3">
        <v>108.9</v>
      </c>
      <c r="AJ3" s="817">
        <v>107.6</v>
      </c>
      <c r="AK3" s="782">
        <v>106.9</v>
      </c>
      <c r="AL3" s="312">
        <v>106.9</v>
      </c>
    </row>
    <row r="4" spans="1:38" s="15" customFormat="1">
      <c r="A4" s="278" t="s">
        <v>103</v>
      </c>
      <c r="B4" s="273" t="s">
        <v>74</v>
      </c>
      <c r="C4" s="36" t="s">
        <v>4</v>
      </c>
      <c r="D4" s="36" t="s">
        <v>4</v>
      </c>
      <c r="E4" s="36" t="s">
        <v>4</v>
      </c>
      <c r="F4" s="36" t="s">
        <v>4</v>
      </c>
      <c r="G4" s="36" t="s">
        <v>4</v>
      </c>
      <c r="H4" s="36" t="s">
        <v>4</v>
      </c>
      <c r="I4" s="36" t="s">
        <v>4</v>
      </c>
      <c r="J4" s="36" t="s">
        <v>4</v>
      </c>
      <c r="K4" s="36" t="s">
        <v>4</v>
      </c>
      <c r="L4" s="36" t="s">
        <v>4</v>
      </c>
      <c r="M4" s="36">
        <v>119.3</v>
      </c>
      <c r="N4" s="36">
        <v>132.9</v>
      </c>
      <c r="O4" s="36">
        <v>149</v>
      </c>
      <c r="P4" s="36">
        <v>173.3</v>
      </c>
      <c r="Q4" s="36">
        <v>198.4</v>
      </c>
      <c r="R4" s="36">
        <v>229.7</v>
      </c>
      <c r="S4" s="36">
        <v>258.89999999999998</v>
      </c>
      <c r="T4" s="36">
        <v>250.9</v>
      </c>
      <c r="U4" s="36">
        <v>246.9</v>
      </c>
      <c r="V4" s="36">
        <v>272.5</v>
      </c>
      <c r="W4" s="64">
        <v>298.10000000000002</v>
      </c>
      <c r="X4" s="64">
        <v>326.7</v>
      </c>
      <c r="Y4" s="64">
        <v>375.1</v>
      </c>
      <c r="Z4" s="64">
        <v>401.4</v>
      </c>
      <c r="AA4" s="64">
        <v>418.3</v>
      </c>
      <c r="AB4" s="34">
        <v>429.2</v>
      </c>
      <c r="AC4" s="34">
        <v>441.2</v>
      </c>
      <c r="AD4" s="34">
        <v>454.4</v>
      </c>
      <c r="AE4" s="46">
        <v>474.9</v>
      </c>
      <c r="AF4" s="280">
        <f>AE4*AF3/100</f>
        <v>452.57969999999995</v>
      </c>
      <c r="AG4" s="281">
        <f>AF4*AG3/100</f>
        <v>479.7344819999999</v>
      </c>
      <c r="AH4" s="281">
        <f>AG4*AH3/100</f>
        <v>503.7212060999999</v>
      </c>
      <c r="AI4" s="3">
        <v>548.53578324408397</v>
      </c>
      <c r="AJ4" s="817">
        <v>590.22450277063433</v>
      </c>
      <c r="AK4" s="782">
        <v>630.94999346180816</v>
      </c>
      <c r="AL4" s="312">
        <v>630.94999346180816</v>
      </c>
    </row>
    <row r="5" spans="1:38" s="15" customFormat="1" ht="15">
      <c r="A5" s="282" t="s">
        <v>105</v>
      </c>
      <c r="B5" s="273" t="s">
        <v>104</v>
      </c>
      <c r="C5" s="36" t="s">
        <v>428</v>
      </c>
      <c r="D5" s="36" t="s">
        <v>429</v>
      </c>
      <c r="E5" s="36">
        <v>1.8</v>
      </c>
      <c r="F5" s="36">
        <v>27.2</v>
      </c>
      <c r="G5" s="36">
        <v>67.400000000000006</v>
      </c>
      <c r="H5" s="36">
        <v>166.3</v>
      </c>
      <c r="I5" s="36">
        <v>223.7</v>
      </c>
      <c r="J5" s="36">
        <v>265.10000000000002</v>
      </c>
      <c r="K5" s="36">
        <v>319.8</v>
      </c>
      <c r="L5" s="36">
        <v>367.5</v>
      </c>
      <c r="M5" s="36">
        <v>504.9</v>
      </c>
      <c r="N5" s="36">
        <v>603.29999999999995</v>
      </c>
      <c r="O5" s="36">
        <v>695.8</v>
      </c>
      <c r="P5" s="36">
        <v>924.4</v>
      </c>
      <c r="Q5" s="36">
        <v>1218.5999999999999</v>
      </c>
      <c r="R5" s="36">
        <v>1792.9</v>
      </c>
      <c r="S5" s="36">
        <v>2048.9</v>
      </c>
      <c r="T5" s="36">
        <v>2193.1999999999998</v>
      </c>
      <c r="U5" s="36">
        <v>2306.8000000000002</v>
      </c>
      <c r="V5" s="36">
        <v>2797.3</v>
      </c>
      <c r="W5" s="64">
        <v>3394.8</v>
      </c>
      <c r="X5" s="64">
        <v>3908</v>
      </c>
      <c r="Y5" s="64">
        <v>4779.1000000000004</v>
      </c>
      <c r="Z5" s="64">
        <v>5021</v>
      </c>
      <c r="AA5" s="64">
        <v>5439.6</v>
      </c>
      <c r="AB5" s="276">
        <v>6138.5</v>
      </c>
      <c r="AC5" s="276">
        <v>6694.2</v>
      </c>
      <c r="AD5" s="276">
        <v>6636.1</v>
      </c>
      <c r="AE5" s="276">
        <v>7183.9</v>
      </c>
      <c r="AF5" s="65">
        <v>6913</v>
      </c>
      <c r="AG5" s="276">
        <v>7495.8</v>
      </c>
      <c r="AH5" s="277">
        <v>8985.6</v>
      </c>
      <c r="AI5" s="6">
        <v>11492.7</v>
      </c>
      <c r="AJ5" s="782">
        <v>13844.9</v>
      </c>
      <c r="AK5" s="782">
        <v>16068.4</v>
      </c>
      <c r="AL5" s="312">
        <v>16068.4</v>
      </c>
    </row>
    <row r="6" spans="1:38" s="15" customFormat="1">
      <c r="A6" s="272" t="s">
        <v>102</v>
      </c>
      <c r="B6" s="273" t="s">
        <v>74</v>
      </c>
      <c r="C6" s="36">
        <v>163</v>
      </c>
      <c r="D6" s="36" t="s">
        <v>7</v>
      </c>
      <c r="E6" s="36">
        <v>3.9</v>
      </c>
      <c r="F6" s="36" t="s">
        <v>8</v>
      </c>
      <c r="G6" s="36" t="s">
        <v>9</v>
      </c>
      <c r="H6" s="36" t="s">
        <v>9</v>
      </c>
      <c r="I6" s="36">
        <v>134.5</v>
      </c>
      <c r="J6" s="36">
        <v>118.5</v>
      </c>
      <c r="K6" s="36">
        <v>120.6</v>
      </c>
      <c r="L6" s="36">
        <v>114.9</v>
      </c>
      <c r="M6" s="36">
        <v>137.4</v>
      </c>
      <c r="N6" s="36">
        <v>119.5</v>
      </c>
      <c r="O6" s="36">
        <v>115.3</v>
      </c>
      <c r="P6" s="36">
        <v>132.9</v>
      </c>
      <c r="Q6" s="36">
        <v>131.80000000000001</v>
      </c>
      <c r="R6" s="36">
        <v>147.1</v>
      </c>
      <c r="S6" s="36">
        <v>114.3</v>
      </c>
      <c r="T6" s="36">
        <v>107</v>
      </c>
      <c r="U6" s="36">
        <v>105.2</v>
      </c>
      <c r="V6" s="36">
        <v>121.3</v>
      </c>
      <c r="W6" s="64">
        <v>121.4</v>
      </c>
      <c r="X6" s="64">
        <v>115.1</v>
      </c>
      <c r="Y6" s="64">
        <v>122.3</v>
      </c>
      <c r="Z6" s="64">
        <v>105.1</v>
      </c>
      <c r="AA6" s="64">
        <v>108.3</v>
      </c>
      <c r="AB6" s="34">
        <v>112.8</v>
      </c>
      <c r="AC6" s="276">
        <v>109.1</v>
      </c>
      <c r="AD6" s="36">
        <v>99.1</v>
      </c>
      <c r="AE6" s="36">
        <v>108.3</v>
      </c>
      <c r="AF6" s="40">
        <v>96.2</v>
      </c>
      <c r="AG6" s="46">
        <v>108.4</v>
      </c>
      <c r="AH6" s="279">
        <v>119.9</v>
      </c>
      <c r="AI6" s="3">
        <v>127.90130876068378</v>
      </c>
      <c r="AJ6" s="817">
        <v>120.46690507887614</v>
      </c>
      <c r="AK6" s="878">
        <v>116.06006543925922</v>
      </c>
      <c r="AL6" s="312">
        <v>116.06006543925922</v>
      </c>
    </row>
    <row r="7" spans="1:38" s="15" customFormat="1">
      <c r="A7" s="272" t="s">
        <v>106</v>
      </c>
      <c r="B7" s="273" t="s">
        <v>214</v>
      </c>
      <c r="C7" s="267">
        <v>1991</v>
      </c>
      <c r="D7" s="267">
        <v>1992</v>
      </c>
      <c r="E7" s="267">
        <v>1993</v>
      </c>
      <c r="F7" s="267">
        <v>1994</v>
      </c>
      <c r="G7" s="267">
        <v>1995</v>
      </c>
      <c r="H7" s="267">
        <v>1996</v>
      </c>
      <c r="I7" s="267">
        <v>1997</v>
      </c>
      <c r="J7" s="267">
        <v>1998</v>
      </c>
      <c r="K7" s="267">
        <v>1999</v>
      </c>
      <c r="L7" s="267">
        <v>2000</v>
      </c>
      <c r="M7" s="267">
        <v>2001</v>
      </c>
      <c r="N7" s="267">
        <v>2002</v>
      </c>
      <c r="O7" s="267">
        <v>2003</v>
      </c>
      <c r="P7" s="267">
        <v>2004</v>
      </c>
      <c r="Q7" s="267">
        <v>2005</v>
      </c>
      <c r="R7" s="267">
        <v>2006</v>
      </c>
      <c r="S7" s="267">
        <v>2007</v>
      </c>
      <c r="T7" s="267">
        <v>2008</v>
      </c>
      <c r="U7" s="267">
        <v>2009</v>
      </c>
      <c r="V7" s="267">
        <v>2010</v>
      </c>
      <c r="W7" s="267">
        <v>2011</v>
      </c>
      <c r="X7" s="267">
        <v>2012</v>
      </c>
      <c r="Y7" s="267">
        <v>2013</v>
      </c>
      <c r="Z7" s="267">
        <v>2014</v>
      </c>
      <c r="AA7" s="267">
        <v>2015</v>
      </c>
      <c r="AB7" s="268">
        <v>2016</v>
      </c>
      <c r="AC7" s="268">
        <v>2017</v>
      </c>
      <c r="AD7" s="268">
        <v>2018</v>
      </c>
      <c r="AE7" s="267">
        <v>2019</v>
      </c>
      <c r="AF7" s="267">
        <v>2020</v>
      </c>
      <c r="AG7" s="267">
        <v>2021</v>
      </c>
      <c r="AH7" s="267">
        <v>2022</v>
      </c>
      <c r="AI7" s="267">
        <v>2023</v>
      </c>
      <c r="AJ7" s="267">
        <v>2024</v>
      </c>
      <c r="AK7" s="267">
        <v>2025</v>
      </c>
      <c r="AL7" s="1078"/>
    </row>
    <row r="8" spans="1:38" s="15" customFormat="1">
      <c r="A8" s="272" t="s">
        <v>107</v>
      </c>
      <c r="B8" s="283"/>
      <c r="C8" s="36"/>
      <c r="D8" s="36"/>
      <c r="E8" s="36"/>
      <c r="F8" s="36"/>
      <c r="G8" s="36"/>
      <c r="H8" s="36"/>
      <c r="I8" s="36"/>
      <c r="J8" s="36"/>
      <c r="K8" s="36"/>
      <c r="L8" s="36"/>
      <c r="M8" s="36"/>
      <c r="N8" s="36"/>
      <c r="O8" s="36"/>
      <c r="P8" s="36"/>
      <c r="Q8" s="36"/>
      <c r="R8" s="36"/>
      <c r="S8" s="36"/>
      <c r="T8" s="36"/>
      <c r="U8" s="36"/>
      <c r="V8" s="36"/>
      <c r="W8" s="36"/>
      <c r="X8" s="36"/>
      <c r="Y8" s="36"/>
      <c r="Z8" s="36"/>
      <c r="AA8" s="36"/>
      <c r="AB8" s="34"/>
      <c r="AC8" s="32"/>
      <c r="AD8" s="33"/>
      <c r="AE8" s="32"/>
      <c r="AF8" s="92"/>
      <c r="AG8" s="92"/>
      <c r="AH8" s="32"/>
      <c r="AI8" s="1"/>
      <c r="AJ8" s="824"/>
      <c r="AK8" s="824"/>
      <c r="AL8" s="1078"/>
    </row>
    <row r="9" spans="1:38" s="15" customFormat="1">
      <c r="A9" s="272" t="s">
        <v>108</v>
      </c>
      <c r="B9" s="283"/>
      <c r="C9" s="36" t="s">
        <v>1</v>
      </c>
      <c r="D9" s="36" t="s">
        <v>1</v>
      </c>
      <c r="E9" s="36" t="s">
        <v>1</v>
      </c>
      <c r="F9" s="36" t="s">
        <v>1</v>
      </c>
      <c r="G9" s="36" t="s">
        <v>1</v>
      </c>
      <c r="H9" s="36" t="s">
        <v>1</v>
      </c>
      <c r="I9" s="36" t="s">
        <v>1</v>
      </c>
      <c r="J9" s="36" t="s">
        <v>1</v>
      </c>
      <c r="K9" s="36" t="s">
        <v>1</v>
      </c>
      <c r="L9" s="36" t="s">
        <v>1</v>
      </c>
      <c r="M9" s="58">
        <v>385663</v>
      </c>
      <c r="N9" s="58">
        <v>494555</v>
      </c>
      <c r="O9" s="58">
        <v>608328</v>
      </c>
      <c r="P9" s="58">
        <v>818618</v>
      </c>
      <c r="Q9" s="58" t="s">
        <v>27</v>
      </c>
      <c r="R9" s="58" t="s">
        <v>28</v>
      </c>
      <c r="S9" s="58" t="s">
        <v>29</v>
      </c>
      <c r="T9" s="58" t="s">
        <v>30</v>
      </c>
      <c r="U9" s="58" t="s">
        <v>31</v>
      </c>
      <c r="V9" s="58" t="s">
        <v>32</v>
      </c>
      <c r="W9" s="58" t="s">
        <v>33</v>
      </c>
      <c r="X9" s="58" t="s">
        <v>34</v>
      </c>
      <c r="Y9" s="58" t="s">
        <v>35</v>
      </c>
      <c r="Z9" s="58" t="s">
        <v>36</v>
      </c>
      <c r="AA9" s="58">
        <v>8110651</v>
      </c>
      <c r="AB9" s="58">
        <v>9671977.1999999993</v>
      </c>
      <c r="AC9" s="59">
        <v>10487768.9</v>
      </c>
      <c r="AD9" s="69">
        <v>12013817.300000001</v>
      </c>
      <c r="AE9" s="59">
        <v>11944790.999999998</v>
      </c>
      <c r="AF9" s="61">
        <v>13647809.300000001</v>
      </c>
      <c r="AG9" s="59">
        <v>13943855.5</v>
      </c>
      <c r="AH9" s="284">
        <v>15346905.699999999</v>
      </c>
      <c r="AI9" s="284">
        <v>17068037</v>
      </c>
      <c r="AJ9" s="768">
        <v>18538999.300000001</v>
      </c>
      <c r="AK9" s="798">
        <v>19129344</v>
      </c>
      <c r="AL9" s="1078"/>
    </row>
    <row r="10" spans="1:38" s="15" customFormat="1">
      <c r="A10" s="285" t="s">
        <v>109</v>
      </c>
      <c r="B10" s="283"/>
      <c r="C10" s="36" t="s">
        <v>1</v>
      </c>
      <c r="D10" s="36" t="s">
        <v>1</v>
      </c>
      <c r="E10" s="36" t="s">
        <v>1</v>
      </c>
      <c r="F10" s="36" t="s">
        <v>1</v>
      </c>
      <c r="G10" s="36" t="s">
        <v>1</v>
      </c>
      <c r="H10" s="36" t="s">
        <v>1</v>
      </c>
      <c r="I10" s="36" t="s">
        <v>1</v>
      </c>
      <c r="J10" s="36" t="s">
        <v>1</v>
      </c>
      <c r="K10" s="36" t="s">
        <v>1</v>
      </c>
      <c r="L10" s="36" t="s">
        <v>1</v>
      </c>
      <c r="M10" s="58">
        <v>94372</v>
      </c>
      <c r="N10" s="58">
        <v>139925</v>
      </c>
      <c r="O10" s="58">
        <v>136094</v>
      </c>
      <c r="P10" s="58">
        <v>186923</v>
      </c>
      <c r="Q10" s="58">
        <v>216409</v>
      </c>
      <c r="R10" s="58">
        <v>327995</v>
      </c>
      <c r="S10" s="58">
        <v>359736</v>
      </c>
      <c r="T10" s="58">
        <v>448001</v>
      </c>
      <c r="U10" s="58">
        <v>562084</v>
      </c>
      <c r="V10" s="58">
        <v>982585</v>
      </c>
      <c r="W10" s="58">
        <v>797069</v>
      </c>
      <c r="X10" s="58" t="s">
        <v>37</v>
      </c>
      <c r="Y10" s="58" t="s">
        <v>38</v>
      </c>
      <c r="Z10" s="58" t="s">
        <v>39</v>
      </c>
      <c r="AA10" s="58">
        <v>3773645</v>
      </c>
      <c r="AB10" s="58">
        <v>4248083.2</v>
      </c>
      <c r="AC10" s="59">
        <v>4983653.5</v>
      </c>
      <c r="AD10" s="69">
        <v>5154145.3</v>
      </c>
      <c r="AE10" s="59">
        <v>5243441.3</v>
      </c>
      <c r="AF10" s="61">
        <v>6141709.7999999998</v>
      </c>
      <c r="AG10" s="59">
        <v>5666082.5999999996</v>
      </c>
      <c r="AH10" s="284">
        <v>5855373</v>
      </c>
      <c r="AI10" s="284">
        <v>5923197</v>
      </c>
      <c r="AJ10" s="768">
        <v>6326291.5999999996</v>
      </c>
      <c r="AK10" s="798">
        <v>7227074</v>
      </c>
      <c r="AL10" s="1078"/>
    </row>
    <row r="11" spans="1:38" s="15" customFormat="1">
      <c r="A11" s="246" t="s">
        <v>135</v>
      </c>
      <c r="B11" s="283"/>
      <c r="C11" s="36" t="s">
        <v>1</v>
      </c>
      <c r="D11" s="36" t="s">
        <v>1</v>
      </c>
      <c r="E11" s="36" t="s">
        <v>1</v>
      </c>
      <c r="F11" s="36" t="s">
        <v>1</v>
      </c>
      <c r="G11" s="36" t="s">
        <v>1</v>
      </c>
      <c r="H11" s="36" t="s">
        <v>1</v>
      </c>
      <c r="I11" s="36" t="s">
        <v>1</v>
      </c>
      <c r="J11" s="36" t="s">
        <v>1</v>
      </c>
      <c r="K11" s="36" t="s">
        <v>1</v>
      </c>
      <c r="L11" s="36" t="s">
        <v>1</v>
      </c>
      <c r="M11" s="58" t="s">
        <v>1</v>
      </c>
      <c r="N11" s="58" t="s">
        <v>1</v>
      </c>
      <c r="O11" s="58" t="s">
        <v>1</v>
      </c>
      <c r="P11" s="58" t="s">
        <v>1</v>
      </c>
      <c r="Q11" s="58" t="s">
        <v>1</v>
      </c>
      <c r="R11" s="58" t="s">
        <v>1</v>
      </c>
      <c r="S11" s="58" t="s">
        <v>1</v>
      </c>
      <c r="T11" s="58">
        <v>10210</v>
      </c>
      <c r="U11" s="58">
        <v>17164</v>
      </c>
      <c r="V11" s="58">
        <v>46669</v>
      </c>
      <c r="W11" s="58">
        <v>39158</v>
      </c>
      <c r="X11" s="58">
        <v>53060</v>
      </c>
      <c r="Y11" s="58">
        <v>55955</v>
      </c>
      <c r="Z11" s="58">
        <v>72664</v>
      </c>
      <c r="AA11" s="58">
        <v>81685</v>
      </c>
      <c r="AB11" s="58">
        <v>108529.3</v>
      </c>
      <c r="AC11" s="59">
        <v>115339.9</v>
      </c>
      <c r="AD11" s="69">
        <v>198934.39999999999</v>
      </c>
      <c r="AE11" s="59">
        <v>185164.1</v>
      </c>
      <c r="AF11" s="61">
        <v>211883.9</v>
      </c>
      <c r="AG11" s="59">
        <v>269612.59999999998</v>
      </c>
      <c r="AH11" s="284">
        <v>388623.3</v>
      </c>
      <c r="AI11" s="284">
        <v>588816</v>
      </c>
      <c r="AJ11" s="768">
        <v>484885.3</v>
      </c>
      <c r="AK11" s="798">
        <v>868580</v>
      </c>
      <c r="AL11" s="1078"/>
    </row>
    <row r="12" spans="1:38" s="15" customFormat="1">
      <c r="A12" s="285" t="s">
        <v>110</v>
      </c>
      <c r="B12" s="283"/>
      <c r="C12" s="36" t="s">
        <v>1</v>
      </c>
      <c r="D12" s="36" t="s">
        <v>1</v>
      </c>
      <c r="E12" s="36" t="s">
        <v>1</v>
      </c>
      <c r="F12" s="36" t="s">
        <v>1</v>
      </c>
      <c r="G12" s="36" t="s">
        <v>1</v>
      </c>
      <c r="H12" s="36" t="s">
        <v>1</v>
      </c>
      <c r="I12" s="36" t="s">
        <v>1</v>
      </c>
      <c r="J12" s="36" t="s">
        <v>1</v>
      </c>
      <c r="K12" s="36" t="s">
        <v>1</v>
      </c>
      <c r="L12" s="36" t="s">
        <v>1</v>
      </c>
      <c r="M12" s="58">
        <v>30037</v>
      </c>
      <c r="N12" s="58">
        <v>33174</v>
      </c>
      <c r="O12" s="58">
        <v>36608</v>
      </c>
      <c r="P12" s="58">
        <v>42646</v>
      </c>
      <c r="Q12" s="58">
        <v>59243</v>
      </c>
      <c r="R12" s="58">
        <v>70302</v>
      </c>
      <c r="S12" s="58">
        <v>119243</v>
      </c>
      <c r="T12" s="58">
        <v>128507</v>
      </c>
      <c r="U12" s="58">
        <v>170663</v>
      </c>
      <c r="V12" s="58">
        <v>185664</v>
      </c>
      <c r="W12" s="58">
        <v>151813</v>
      </c>
      <c r="X12" s="58">
        <v>180437</v>
      </c>
      <c r="Y12" s="58">
        <v>186407</v>
      </c>
      <c r="Z12" s="58">
        <v>241939</v>
      </c>
      <c r="AA12" s="58">
        <v>334956</v>
      </c>
      <c r="AB12" s="58">
        <v>467208.9</v>
      </c>
      <c r="AC12" s="59">
        <v>363154.6</v>
      </c>
      <c r="AD12" s="69">
        <v>436014.7</v>
      </c>
      <c r="AE12" s="59">
        <v>537845.6</v>
      </c>
      <c r="AF12" s="61">
        <v>469339.6</v>
      </c>
      <c r="AG12" s="59">
        <v>547991.9</v>
      </c>
      <c r="AH12" s="284">
        <v>575584.9</v>
      </c>
      <c r="AI12" s="284">
        <v>562711</v>
      </c>
      <c r="AJ12" s="768">
        <v>728236.1</v>
      </c>
      <c r="AK12" s="798">
        <v>776467</v>
      </c>
      <c r="AL12" s="1078"/>
    </row>
    <row r="13" spans="1:38" s="15" customFormat="1">
      <c r="A13" s="285" t="s">
        <v>111</v>
      </c>
      <c r="B13" s="283"/>
      <c r="C13" s="36" t="s">
        <v>1</v>
      </c>
      <c r="D13" s="36" t="s">
        <v>1</v>
      </c>
      <c r="E13" s="36" t="s">
        <v>1</v>
      </c>
      <c r="F13" s="36" t="s">
        <v>1</v>
      </c>
      <c r="G13" s="36" t="s">
        <v>1</v>
      </c>
      <c r="H13" s="36" t="s">
        <v>1</v>
      </c>
      <c r="I13" s="36" t="s">
        <v>1</v>
      </c>
      <c r="J13" s="36" t="s">
        <v>1</v>
      </c>
      <c r="K13" s="36" t="s">
        <v>1</v>
      </c>
      <c r="L13" s="36" t="s">
        <v>1</v>
      </c>
      <c r="M13" s="58">
        <v>78193</v>
      </c>
      <c r="N13" s="58">
        <v>100771</v>
      </c>
      <c r="O13" s="58">
        <v>128441</v>
      </c>
      <c r="P13" s="58">
        <v>188770</v>
      </c>
      <c r="Q13" s="58">
        <v>268924</v>
      </c>
      <c r="R13" s="58">
        <v>356471</v>
      </c>
      <c r="S13" s="58">
        <v>392528</v>
      </c>
      <c r="T13" s="58">
        <v>447685</v>
      </c>
      <c r="U13" s="58">
        <v>784141</v>
      </c>
      <c r="V13" s="58">
        <v>868388</v>
      </c>
      <c r="W13" s="58">
        <v>973769</v>
      </c>
      <c r="X13" s="58" t="s">
        <v>40</v>
      </c>
      <c r="Y13" s="58">
        <v>944194</v>
      </c>
      <c r="Z13" s="58" t="s">
        <v>41</v>
      </c>
      <c r="AA13" s="58">
        <v>1396887</v>
      </c>
      <c r="AB13" s="58">
        <v>1792992.7</v>
      </c>
      <c r="AC13" s="59">
        <v>2038780.2</v>
      </c>
      <c r="AD13" s="69">
        <v>2547654.7000000002</v>
      </c>
      <c r="AE13" s="59">
        <v>2454211.7000000002</v>
      </c>
      <c r="AF13" s="61">
        <v>3238247.7</v>
      </c>
      <c r="AG13" s="59">
        <v>3400812.9</v>
      </c>
      <c r="AH13" s="284">
        <v>2733040.8</v>
      </c>
      <c r="AI13" s="284">
        <v>4121131</v>
      </c>
      <c r="AJ13" s="768">
        <v>4760734.5999999996</v>
      </c>
      <c r="AK13" s="798">
        <v>3805940</v>
      </c>
      <c r="AL13" s="1078"/>
    </row>
    <row r="14" spans="1:38" s="15" customFormat="1">
      <c r="A14" s="247" t="s">
        <v>388</v>
      </c>
      <c r="B14" s="283"/>
      <c r="C14" s="36" t="s">
        <v>1</v>
      </c>
      <c r="D14" s="36" t="s">
        <v>1</v>
      </c>
      <c r="E14" s="36" t="s">
        <v>1</v>
      </c>
      <c r="F14" s="36" t="s">
        <v>1</v>
      </c>
      <c r="G14" s="36" t="s">
        <v>1</v>
      </c>
      <c r="H14" s="36" t="s">
        <v>1</v>
      </c>
      <c r="I14" s="36" t="s">
        <v>1</v>
      </c>
      <c r="J14" s="36" t="s">
        <v>1</v>
      </c>
      <c r="K14" s="36" t="s">
        <v>1</v>
      </c>
      <c r="L14" s="36" t="s">
        <v>1</v>
      </c>
      <c r="M14" s="58">
        <v>60406</v>
      </c>
      <c r="N14" s="58">
        <v>74202</v>
      </c>
      <c r="O14" s="58">
        <v>88960</v>
      </c>
      <c r="P14" s="58">
        <v>107161</v>
      </c>
      <c r="Q14" s="58">
        <v>122844</v>
      </c>
      <c r="R14" s="58">
        <v>190705</v>
      </c>
      <c r="S14" s="58">
        <v>237697</v>
      </c>
      <c r="T14" s="58">
        <v>260340</v>
      </c>
      <c r="U14" s="58">
        <v>247792</v>
      </c>
      <c r="V14" s="58">
        <v>238640</v>
      </c>
      <c r="W14" s="58">
        <v>235241</v>
      </c>
      <c r="X14" s="58">
        <v>269352</v>
      </c>
      <c r="Y14" s="58">
        <v>329589</v>
      </c>
      <c r="Z14" s="58">
        <v>387495</v>
      </c>
      <c r="AA14" s="58">
        <v>392146</v>
      </c>
      <c r="AB14" s="58">
        <v>379941.9</v>
      </c>
      <c r="AC14" s="59">
        <v>415767.4</v>
      </c>
      <c r="AD14" s="69">
        <v>521501.2</v>
      </c>
      <c r="AE14" s="59">
        <v>470342</v>
      </c>
      <c r="AF14" s="61">
        <v>436082</v>
      </c>
      <c r="AG14" s="59">
        <v>641858.4</v>
      </c>
      <c r="AH14" s="284">
        <v>777119.7</v>
      </c>
      <c r="AI14" s="284">
        <v>705624</v>
      </c>
      <c r="AJ14" s="768">
        <v>997852.4</v>
      </c>
      <c r="AK14" s="798">
        <v>1028819</v>
      </c>
      <c r="AL14" s="1078"/>
    </row>
    <row r="15" spans="1:38" s="15" customFormat="1">
      <c r="A15" s="285" t="s">
        <v>136</v>
      </c>
      <c r="B15" s="283"/>
      <c r="C15" s="36" t="s">
        <v>1</v>
      </c>
      <c r="D15" s="36" t="s">
        <v>1</v>
      </c>
      <c r="E15" s="36" t="s">
        <v>1</v>
      </c>
      <c r="F15" s="36" t="s">
        <v>1</v>
      </c>
      <c r="G15" s="36" t="s">
        <v>1</v>
      </c>
      <c r="H15" s="36" t="s">
        <v>1</v>
      </c>
      <c r="I15" s="36" t="s">
        <v>1</v>
      </c>
      <c r="J15" s="36" t="s">
        <v>1</v>
      </c>
      <c r="K15" s="36" t="s">
        <v>1</v>
      </c>
      <c r="L15" s="36" t="s">
        <v>1</v>
      </c>
      <c r="M15" s="58">
        <v>85741</v>
      </c>
      <c r="N15" s="58">
        <v>112650</v>
      </c>
      <c r="O15" s="58">
        <v>164059</v>
      </c>
      <c r="P15" s="58">
        <v>220324</v>
      </c>
      <c r="Q15" s="58">
        <v>258242</v>
      </c>
      <c r="R15" s="58">
        <v>389123</v>
      </c>
      <c r="S15" s="58">
        <v>547325</v>
      </c>
      <c r="T15" s="58">
        <v>564370</v>
      </c>
      <c r="U15" s="58" t="s">
        <v>42</v>
      </c>
      <c r="V15" s="58" t="s">
        <v>43</v>
      </c>
      <c r="W15" s="58" t="s">
        <v>44</v>
      </c>
      <c r="X15" s="58" t="s">
        <v>45</v>
      </c>
      <c r="Y15" s="58">
        <v>2036480</v>
      </c>
      <c r="Z15" s="58" t="s">
        <v>46</v>
      </c>
      <c r="AA15" s="58">
        <v>1493873</v>
      </c>
      <c r="AB15" s="58">
        <v>1985316.7</v>
      </c>
      <c r="AC15" s="59">
        <v>1885848.8</v>
      </c>
      <c r="AD15" s="69">
        <v>2430021.4</v>
      </c>
      <c r="AE15" s="59">
        <v>2272521.7000000002</v>
      </c>
      <c r="AF15" s="61">
        <v>2314250.2000000002</v>
      </c>
      <c r="AG15" s="59">
        <v>2540763.7999999998</v>
      </c>
      <c r="AH15" s="284">
        <v>3757811.7</v>
      </c>
      <c r="AI15" s="284">
        <v>3745460</v>
      </c>
      <c r="AJ15" s="768">
        <v>3848188</v>
      </c>
      <c r="AK15" s="798">
        <v>3937998</v>
      </c>
      <c r="AL15" s="1078"/>
    </row>
    <row r="16" spans="1:38" s="15" customFormat="1">
      <c r="A16" s="285" t="s">
        <v>112</v>
      </c>
      <c r="B16" s="283"/>
      <c r="C16" s="36" t="s">
        <v>1</v>
      </c>
      <c r="D16" s="36" t="s">
        <v>1</v>
      </c>
      <c r="E16" s="36" t="s">
        <v>1</v>
      </c>
      <c r="F16" s="36" t="s">
        <v>1</v>
      </c>
      <c r="G16" s="36" t="s">
        <v>1</v>
      </c>
      <c r="H16" s="36" t="s">
        <v>1</v>
      </c>
      <c r="I16" s="36" t="s">
        <v>1</v>
      </c>
      <c r="J16" s="36" t="s">
        <v>1</v>
      </c>
      <c r="K16" s="36" t="s">
        <v>1</v>
      </c>
      <c r="L16" s="36" t="s">
        <v>1</v>
      </c>
      <c r="M16" s="58" t="s">
        <v>1</v>
      </c>
      <c r="N16" s="58" t="s">
        <v>1</v>
      </c>
      <c r="O16" s="58" t="s">
        <v>1</v>
      </c>
      <c r="P16" s="58" t="s">
        <v>1</v>
      </c>
      <c r="Q16" s="58" t="s">
        <v>1</v>
      </c>
      <c r="R16" s="58" t="s">
        <v>1</v>
      </c>
      <c r="S16" s="58" t="s">
        <v>1</v>
      </c>
      <c r="T16" s="58" t="s">
        <v>1</v>
      </c>
      <c r="U16" s="58" t="s">
        <v>1</v>
      </c>
      <c r="V16" s="58" t="s">
        <v>1</v>
      </c>
      <c r="W16" s="58" t="s">
        <v>1</v>
      </c>
      <c r="X16" s="58" t="s">
        <v>1</v>
      </c>
      <c r="Y16" s="58" t="s">
        <v>1</v>
      </c>
      <c r="Z16" s="58">
        <v>5230</v>
      </c>
      <c r="AA16" s="58">
        <v>15612</v>
      </c>
      <c r="AB16" s="58">
        <v>31066</v>
      </c>
      <c r="AC16" s="59">
        <v>30800.400000000001</v>
      </c>
      <c r="AD16" s="69">
        <v>51544.3</v>
      </c>
      <c r="AE16" s="59">
        <v>56927.4</v>
      </c>
      <c r="AF16" s="61">
        <v>86510.5</v>
      </c>
      <c r="AG16" s="59">
        <v>82709.100000000006</v>
      </c>
      <c r="AH16" s="284">
        <v>259316.4</v>
      </c>
      <c r="AI16" s="284">
        <v>330684</v>
      </c>
      <c r="AJ16" s="768">
        <v>178688.9</v>
      </c>
      <c r="AK16" s="798">
        <v>231028</v>
      </c>
      <c r="AL16" s="1078"/>
    </row>
    <row r="17" spans="1:162" s="15" customFormat="1">
      <c r="A17" s="285" t="s">
        <v>113</v>
      </c>
      <c r="B17" s="283"/>
      <c r="C17" s="36" t="s">
        <v>1</v>
      </c>
      <c r="D17" s="36" t="s">
        <v>1</v>
      </c>
      <c r="E17" s="36" t="s">
        <v>1</v>
      </c>
      <c r="F17" s="36" t="s">
        <v>1</v>
      </c>
      <c r="G17" s="36" t="s">
        <v>1</v>
      </c>
      <c r="H17" s="36" t="s">
        <v>1</v>
      </c>
      <c r="I17" s="36" t="s">
        <v>1</v>
      </c>
      <c r="J17" s="36" t="s">
        <v>1</v>
      </c>
      <c r="K17" s="36" t="s">
        <v>1</v>
      </c>
      <c r="L17" s="36" t="s">
        <v>1</v>
      </c>
      <c r="M17" s="58">
        <v>36914</v>
      </c>
      <c r="N17" s="58">
        <v>33833</v>
      </c>
      <c r="O17" s="58">
        <v>54166</v>
      </c>
      <c r="P17" s="58">
        <v>72794</v>
      </c>
      <c r="Q17" s="58">
        <v>82003</v>
      </c>
      <c r="R17" s="58">
        <v>87226</v>
      </c>
      <c r="S17" s="58">
        <v>107856</v>
      </c>
      <c r="T17" s="58">
        <v>139208</v>
      </c>
      <c r="U17" s="58">
        <v>171491</v>
      </c>
      <c r="V17" s="58">
        <v>220832</v>
      </c>
      <c r="W17" s="58">
        <v>344090</v>
      </c>
      <c r="X17" s="58">
        <v>444314</v>
      </c>
      <c r="Y17" s="58">
        <v>512423</v>
      </c>
      <c r="Z17" s="58">
        <v>543549</v>
      </c>
      <c r="AA17" s="58">
        <v>621847</v>
      </c>
      <c r="AB17" s="58">
        <v>658838.5</v>
      </c>
      <c r="AC17" s="59">
        <v>654424</v>
      </c>
      <c r="AD17" s="69">
        <v>674001.3</v>
      </c>
      <c r="AE17" s="59">
        <v>724337.3</v>
      </c>
      <c r="AF17" s="61">
        <v>749785.59999999998</v>
      </c>
      <c r="AG17" s="59">
        <v>794024.2</v>
      </c>
      <c r="AH17" s="284">
        <v>1000035.8</v>
      </c>
      <c r="AI17" s="284">
        <v>1090415</v>
      </c>
      <c r="AJ17" s="768">
        <v>1214122.3</v>
      </c>
      <c r="AK17" s="798">
        <v>1253437</v>
      </c>
      <c r="AL17" s="1078"/>
    </row>
    <row r="18" spans="1:162" s="15" customFormat="1">
      <c r="A18" s="272" t="s">
        <v>114</v>
      </c>
      <c r="B18" s="273" t="s">
        <v>214</v>
      </c>
      <c r="C18" s="36" t="s">
        <v>1</v>
      </c>
      <c r="D18" s="36" t="s">
        <v>1</v>
      </c>
      <c r="E18" s="36" t="s">
        <v>1</v>
      </c>
      <c r="F18" s="36" t="s">
        <v>1</v>
      </c>
      <c r="G18" s="36" t="s">
        <v>1</v>
      </c>
      <c r="H18" s="36" t="s">
        <v>1</v>
      </c>
      <c r="I18" s="36" t="s">
        <v>1</v>
      </c>
      <c r="J18" s="36" t="s">
        <v>1</v>
      </c>
      <c r="K18" s="36" t="s">
        <v>1</v>
      </c>
      <c r="L18" s="36" t="s">
        <v>1</v>
      </c>
      <c r="M18" s="58"/>
      <c r="N18" s="58"/>
      <c r="O18" s="58"/>
      <c r="P18" s="58"/>
      <c r="Q18" s="58"/>
      <c r="R18" s="58"/>
      <c r="S18" s="58"/>
      <c r="T18" s="58"/>
      <c r="U18" s="58"/>
      <c r="V18" s="58"/>
      <c r="W18" s="58"/>
      <c r="X18" s="58"/>
      <c r="Y18" s="58"/>
      <c r="Z18" s="58"/>
      <c r="AA18" s="58"/>
      <c r="AB18" s="32"/>
      <c r="AC18" s="34"/>
      <c r="AD18" s="33"/>
      <c r="AE18" s="32"/>
      <c r="AF18" s="92"/>
      <c r="AG18" s="286"/>
      <c r="AH18" s="287"/>
      <c r="AI18" s="284"/>
      <c r="AJ18" s="801"/>
      <c r="AK18" s="812"/>
      <c r="AL18" s="1078"/>
    </row>
    <row r="19" spans="1:162" s="15" customFormat="1">
      <c r="A19" s="272" t="s">
        <v>108</v>
      </c>
      <c r="B19" s="283"/>
      <c r="C19" s="36" t="s">
        <v>1</v>
      </c>
      <c r="D19" s="36" t="s">
        <v>1</v>
      </c>
      <c r="E19" s="36" t="s">
        <v>1</v>
      </c>
      <c r="F19" s="36" t="s">
        <v>1</v>
      </c>
      <c r="G19" s="36" t="s">
        <v>1</v>
      </c>
      <c r="H19" s="36" t="s">
        <v>1</v>
      </c>
      <c r="I19" s="36" t="s">
        <v>1</v>
      </c>
      <c r="J19" s="36" t="s">
        <v>1</v>
      </c>
      <c r="K19" s="36" t="s">
        <v>1</v>
      </c>
      <c r="L19" s="36" t="s">
        <v>1</v>
      </c>
      <c r="M19" s="58">
        <v>271789</v>
      </c>
      <c r="N19" s="58">
        <v>358493</v>
      </c>
      <c r="O19" s="58">
        <v>449119</v>
      </c>
      <c r="P19" s="58">
        <v>613457</v>
      </c>
      <c r="Q19" s="58">
        <v>746946</v>
      </c>
      <c r="R19" s="58" t="s">
        <v>47</v>
      </c>
      <c r="S19" s="58" t="s">
        <v>48</v>
      </c>
      <c r="T19" s="58" t="s">
        <v>49</v>
      </c>
      <c r="U19" s="58" t="s">
        <v>50</v>
      </c>
      <c r="V19" s="58" t="s">
        <v>51</v>
      </c>
      <c r="W19" s="58" t="s">
        <v>52</v>
      </c>
      <c r="X19" s="58" t="s">
        <v>53</v>
      </c>
      <c r="Y19" s="58" t="s">
        <v>54</v>
      </c>
      <c r="Z19" s="58" t="s">
        <v>55</v>
      </c>
      <c r="AA19" s="58">
        <v>5604184</v>
      </c>
      <c r="AB19" s="58">
        <v>6548032.4000000004</v>
      </c>
      <c r="AC19" s="59">
        <v>7161939.5</v>
      </c>
      <c r="AD19" s="60">
        <v>7998464.7000000002</v>
      </c>
      <c r="AE19" s="58">
        <v>8140687.2000000002</v>
      </c>
      <c r="AF19" s="95">
        <v>9407647.5999999996</v>
      </c>
      <c r="AG19" s="59">
        <v>8980438.3000000007</v>
      </c>
      <c r="AH19" s="284">
        <v>9207531.8000000007</v>
      </c>
      <c r="AI19" s="284">
        <v>10076297</v>
      </c>
      <c r="AJ19" s="768">
        <v>11168892</v>
      </c>
      <c r="AK19" s="798">
        <v>12287217</v>
      </c>
      <c r="AL19" s="1078"/>
    </row>
    <row r="20" spans="1:162" s="15" customFormat="1">
      <c r="A20" s="285" t="s">
        <v>109</v>
      </c>
      <c r="B20" s="283"/>
      <c r="C20" s="36" t="s">
        <v>1</v>
      </c>
      <c r="D20" s="36" t="s">
        <v>1</v>
      </c>
      <c r="E20" s="36" t="s">
        <v>1</v>
      </c>
      <c r="F20" s="36" t="s">
        <v>1</v>
      </c>
      <c r="G20" s="36" t="s">
        <v>1</v>
      </c>
      <c r="H20" s="36" t="s">
        <v>1</v>
      </c>
      <c r="I20" s="36" t="s">
        <v>1</v>
      </c>
      <c r="J20" s="36" t="s">
        <v>1</v>
      </c>
      <c r="K20" s="36" t="s">
        <v>1</v>
      </c>
      <c r="L20" s="36" t="s">
        <v>1</v>
      </c>
      <c r="M20" s="58">
        <v>66449</v>
      </c>
      <c r="N20" s="58">
        <v>102516</v>
      </c>
      <c r="O20" s="58">
        <v>98359</v>
      </c>
      <c r="P20" s="58">
        <v>136781</v>
      </c>
      <c r="Q20" s="58">
        <v>159532</v>
      </c>
      <c r="R20" s="58">
        <v>254464</v>
      </c>
      <c r="S20" s="58">
        <v>258151</v>
      </c>
      <c r="T20" s="58">
        <v>329178</v>
      </c>
      <c r="U20" s="58">
        <v>375875</v>
      </c>
      <c r="V20" s="58">
        <v>634276</v>
      </c>
      <c r="W20" s="58">
        <v>548505</v>
      </c>
      <c r="X20" s="58">
        <v>912863</v>
      </c>
      <c r="Y20" s="58">
        <v>898491</v>
      </c>
      <c r="Z20" s="58" t="s">
        <v>56</v>
      </c>
      <c r="AA20" s="58">
        <v>2852186</v>
      </c>
      <c r="AB20" s="58">
        <v>3068425.7</v>
      </c>
      <c r="AC20" s="59">
        <v>3670505</v>
      </c>
      <c r="AD20" s="60">
        <v>3477346.4</v>
      </c>
      <c r="AE20" s="58">
        <v>3948103.6</v>
      </c>
      <c r="AF20" s="95">
        <v>4490265.0999999996</v>
      </c>
      <c r="AG20" s="59">
        <v>3823569.3</v>
      </c>
      <c r="AH20" s="284">
        <v>3345943.1</v>
      </c>
      <c r="AI20" s="284">
        <v>3153219</v>
      </c>
      <c r="AJ20" s="768">
        <v>3373955.9</v>
      </c>
      <c r="AK20" s="798">
        <v>4505860</v>
      </c>
      <c r="AL20" s="1078"/>
    </row>
    <row r="21" spans="1:162" s="15" customFormat="1">
      <c r="A21" s="246" t="s">
        <v>135</v>
      </c>
      <c r="B21" s="283"/>
      <c r="C21" s="36" t="s">
        <v>1</v>
      </c>
      <c r="D21" s="36" t="s">
        <v>1</v>
      </c>
      <c r="E21" s="36" t="s">
        <v>1</v>
      </c>
      <c r="F21" s="36" t="s">
        <v>1</v>
      </c>
      <c r="G21" s="36" t="s">
        <v>1</v>
      </c>
      <c r="H21" s="36" t="s">
        <v>1</v>
      </c>
      <c r="I21" s="36" t="s">
        <v>1</v>
      </c>
      <c r="J21" s="36" t="s">
        <v>1</v>
      </c>
      <c r="K21" s="36" t="s">
        <v>1</v>
      </c>
      <c r="L21" s="36" t="s">
        <v>1</v>
      </c>
      <c r="M21" s="58" t="s">
        <v>1</v>
      </c>
      <c r="N21" s="58" t="s">
        <v>1</v>
      </c>
      <c r="O21" s="58" t="s">
        <v>1</v>
      </c>
      <c r="P21" s="58" t="s">
        <v>1</v>
      </c>
      <c r="Q21" s="58" t="s">
        <v>1</v>
      </c>
      <c r="R21" s="58" t="s">
        <v>1</v>
      </c>
      <c r="S21" s="58" t="s">
        <v>1</v>
      </c>
      <c r="T21" s="58">
        <v>7512</v>
      </c>
      <c r="U21" s="58">
        <v>11874</v>
      </c>
      <c r="V21" s="58">
        <v>28887</v>
      </c>
      <c r="W21" s="58">
        <v>23842</v>
      </c>
      <c r="X21" s="58">
        <v>31803</v>
      </c>
      <c r="Y21" s="58">
        <v>39819</v>
      </c>
      <c r="Z21" s="58">
        <v>47777</v>
      </c>
      <c r="AA21" s="58">
        <v>52068</v>
      </c>
      <c r="AB21" s="58">
        <v>65060</v>
      </c>
      <c r="AC21" s="59">
        <v>69922.7</v>
      </c>
      <c r="AD21" s="60">
        <v>132038.9</v>
      </c>
      <c r="AE21" s="58">
        <v>120918.3</v>
      </c>
      <c r="AF21" s="95">
        <v>151485.5</v>
      </c>
      <c r="AG21" s="59">
        <v>174955.6</v>
      </c>
      <c r="AH21" s="284">
        <v>284959.40000000002</v>
      </c>
      <c r="AI21" s="284">
        <v>318533</v>
      </c>
      <c r="AJ21" s="768">
        <v>347139.9</v>
      </c>
      <c r="AK21" s="798">
        <v>648312</v>
      </c>
      <c r="AL21" s="1078"/>
    </row>
    <row r="22" spans="1:162" s="15" customFormat="1">
      <c r="A22" s="285" t="s">
        <v>110</v>
      </c>
      <c r="B22" s="283"/>
      <c r="C22" s="36" t="s">
        <v>1</v>
      </c>
      <c r="D22" s="36" t="s">
        <v>1</v>
      </c>
      <c r="E22" s="36" t="s">
        <v>1</v>
      </c>
      <c r="F22" s="36" t="s">
        <v>1</v>
      </c>
      <c r="G22" s="36" t="s">
        <v>1</v>
      </c>
      <c r="H22" s="36" t="s">
        <v>1</v>
      </c>
      <c r="I22" s="36" t="s">
        <v>1</v>
      </c>
      <c r="J22" s="36" t="s">
        <v>1</v>
      </c>
      <c r="K22" s="36" t="s">
        <v>1</v>
      </c>
      <c r="L22" s="36" t="s">
        <v>1</v>
      </c>
      <c r="M22" s="58">
        <v>21220</v>
      </c>
      <c r="N22" s="58">
        <v>22803</v>
      </c>
      <c r="O22" s="58">
        <v>25878</v>
      </c>
      <c r="P22" s="58">
        <v>31504</v>
      </c>
      <c r="Q22" s="58">
        <v>46142</v>
      </c>
      <c r="R22" s="58">
        <v>56264</v>
      </c>
      <c r="S22" s="58">
        <v>95186</v>
      </c>
      <c r="T22" s="58">
        <v>96962</v>
      </c>
      <c r="U22" s="58">
        <v>123552</v>
      </c>
      <c r="V22" s="58">
        <v>129841</v>
      </c>
      <c r="W22" s="58">
        <v>105678</v>
      </c>
      <c r="X22" s="58">
        <v>119847</v>
      </c>
      <c r="Y22" s="58">
        <v>119621</v>
      </c>
      <c r="Z22" s="58">
        <v>147755</v>
      </c>
      <c r="AA22" s="58">
        <v>196594</v>
      </c>
      <c r="AB22" s="58">
        <v>336845.6</v>
      </c>
      <c r="AC22" s="59">
        <v>224807.8</v>
      </c>
      <c r="AD22" s="60">
        <v>277713.09999999998</v>
      </c>
      <c r="AE22" s="58">
        <v>368815.9</v>
      </c>
      <c r="AF22" s="95">
        <v>307709.59999999998</v>
      </c>
      <c r="AG22" s="59">
        <v>333680.8</v>
      </c>
      <c r="AH22" s="284">
        <v>361132</v>
      </c>
      <c r="AI22" s="284">
        <v>359183</v>
      </c>
      <c r="AJ22" s="768">
        <v>498177</v>
      </c>
      <c r="AK22" s="798">
        <v>528175</v>
      </c>
      <c r="AL22" s="1078"/>
    </row>
    <row r="23" spans="1:162" s="15" customFormat="1">
      <c r="A23" s="285" t="s">
        <v>111</v>
      </c>
      <c r="B23" s="283"/>
      <c r="C23" s="36" t="s">
        <v>1</v>
      </c>
      <c r="D23" s="36" t="s">
        <v>1</v>
      </c>
      <c r="E23" s="36" t="s">
        <v>1</v>
      </c>
      <c r="F23" s="36" t="s">
        <v>1</v>
      </c>
      <c r="G23" s="36" t="s">
        <v>1</v>
      </c>
      <c r="H23" s="36" t="s">
        <v>1</v>
      </c>
      <c r="I23" s="36" t="s">
        <v>1</v>
      </c>
      <c r="J23" s="36" t="s">
        <v>1</v>
      </c>
      <c r="K23" s="36" t="s">
        <v>1</v>
      </c>
      <c r="L23" s="36" t="s">
        <v>1</v>
      </c>
      <c r="M23" s="58">
        <v>54613</v>
      </c>
      <c r="N23" s="58">
        <v>71851</v>
      </c>
      <c r="O23" s="58">
        <v>91647</v>
      </c>
      <c r="P23" s="58">
        <v>142331</v>
      </c>
      <c r="Q23" s="58">
        <v>200900</v>
      </c>
      <c r="R23" s="58">
        <v>242821</v>
      </c>
      <c r="S23" s="58">
        <v>292636</v>
      </c>
      <c r="T23" s="58">
        <v>340374</v>
      </c>
      <c r="U23" s="58">
        <v>597947</v>
      </c>
      <c r="V23" s="58">
        <v>630660</v>
      </c>
      <c r="W23" s="58">
        <v>742617</v>
      </c>
      <c r="X23" s="58">
        <v>772604</v>
      </c>
      <c r="Y23" s="58">
        <v>119621</v>
      </c>
      <c r="Z23" s="58">
        <v>147755</v>
      </c>
      <c r="AA23" s="58">
        <v>885406</v>
      </c>
      <c r="AB23" s="58">
        <v>1238915.3</v>
      </c>
      <c r="AC23" s="59">
        <v>1364599.9</v>
      </c>
      <c r="AD23" s="60">
        <v>1644604.1</v>
      </c>
      <c r="AE23" s="58">
        <v>1610192.2</v>
      </c>
      <c r="AF23" s="95">
        <v>2239743.4</v>
      </c>
      <c r="AG23" s="59">
        <v>2209478.7999999998</v>
      </c>
      <c r="AH23" s="284">
        <v>1858989.5</v>
      </c>
      <c r="AI23" s="284">
        <v>2507501</v>
      </c>
      <c r="AJ23" s="768">
        <v>3154430.6</v>
      </c>
      <c r="AK23" s="798">
        <v>2570381</v>
      </c>
      <c r="AL23" s="1078"/>
    </row>
    <row r="24" spans="1:162" s="15" customFormat="1">
      <c r="A24" s="247" t="s">
        <v>388</v>
      </c>
      <c r="B24" s="283"/>
      <c r="C24" s="36" t="s">
        <v>1</v>
      </c>
      <c r="D24" s="36" t="s">
        <v>1</v>
      </c>
      <c r="E24" s="36" t="s">
        <v>1</v>
      </c>
      <c r="F24" s="36" t="s">
        <v>1</v>
      </c>
      <c r="G24" s="36" t="s">
        <v>1</v>
      </c>
      <c r="H24" s="36" t="s">
        <v>1</v>
      </c>
      <c r="I24" s="36" t="s">
        <v>1</v>
      </c>
      <c r="J24" s="36" t="s">
        <v>1</v>
      </c>
      <c r="K24" s="36" t="s">
        <v>1</v>
      </c>
      <c r="L24" s="36" t="s">
        <v>1</v>
      </c>
      <c r="M24" s="58">
        <v>43016</v>
      </c>
      <c r="N24" s="58">
        <v>56829</v>
      </c>
      <c r="O24" s="58">
        <v>67693</v>
      </c>
      <c r="P24" s="58">
        <v>80233</v>
      </c>
      <c r="Q24" s="58">
        <v>92425</v>
      </c>
      <c r="R24" s="58">
        <v>147490</v>
      </c>
      <c r="S24" s="58">
        <v>18234</v>
      </c>
      <c r="T24" s="58">
        <v>184661</v>
      </c>
      <c r="U24" s="58">
        <v>167280</v>
      </c>
      <c r="V24" s="58">
        <v>158289</v>
      </c>
      <c r="W24" s="58">
        <v>133423</v>
      </c>
      <c r="X24" s="58">
        <v>161376</v>
      </c>
      <c r="Y24" s="58">
        <v>221057</v>
      </c>
      <c r="Z24" s="58">
        <v>248178</v>
      </c>
      <c r="AA24" s="58">
        <v>251592</v>
      </c>
      <c r="AB24" s="58">
        <v>227157.3</v>
      </c>
      <c r="AC24" s="59">
        <v>248453.6</v>
      </c>
      <c r="AD24" s="60">
        <v>350431.8</v>
      </c>
      <c r="AE24" s="58">
        <v>280556.2</v>
      </c>
      <c r="AF24" s="95">
        <v>267887.5</v>
      </c>
      <c r="AG24" s="59">
        <v>408544</v>
      </c>
      <c r="AH24" s="284">
        <v>501301.8</v>
      </c>
      <c r="AI24" s="284">
        <v>467931</v>
      </c>
      <c r="AJ24" s="768">
        <v>629762</v>
      </c>
      <c r="AK24" s="798">
        <v>691974</v>
      </c>
      <c r="AL24" s="1078"/>
    </row>
    <row r="25" spans="1:162" s="15" customFormat="1">
      <c r="A25" s="285" t="s">
        <v>136</v>
      </c>
      <c r="B25" s="283"/>
      <c r="C25" s="36" t="s">
        <v>1</v>
      </c>
      <c r="D25" s="36" t="s">
        <v>1</v>
      </c>
      <c r="E25" s="36" t="s">
        <v>1</v>
      </c>
      <c r="F25" s="36" t="s">
        <v>1</v>
      </c>
      <c r="G25" s="36" t="s">
        <v>1</v>
      </c>
      <c r="H25" s="36" t="s">
        <v>1</v>
      </c>
      <c r="I25" s="36" t="s">
        <v>1</v>
      </c>
      <c r="J25" s="36" t="s">
        <v>1</v>
      </c>
      <c r="K25" s="36" t="s">
        <v>1</v>
      </c>
      <c r="L25" s="36" t="s">
        <v>1</v>
      </c>
      <c r="M25" s="58">
        <v>62636</v>
      </c>
      <c r="N25" s="58">
        <v>812755</v>
      </c>
      <c r="O25" s="58">
        <v>124237</v>
      </c>
      <c r="P25" s="58">
        <v>168808</v>
      </c>
      <c r="Q25" s="58">
        <v>192461</v>
      </c>
      <c r="R25" s="58">
        <v>289389</v>
      </c>
      <c r="S25" s="58">
        <v>426985</v>
      </c>
      <c r="T25" s="58">
        <v>408192</v>
      </c>
      <c r="U25" s="58">
        <v>761133</v>
      </c>
      <c r="V25" s="58" t="s">
        <v>57</v>
      </c>
      <c r="W25" s="58" t="s">
        <v>58</v>
      </c>
      <c r="X25" s="58" t="s">
        <v>59</v>
      </c>
      <c r="Y25" s="58">
        <v>1548867</v>
      </c>
      <c r="Z25" s="58">
        <v>921556</v>
      </c>
      <c r="AA25" s="58">
        <v>945076</v>
      </c>
      <c r="AB25" s="58">
        <v>1124301.8999999999</v>
      </c>
      <c r="AC25" s="59">
        <v>1106083.7</v>
      </c>
      <c r="AD25" s="60">
        <v>1620851.2</v>
      </c>
      <c r="AE25" s="58">
        <v>1255456.5</v>
      </c>
      <c r="AF25" s="95">
        <v>1356028.8</v>
      </c>
      <c r="AG25" s="59">
        <v>1426778</v>
      </c>
      <c r="AH25" s="284">
        <v>1992894.2</v>
      </c>
      <c r="AI25" s="284">
        <v>2343127</v>
      </c>
      <c r="AJ25" s="768">
        <v>2246304.1</v>
      </c>
      <c r="AK25" s="798">
        <v>2339550</v>
      </c>
      <c r="AL25" s="1078"/>
    </row>
    <row r="26" spans="1:162" s="15" customFormat="1">
      <c r="A26" s="285" t="s">
        <v>112</v>
      </c>
      <c r="B26" s="283"/>
      <c r="C26" s="36" t="s">
        <v>1</v>
      </c>
      <c r="D26" s="36" t="s">
        <v>1</v>
      </c>
      <c r="E26" s="36" t="s">
        <v>1</v>
      </c>
      <c r="F26" s="36" t="s">
        <v>1</v>
      </c>
      <c r="G26" s="36" t="s">
        <v>1</v>
      </c>
      <c r="H26" s="36" t="s">
        <v>1</v>
      </c>
      <c r="I26" s="36" t="s">
        <v>1</v>
      </c>
      <c r="J26" s="36" t="s">
        <v>1</v>
      </c>
      <c r="K26" s="36" t="s">
        <v>1</v>
      </c>
      <c r="L26" s="36" t="s">
        <v>1</v>
      </c>
      <c r="M26" s="58" t="s">
        <v>1</v>
      </c>
      <c r="N26" s="58" t="s">
        <v>1</v>
      </c>
      <c r="O26" s="58" t="s">
        <v>1</v>
      </c>
      <c r="P26" s="58" t="s">
        <v>1</v>
      </c>
      <c r="Q26" s="58" t="s">
        <v>1</v>
      </c>
      <c r="R26" s="58" t="s">
        <v>1</v>
      </c>
      <c r="S26" s="58" t="s">
        <v>1</v>
      </c>
      <c r="T26" s="58" t="s">
        <v>1</v>
      </c>
      <c r="U26" s="58" t="s">
        <v>1</v>
      </c>
      <c r="V26" s="58" t="s">
        <v>1</v>
      </c>
      <c r="W26" s="58" t="s">
        <v>1</v>
      </c>
      <c r="X26" s="58" t="s">
        <v>1</v>
      </c>
      <c r="Y26" s="58" t="s">
        <v>1</v>
      </c>
      <c r="Z26" s="58">
        <v>3344</v>
      </c>
      <c r="AA26" s="58">
        <v>7413</v>
      </c>
      <c r="AB26" s="58">
        <v>18581.099999999999</v>
      </c>
      <c r="AC26" s="59">
        <v>19212</v>
      </c>
      <c r="AD26" s="60">
        <v>36343.4</v>
      </c>
      <c r="AE26" s="58">
        <v>38685.5</v>
      </c>
      <c r="AF26" s="95">
        <v>57850.8</v>
      </c>
      <c r="AG26" s="59">
        <v>54043.4</v>
      </c>
      <c r="AH26" s="284">
        <v>192439.9</v>
      </c>
      <c r="AI26" s="284">
        <v>230950</v>
      </c>
      <c r="AJ26" s="768">
        <v>114738</v>
      </c>
      <c r="AK26" s="798">
        <v>161557</v>
      </c>
      <c r="AL26" s="1078"/>
    </row>
    <row r="27" spans="1:162" s="15" customFormat="1">
      <c r="A27" s="285" t="s">
        <v>113</v>
      </c>
      <c r="B27" s="283"/>
      <c r="C27" s="36" t="s">
        <v>1</v>
      </c>
      <c r="D27" s="36" t="s">
        <v>1</v>
      </c>
      <c r="E27" s="36" t="s">
        <v>1</v>
      </c>
      <c r="F27" s="36" t="s">
        <v>1</v>
      </c>
      <c r="G27" s="36" t="s">
        <v>1</v>
      </c>
      <c r="H27" s="36" t="s">
        <v>1</v>
      </c>
      <c r="I27" s="36" t="s">
        <v>1</v>
      </c>
      <c r="J27" s="36" t="s">
        <v>1</v>
      </c>
      <c r="K27" s="36" t="s">
        <v>1</v>
      </c>
      <c r="L27" s="36" t="s">
        <v>1</v>
      </c>
      <c r="M27" s="58">
        <v>23855</v>
      </c>
      <c r="N27" s="58">
        <v>21736</v>
      </c>
      <c r="O27" s="58">
        <v>41305</v>
      </c>
      <c r="P27" s="58">
        <v>53800</v>
      </c>
      <c r="Q27" s="58">
        <v>55486</v>
      </c>
      <c r="R27" s="58">
        <v>58566</v>
      </c>
      <c r="S27" s="58">
        <v>76777</v>
      </c>
      <c r="T27" s="58">
        <v>102519</v>
      </c>
      <c r="U27" s="58">
        <v>125218</v>
      </c>
      <c r="V27" s="58">
        <v>151020</v>
      </c>
      <c r="W27" s="58">
        <v>230783</v>
      </c>
      <c r="X27" s="58">
        <v>316459</v>
      </c>
      <c r="Y27" s="58">
        <v>358522</v>
      </c>
      <c r="Z27" s="58">
        <v>357883</v>
      </c>
      <c r="AA27" s="58">
        <v>413849</v>
      </c>
      <c r="AB27" s="58">
        <v>468745.5</v>
      </c>
      <c r="AC27" s="59">
        <v>458355.20000000001</v>
      </c>
      <c r="AD27" s="60">
        <v>459136</v>
      </c>
      <c r="AE27" s="58">
        <v>517958.9</v>
      </c>
      <c r="AF27" s="95">
        <v>536676.9</v>
      </c>
      <c r="AG27" s="59">
        <v>549388.5</v>
      </c>
      <c r="AH27" s="284">
        <v>669871.9</v>
      </c>
      <c r="AI27" s="284">
        <v>695854</v>
      </c>
      <c r="AJ27" s="768">
        <v>804384.6</v>
      </c>
      <c r="AK27" s="798">
        <v>841410</v>
      </c>
      <c r="AL27" s="1078"/>
    </row>
    <row r="28" spans="1:162" s="142" customFormat="1" ht="15">
      <c r="A28" s="288" t="s">
        <v>430</v>
      </c>
      <c r="B28" s="289"/>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34"/>
      <c r="AB28" s="32"/>
      <c r="AC28" s="32"/>
      <c r="AD28" s="33"/>
      <c r="AE28" s="34"/>
      <c r="AF28" s="34"/>
      <c r="AG28" s="34"/>
      <c r="AH28" s="34"/>
      <c r="AI28" s="290"/>
      <c r="AJ28" s="767"/>
      <c r="AK28" s="811"/>
      <c r="AL28" s="1078"/>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row>
    <row r="29" spans="1:162" s="142" customFormat="1" ht="15">
      <c r="A29" s="143" t="s">
        <v>431</v>
      </c>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4"/>
      <c r="AB29" s="32"/>
      <c r="AC29" s="32"/>
      <c r="AD29" s="32"/>
      <c r="AE29" s="34"/>
      <c r="AF29" s="34"/>
      <c r="AG29" s="34"/>
      <c r="AH29" s="34"/>
      <c r="AI29" s="34"/>
      <c r="AJ29" s="767"/>
      <c r="AK29" s="811"/>
      <c r="AL29" s="1078"/>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row>
    <row r="30" spans="1:162" s="142" customFormat="1" ht="66">
      <c r="A30" s="483" t="s">
        <v>517</v>
      </c>
      <c r="B30" s="483"/>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51"/>
      <c r="AF30" s="34"/>
      <c r="AG30" s="34"/>
      <c r="AH30" s="34"/>
      <c r="AI30" s="34"/>
      <c r="AJ30" s="767"/>
      <c r="AK30" s="811"/>
      <c r="AL30" s="1078"/>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row>
    <row r="31" spans="1:162" s="15" customFormat="1" ht="12.75" customHeight="1">
      <c r="A31" s="946" t="s">
        <v>512</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51"/>
      <c r="AF31" s="34"/>
      <c r="AG31" s="34"/>
      <c r="AH31" s="34"/>
      <c r="AI31" s="34"/>
      <c r="AJ31" s="34"/>
      <c r="AK31" s="808"/>
      <c r="AL31" s="107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G108"/>
  <sheetViews>
    <sheetView workbookViewId="0">
      <pane xSplit="1" topLeftCell="AI1" activePane="topRight" state="frozen"/>
      <selection pane="topRight" activeCell="AX29" sqref="AX29"/>
    </sheetView>
  </sheetViews>
  <sheetFormatPr defaultRowHeight="12.75"/>
  <cols>
    <col min="1" max="1" width="54.85546875" style="15" bestFit="1" customWidth="1"/>
    <col min="2" max="2" width="11.28515625" style="15" bestFit="1" customWidth="1"/>
    <col min="3" max="37" width="12.28515625" style="15" customWidth="1"/>
    <col min="38" max="43" width="11.28515625" style="15" customWidth="1"/>
    <col min="44" max="44" width="10.140625" customWidth="1"/>
    <col min="45" max="16384" width="9.140625" style="15"/>
  </cols>
  <sheetData>
    <row r="1" spans="1:44" ht="38.25">
      <c r="A1" s="979" t="s">
        <v>248</v>
      </c>
      <c r="B1" s="327" t="s">
        <v>217</v>
      </c>
      <c r="C1" s="327">
        <v>1991</v>
      </c>
      <c r="D1" s="327">
        <v>1992</v>
      </c>
      <c r="E1" s="327">
        <v>1993</v>
      </c>
      <c r="F1" s="327">
        <v>1994</v>
      </c>
      <c r="G1" s="327">
        <v>1995</v>
      </c>
      <c r="H1" s="327">
        <v>1996</v>
      </c>
      <c r="I1" s="327">
        <v>1997</v>
      </c>
      <c r="J1" s="327">
        <v>1998</v>
      </c>
      <c r="K1" s="327">
        <v>1999</v>
      </c>
      <c r="L1" s="327">
        <v>2000</v>
      </c>
      <c r="M1" s="327">
        <v>2001</v>
      </c>
      <c r="N1" s="327">
        <v>2002</v>
      </c>
      <c r="O1" s="327">
        <v>2003</v>
      </c>
      <c r="P1" s="327">
        <v>2004</v>
      </c>
      <c r="Q1" s="327">
        <v>2005</v>
      </c>
      <c r="R1" s="327">
        <v>2006</v>
      </c>
      <c r="S1" s="327">
        <v>2007</v>
      </c>
      <c r="T1" s="327">
        <v>2008</v>
      </c>
      <c r="U1" s="327">
        <v>2009</v>
      </c>
      <c r="V1" s="327">
        <v>2010</v>
      </c>
      <c r="W1" s="327">
        <v>2011</v>
      </c>
      <c r="X1" s="327">
        <v>2012</v>
      </c>
      <c r="Y1" s="327">
        <v>2013</v>
      </c>
      <c r="Z1" s="327">
        <v>2014</v>
      </c>
      <c r="AA1" s="327">
        <v>2015</v>
      </c>
      <c r="AB1" s="327">
        <v>2016</v>
      </c>
      <c r="AC1" s="327">
        <v>2017</v>
      </c>
      <c r="AD1" s="327">
        <v>2018</v>
      </c>
      <c r="AE1" s="327">
        <v>2019</v>
      </c>
      <c r="AF1" s="327">
        <v>2020</v>
      </c>
      <c r="AG1" s="327">
        <v>2021</v>
      </c>
      <c r="AH1" s="327">
        <v>2022</v>
      </c>
      <c r="AI1" s="295">
        <v>2023</v>
      </c>
      <c r="AJ1" s="885">
        <v>2024</v>
      </c>
      <c r="AK1" s="297">
        <v>2025</v>
      </c>
      <c r="AL1" s="297" t="s">
        <v>463</v>
      </c>
      <c r="AM1" s="297" t="s">
        <v>471</v>
      </c>
      <c r="AN1" s="297" t="s">
        <v>481</v>
      </c>
      <c r="AO1" s="297" t="s">
        <v>488</v>
      </c>
      <c r="AP1" s="297" t="s">
        <v>497</v>
      </c>
      <c r="AQ1" s="297" t="s">
        <v>519</v>
      </c>
      <c r="AR1" s="297" t="s">
        <v>537</v>
      </c>
    </row>
    <row r="2" spans="1:44" s="11" customFormat="1" ht="15">
      <c r="A2" s="990" t="s">
        <v>432</v>
      </c>
      <c r="B2" s="991" t="s">
        <v>214</v>
      </c>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4"/>
      <c r="AC2" s="4"/>
      <c r="AD2" s="980"/>
      <c r="AE2" s="980"/>
      <c r="AF2" s="980"/>
      <c r="AG2" s="992"/>
      <c r="AJ2" s="980"/>
      <c r="AK2" s="981"/>
      <c r="AL2" s="4"/>
      <c r="AM2" s="980"/>
      <c r="AN2" s="980"/>
      <c r="AO2" s="980"/>
      <c r="AP2" s="980"/>
      <c r="AQ2" s="980"/>
      <c r="AR2" s="15"/>
    </row>
    <row r="3" spans="1:44" s="11" customFormat="1">
      <c r="A3" s="993" t="s">
        <v>108</v>
      </c>
      <c r="B3" s="4"/>
      <c r="C3" s="5">
        <v>12.163</v>
      </c>
      <c r="D3" s="5">
        <f>115620/1000</f>
        <v>115.62</v>
      </c>
      <c r="E3" s="5">
        <f>1362301/1000</f>
        <v>1362.3009999999999</v>
      </c>
      <c r="F3" s="5">
        <f>21280594/1000</f>
        <v>21280.594000000001</v>
      </c>
      <c r="G3" s="5">
        <f>37330135/1000</f>
        <v>37330.135000000002</v>
      </c>
      <c r="H3" s="5">
        <f>41592023/1000</f>
        <v>41592.023000000001</v>
      </c>
      <c r="I3" s="5">
        <f>44672859/1000</f>
        <v>44672.858999999997</v>
      </c>
      <c r="J3" s="5">
        <f>58203108/1000</f>
        <v>58203.108</v>
      </c>
      <c r="K3" s="5">
        <f>63876283/1000</f>
        <v>63876.283000000003</v>
      </c>
      <c r="L3" s="5">
        <f>82030133/1000</f>
        <v>82030.133000000002</v>
      </c>
      <c r="M3" s="5">
        <f>100762665/1000</f>
        <v>100762.66499999999</v>
      </c>
      <c r="N3" s="5">
        <f>112189480/1000</f>
        <v>112189.48</v>
      </c>
      <c r="O3" s="5">
        <f>136783279/1000</f>
        <v>136783.27900000001</v>
      </c>
      <c r="P3" s="5">
        <f>181705118/1000</f>
        <v>181705.11799999999</v>
      </c>
      <c r="Q3" s="5">
        <f>235012515/1000</f>
        <v>235012.51500000001</v>
      </c>
      <c r="R3" s="5">
        <f>302776040/1000</f>
        <v>302776.03999999998</v>
      </c>
      <c r="S3" s="5">
        <f>381794731/1000</f>
        <v>381794.73100000003</v>
      </c>
      <c r="T3" s="5">
        <f>363935852/1000</f>
        <v>363935.85200000001</v>
      </c>
      <c r="U3" s="5">
        <f>353453357/1000</f>
        <v>353453.35700000002</v>
      </c>
      <c r="V3" s="5">
        <f>429538849/1000</f>
        <v>429538.84899999999</v>
      </c>
      <c r="W3" s="62">
        <f>W5+W4+W6+W7+W8+W9+W10+W11</f>
        <v>532734</v>
      </c>
      <c r="X3" s="62">
        <f>X5+X4+X6+X7+X8+X9+X10+X11</f>
        <v>584590</v>
      </c>
      <c r="Y3" s="62">
        <f>Y5+Y4+Y6+Y7+Y8+Y9+Y10+Y11</f>
        <v>641043</v>
      </c>
      <c r="Z3" s="62">
        <f>Z5+Z4+Z6+Z7+Z8+Z9+Z10+Z11</f>
        <v>738947</v>
      </c>
      <c r="AA3" s="62">
        <v>662981</v>
      </c>
      <c r="AB3" s="62">
        <v>776797</v>
      </c>
      <c r="AC3" s="62">
        <v>902537</v>
      </c>
      <c r="AD3" s="62">
        <v>917884</v>
      </c>
      <c r="AE3" s="62">
        <v>1001188</v>
      </c>
      <c r="AF3" s="62">
        <v>1081642</v>
      </c>
      <c r="AG3" s="981">
        <v>1420751</v>
      </c>
      <c r="AH3" s="994" t="s">
        <v>271</v>
      </c>
      <c r="AI3" s="981">
        <v>2096034</v>
      </c>
      <c r="AJ3" s="981">
        <v>2153410</v>
      </c>
      <c r="AK3" s="981">
        <v>2644019.2009999999</v>
      </c>
      <c r="AL3" s="981">
        <v>225993.19099999999</v>
      </c>
      <c r="AM3" s="981">
        <v>458377.94799999997</v>
      </c>
      <c r="AN3" s="981">
        <v>701819.179</v>
      </c>
      <c r="AO3" s="5">
        <v>931327.52399999998</v>
      </c>
      <c r="AP3" s="981">
        <v>1123859.58</v>
      </c>
      <c r="AQ3" s="981">
        <v>1342991</v>
      </c>
      <c r="AR3" s="888">
        <v>1542299.7420000001</v>
      </c>
    </row>
    <row r="4" spans="1:44" s="11" customFormat="1">
      <c r="A4" s="995" t="s">
        <v>109</v>
      </c>
      <c r="B4" s="4"/>
      <c r="C4" s="311"/>
      <c r="D4" s="311"/>
      <c r="E4" s="311"/>
      <c r="F4" s="311"/>
      <c r="G4" s="311"/>
      <c r="H4" s="311"/>
      <c r="I4" s="311"/>
      <c r="J4" s="311"/>
      <c r="K4" s="311"/>
      <c r="L4" s="311"/>
      <c r="M4" s="311"/>
      <c r="N4" s="311"/>
      <c r="O4" s="311"/>
      <c r="P4" s="311"/>
      <c r="Q4" s="311"/>
      <c r="R4" s="311"/>
      <c r="S4" s="311"/>
      <c r="T4" s="311"/>
      <c r="U4" s="311"/>
      <c r="V4" s="311"/>
      <c r="W4" s="982">
        <v>121663</v>
      </c>
      <c r="X4" s="982">
        <v>141830</v>
      </c>
      <c r="Y4" s="982">
        <v>172051</v>
      </c>
      <c r="Z4" s="982">
        <v>177593</v>
      </c>
      <c r="AA4" s="982">
        <v>139707</v>
      </c>
      <c r="AB4" s="62">
        <v>135299</v>
      </c>
      <c r="AC4" s="62">
        <v>164771</v>
      </c>
      <c r="AD4" s="62">
        <v>174712</v>
      </c>
      <c r="AE4" s="62">
        <v>161575</v>
      </c>
      <c r="AF4" s="996">
        <v>167823</v>
      </c>
      <c r="AG4" s="981">
        <v>172406</v>
      </c>
      <c r="AH4" s="994" t="s">
        <v>272</v>
      </c>
      <c r="AI4" s="981">
        <v>214325</v>
      </c>
      <c r="AJ4" s="997">
        <v>223243</v>
      </c>
      <c r="AK4" s="981">
        <v>248880.21</v>
      </c>
      <c r="AL4" s="981">
        <v>21044.653999999999</v>
      </c>
      <c r="AM4" s="981">
        <v>42802.713000000003</v>
      </c>
      <c r="AN4" s="981">
        <v>64874.915000000001</v>
      </c>
      <c r="AO4" s="5">
        <v>82669.764999999999</v>
      </c>
      <c r="AP4" s="981">
        <v>96202.747000000003</v>
      </c>
      <c r="AQ4" s="981">
        <v>110026</v>
      </c>
      <c r="AR4" s="888">
        <v>124684.82399999999</v>
      </c>
    </row>
    <row r="5" spans="1:44" s="11" customFormat="1">
      <c r="A5" s="995" t="s">
        <v>135</v>
      </c>
      <c r="B5" s="4"/>
      <c r="C5" s="311"/>
      <c r="D5" s="311"/>
      <c r="E5" s="311"/>
      <c r="F5" s="311"/>
      <c r="G5" s="311"/>
      <c r="H5" s="311"/>
      <c r="I5" s="311"/>
      <c r="J5" s="311"/>
      <c r="K5" s="311"/>
      <c r="L5" s="311"/>
      <c r="M5" s="311"/>
      <c r="N5" s="311"/>
      <c r="O5" s="311"/>
      <c r="P5" s="311"/>
      <c r="Q5" s="311" t="s">
        <v>1</v>
      </c>
      <c r="R5" s="311" t="s">
        <v>1</v>
      </c>
      <c r="S5" s="311" t="s">
        <v>1</v>
      </c>
      <c r="T5" s="311" t="s">
        <v>1</v>
      </c>
      <c r="U5" s="311" t="s">
        <v>1</v>
      </c>
      <c r="V5" s="311" t="s">
        <v>1</v>
      </c>
      <c r="W5" s="982">
        <v>25903</v>
      </c>
      <c r="X5" s="982">
        <v>28300</v>
      </c>
      <c r="Y5" s="982">
        <v>26174</v>
      </c>
      <c r="Z5" s="982">
        <v>57798</v>
      </c>
      <c r="AA5" s="982">
        <v>58493</v>
      </c>
      <c r="AB5" s="62">
        <v>72024</v>
      </c>
      <c r="AC5" s="62">
        <v>80516</v>
      </c>
      <c r="AD5" s="62">
        <v>82285</v>
      </c>
      <c r="AE5" s="196">
        <v>82963</v>
      </c>
      <c r="AF5" s="196">
        <v>153066</v>
      </c>
      <c r="AG5" s="981">
        <v>302049</v>
      </c>
      <c r="AH5" s="994" t="s">
        <v>273</v>
      </c>
      <c r="AI5" s="981">
        <v>686665</v>
      </c>
      <c r="AJ5" s="981">
        <v>690792</v>
      </c>
      <c r="AK5" s="981">
        <v>1042908.593</v>
      </c>
      <c r="AL5" s="981">
        <v>112593.164</v>
      </c>
      <c r="AM5" s="981">
        <v>212690.61600000001</v>
      </c>
      <c r="AN5" s="981">
        <v>324898.46500000003</v>
      </c>
      <c r="AO5" s="5">
        <v>419232.20400000003</v>
      </c>
      <c r="AP5" s="981">
        <v>495981.62400000001</v>
      </c>
      <c r="AQ5" s="981">
        <v>589141</v>
      </c>
      <c r="AR5" s="888">
        <v>668072.13199999998</v>
      </c>
    </row>
    <row r="6" spans="1:44" s="11" customFormat="1">
      <c r="A6" s="995" t="s">
        <v>110</v>
      </c>
      <c r="B6" s="4"/>
      <c r="C6" s="311"/>
      <c r="D6" s="311"/>
      <c r="E6" s="311"/>
      <c r="F6" s="311"/>
      <c r="G6" s="311"/>
      <c r="H6" s="311"/>
      <c r="I6" s="311"/>
      <c r="J6" s="311"/>
      <c r="K6" s="311"/>
      <c r="L6" s="311"/>
      <c r="M6" s="311"/>
      <c r="N6" s="311"/>
      <c r="O6" s="311"/>
      <c r="P6" s="311"/>
      <c r="Q6" s="311" t="s">
        <v>1</v>
      </c>
      <c r="R6" s="311" t="s">
        <v>1</v>
      </c>
      <c r="S6" s="311" t="s">
        <v>1</v>
      </c>
      <c r="T6" s="311" t="s">
        <v>1</v>
      </c>
      <c r="U6" s="311" t="s">
        <v>1</v>
      </c>
      <c r="V6" s="311" t="s">
        <v>1</v>
      </c>
      <c r="W6" s="982">
        <v>55830</v>
      </c>
      <c r="X6" s="982">
        <v>83764</v>
      </c>
      <c r="Y6" s="982">
        <v>80641</v>
      </c>
      <c r="Z6" s="982">
        <v>81428</v>
      </c>
      <c r="AA6" s="982">
        <v>78484</v>
      </c>
      <c r="AB6" s="62">
        <v>93774</v>
      </c>
      <c r="AC6" s="62">
        <v>97488</v>
      </c>
      <c r="AD6" s="62">
        <v>103597</v>
      </c>
      <c r="AE6" s="62">
        <v>117729</v>
      </c>
      <c r="AF6" s="62">
        <v>108058</v>
      </c>
      <c r="AG6" s="981">
        <v>124969</v>
      </c>
      <c r="AH6" s="994" t="s">
        <v>274</v>
      </c>
      <c r="AI6" s="981">
        <v>113587</v>
      </c>
      <c r="AJ6" s="981">
        <v>116975</v>
      </c>
      <c r="AK6" s="981">
        <v>118631.489</v>
      </c>
      <c r="AL6" s="981">
        <v>8777.9609999999993</v>
      </c>
      <c r="AM6" s="981">
        <v>18447.66</v>
      </c>
      <c r="AN6" s="981">
        <v>27854.683000000001</v>
      </c>
      <c r="AO6" s="5">
        <v>37681.705000000002</v>
      </c>
      <c r="AP6" s="981">
        <v>44251.241999999998</v>
      </c>
      <c r="AQ6" s="981">
        <v>51517</v>
      </c>
      <c r="AR6" s="888">
        <v>60285.267</v>
      </c>
    </row>
    <row r="7" spans="1:44" s="11" customFormat="1">
      <c r="A7" s="995" t="s">
        <v>111</v>
      </c>
      <c r="B7" s="4"/>
      <c r="C7" s="311"/>
      <c r="D7" s="311"/>
      <c r="E7" s="311"/>
      <c r="F7" s="311"/>
      <c r="G7" s="311"/>
      <c r="H7" s="311"/>
      <c r="I7" s="311"/>
      <c r="J7" s="311"/>
      <c r="K7" s="311"/>
      <c r="L7" s="311"/>
      <c r="M7" s="311"/>
      <c r="N7" s="311"/>
      <c r="O7" s="311"/>
      <c r="P7" s="311"/>
      <c r="Q7" s="311"/>
      <c r="R7" s="311"/>
      <c r="S7" s="311"/>
      <c r="T7" s="311"/>
      <c r="U7" s="311"/>
      <c r="V7" s="311"/>
      <c r="W7" s="982">
        <v>94326</v>
      </c>
      <c r="X7" s="982">
        <v>72999</v>
      </c>
      <c r="Y7" s="982">
        <v>69145</v>
      </c>
      <c r="Z7" s="982">
        <v>69567</v>
      </c>
      <c r="AA7" s="982">
        <v>67158</v>
      </c>
      <c r="AB7" s="62">
        <v>85958</v>
      </c>
      <c r="AC7" s="62">
        <v>79128</v>
      </c>
      <c r="AD7" s="62">
        <v>75067</v>
      </c>
      <c r="AE7" s="62">
        <v>85340</v>
      </c>
      <c r="AF7" s="62">
        <v>77117</v>
      </c>
      <c r="AG7" s="981">
        <v>85634</v>
      </c>
      <c r="AH7" s="994" t="s">
        <v>275</v>
      </c>
      <c r="AI7" s="981">
        <v>105327</v>
      </c>
      <c r="AJ7" s="981">
        <v>129654</v>
      </c>
      <c r="AK7" s="981">
        <v>158703.10699999999</v>
      </c>
      <c r="AL7" s="981">
        <v>15443.915000000001</v>
      </c>
      <c r="AM7" s="981">
        <v>32508.188999999998</v>
      </c>
      <c r="AN7" s="981">
        <v>48752.165999999997</v>
      </c>
      <c r="AO7" s="5">
        <v>64944.947999999997</v>
      </c>
      <c r="AP7" s="981">
        <v>76197.413</v>
      </c>
      <c r="AQ7" s="981">
        <v>88377</v>
      </c>
      <c r="AR7" s="888">
        <v>101901.67200000001</v>
      </c>
    </row>
    <row r="8" spans="1:44" s="11" customFormat="1">
      <c r="A8" s="995" t="s">
        <v>388</v>
      </c>
      <c r="B8" s="4"/>
      <c r="C8" s="311"/>
      <c r="D8" s="311"/>
      <c r="E8" s="311"/>
      <c r="F8" s="311"/>
      <c r="G8" s="311"/>
      <c r="H8" s="311"/>
      <c r="I8" s="311"/>
      <c r="J8" s="311"/>
      <c r="K8" s="311"/>
      <c r="L8" s="311"/>
      <c r="M8" s="311"/>
      <c r="N8" s="311"/>
      <c r="O8" s="311"/>
      <c r="P8" s="311"/>
      <c r="Q8" s="311" t="s">
        <v>1</v>
      </c>
      <c r="R8" s="311" t="s">
        <v>1</v>
      </c>
      <c r="S8" s="311" t="s">
        <v>1</v>
      </c>
      <c r="T8" s="311" t="s">
        <v>1</v>
      </c>
      <c r="U8" s="311" t="s">
        <v>1</v>
      </c>
      <c r="V8" s="311" t="s">
        <v>1</v>
      </c>
      <c r="W8" s="982">
        <v>82754</v>
      </c>
      <c r="X8" s="982">
        <v>97445</v>
      </c>
      <c r="Y8" s="982">
        <v>109933</v>
      </c>
      <c r="Z8" s="982">
        <v>156689</v>
      </c>
      <c r="AA8" s="982">
        <v>143948</v>
      </c>
      <c r="AB8" s="62">
        <v>163340</v>
      </c>
      <c r="AC8" s="62">
        <v>195238</v>
      </c>
      <c r="AD8" s="62">
        <v>198904</v>
      </c>
      <c r="AE8" s="62">
        <v>226336</v>
      </c>
      <c r="AF8" s="62">
        <v>241574</v>
      </c>
      <c r="AG8" s="981">
        <v>273170</v>
      </c>
      <c r="AH8" s="994" t="s">
        <v>276</v>
      </c>
      <c r="AI8" s="981">
        <v>373765</v>
      </c>
      <c r="AJ8" s="981">
        <v>401613</v>
      </c>
      <c r="AK8" s="981">
        <v>454767.52100000001</v>
      </c>
      <c r="AL8" s="981">
        <v>28056.113000000001</v>
      </c>
      <c r="AM8" s="981">
        <v>59315.942999999999</v>
      </c>
      <c r="AN8" s="981">
        <v>91156.422000000006</v>
      </c>
      <c r="AO8" s="5">
        <v>126397.482</v>
      </c>
      <c r="AP8" s="981">
        <v>165482.50700000001</v>
      </c>
      <c r="AQ8" s="981">
        <v>205086</v>
      </c>
      <c r="AR8" s="888">
        <v>245133.22500000001</v>
      </c>
    </row>
    <row r="9" spans="1:44" s="11" customFormat="1">
      <c r="A9" s="995" t="s">
        <v>136</v>
      </c>
      <c r="B9" s="4"/>
      <c r="C9" s="311"/>
      <c r="D9" s="311"/>
      <c r="E9" s="311"/>
      <c r="F9" s="311"/>
      <c r="G9" s="311"/>
      <c r="H9" s="311"/>
      <c r="I9" s="311"/>
      <c r="J9" s="311"/>
      <c r="K9" s="311"/>
      <c r="L9" s="311"/>
      <c r="M9" s="311"/>
      <c r="N9" s="311"/>
      <c r="O9" s="311"/>
      <c r="P9" s="311"/>
      <c r="Q9" s="311"/>
      <c r="R9" s="311"/>
      <c r="S9" s="311"/>
      <c r="T9" s="311"/>
      <c r="U9" s="311"/>
      <c r="V9" s="311"/>
      <c r="W9" s="982">
        <v>79718</v>
      </c>
      <c r="X9" s="982">
        <v>82696</v>
      </c>
      <c r="Y9" s="982">
        <v>89452</v>
      </c>
      <c r="Z9" s="982">
        <v>96634</v>
      </c>
      <c r="AA9" s="982">
        <v>81056</v>
      </c>
      <c r="AB9" s="62">
        <v>111310</v>
      </c>
      <c r="AC9" s="62">
        <v>132437</v>
      </c>
      <c r="AD9" s="62">
        <v>112883</v>
      </c>
      <c r="AE9" s="62">
        <v>119612</v>
      </c>
      <c r="AF9" s="62">
        <v>105270</v>
      </c>
      <c r="AG9" s="981">
        <v>116763</v>
      </c>
      <c r="AH9" s="994" t="s">
        <v>277</v>
      </c>
      <c r="AI9" s="981">
        <v>159742</v>
      </c>
      <c r="AJ9" s="981">
        <v>178217</v>
      </c>
      <c r="AK9" s="981">
        <v>212499.39799999999</v>
      </c>
      <c r="AL9" s="981">
        <v>19871.206999999999</v>
      </c>
      <c r="AM9" s="981">
        <v>43166.684000000001</v>
      </c>
      <c r="AN9" s="981">
        <v>63990.173999999999</v>
      </c>
      <c r="AO9" s="5">
        <v>87417.697</v>
      </c>
      <c r="AP9" s="981">
        <v>102277.36</v>
      </c>
      <c r="AQ9" s="981">
        <v>124822</v>
      </c>
      <c r="AR9" s="888">
        <v>139013.614</v>
      </c>
    </row>
    <row r="10" spans="1:44" s="11" customFormat="1">
      <c r="A10" s="995" t="s">
        <v>112</v>
      </c>
      <c r="B10" s="4"/>
      <c r="C10" s="311"/>
      <c r="D10" s="311"/>
      <c r="E10" s="311"/>
      <c r="F10" s="311"/>
      <c r="G10" s="311"/>
      <c r="H10" s="311"/>
      <c r="I10" s="311"/>
      <c r="J10" s="311"/>
      <c r="K10" s="311"/>
      <c r="L10" s="311"/>
      <c r="M10" s="311"/>
      <c r="N10" s="311"/>
      <c r="O10" s="311"/>
      <c r="P10" s="311"/>
      <c r="Q10" s="311"/>
      <c r="R10" s="311"/>
      <c r="S10" s="311"/>
      <c r="T10" s="311"/>
      <c r="U10" s="311"/>
      <c r="V10" s="311"/>
      <c r="W10" s="982"/>
      <c r="X10" s="982"/>
      <c r="Y10" s="982"/>
      <c r="Z10" s="982">
        <v>2500</v>
      </c>
      <c r="AA10" s="982">
        <v>3691</v>
      </c>
      <c r="AB10" s="62">
        <v>2771</v>
      </c>
      <c r="AC10" s="62">
        <v>4425</v>
      </c>
      <c r="AD10" s="62">
        <v>4541</v>
      </c>
      <c r="AE10" s="62">
        <v>5750</v>
      </c>
      <c r="AF10" s="62">
        <v>6698</v>
      </c>
      <c r="AG10" s="981">
        <v>8148</v>
      </c>
      <c r="AH10" s="994" t="s">
        <v>278</v>
      </c>
      <c r="AI10" s="981">
        <v>16072</v>
      </c>
      <c r="AJ10" s="981">
        <v>19259</v>
      </c>
      <c r="AK10" s="981">
        <v>18921.615000000002</v>
      </c>
      <c r="AL10" s="981">
        <v>1902.684</v>
      </c>
      <c r="AM10" s="981">
        <v>4428.17</v>
      </c>
      <c r="AN10" s="981">
        <v>6657.8</v>
      </c>
      <c r="AO10" s="5">
        <v>8790.7049999999999</v>
      </c>
      <c r="AP10" s="981">
        <v>9993.9249999999993</v>
      </c>
      <c r="AQ10" s="981">
        <v>11275</v>
      </c>
      <c r="AR10" s="888">
        <v>12440.884</v>
      </c>
    </row>
    <row r="11" spans="1:44" s="11" customFormat="1">
      <c r="A11" s="995" t="s">
        <v>113</v>
      </c>
      <c r="B11" s="4"/>
      <c r="C11" s="311"/>
      <c r="D11" s="311"/>
      <c r="E11" s="311"/>
      <c r="F11" s="311"/>
      <c r="G11" s="311"/>
      <c r="H11" s="311"/>
      <c r="I11" s="311"/>
      <c r="J11" s="311"/>
      <c r="K11" s="311"/>
      <c r="L11" s="311"/>
      <c r="M11" s="311"/>
      <c r="N11" s="311"/>
      <c r="O11" s="311"/>
      <c r="P11" s="311"/>
      <c r="Q11" s="311" t="s">
        <v>1</v>
      </c>
      <c r="R11" s="311" t="s">
        <v>1</v>
      </c>
      <c r="S11" s="311" t="s">
        <v>1</v>
      </c>
      <c r="T11" s="311" t="s">
        <v>1</v>
      </c>
      <c r="U11" s="311" t="s">
        <v>1</v>
      </c>
      <c r="V11" s="311" t="s">
        <v>1</v>
      </c>
      <c r="W11" s="982">
        <v>72540</v>
      </c>
      <c r="X11" s="982">
        <v>77556</v>
      </c>
      <c r="Y11" s="982">
        <v>93647</v>
      </c>
      <c r="Z11" s="982">
        <v>96738</v>
      </c>
      <c r="AA11" s="982">
        <v>90444</v>
      </c>
      <c r="AB11" s="62">
        <v>112321</v>
      </c>
      <c r="AC11" s="62">
        <v>148534</v>
      </c>
      <c r="AD11" s="62">
        <v>165896</v>
      </c>
      <c r="AE11" s="62">
        <v>201882</v>
      </c>
      <c r="AF11" s="62">
        <v>222036</v>
      </c>
      <c r="AG11" s="981">
        <v>337610</v>
      </c>
      <c r="AH11" s="994" t="s">
        <v>279</v>
      </c>
      <c r="AI11" s="981">
        <v>423984</v>
      </c>
      <c r="AJ11" s="62">
        <v>392585</v>
      </c>
      <c r="AK11" s="981">
        <v>387741.83799999999</v>
      </c>
      <c r="AL11" s="981">
        <v>18255.212</v>
      </c>
      <c r="AM11" s="981">
        <v>44920.336000000003</v>
      </c>
      <c r="AN11" s="981">
        <v>73486.493000000002</v>
      </c>
      <c r="AO11" s="983">
        <v>103970.92600000001</v>
      </c>
      <c r="AP11" s="981">
        <v>133181.16</v>
      </c>
      <c r="AQ11" s="981">
        <v>162382</v>
      </c>
      <c r="AR11" s="888">
        <v>190262.196</v>
      </c>
    </row>
    <row r="12" spans="1:44" s="11" customFormat="1">
      <c r="A12" s="998" t="s">
        <v>102</v>
      </c>
      <c r="B12" s="999" t="s">
        <v>74</v>
      </c>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62"/>
      <c r="AC12" s="62"/>
      <c r="AD12" s="1000"/>
      <c r="AE12" s="62"/>
      <c r="AF12" s="62"/>
      <c r="AG12" s="62"/>
      <c r="AH12" s="994"/>
      <c r="AI12" s="62"/>
      <c r="AJ12" s="304"/>
      <c r="AK12" s="4"/>
      <c r="AL12" s="985"/>
      <c r="AM12" s="984"/>
      <c r="AN12" s="984"/>
      <c r="AO12" s="985"/>
      <c r="AP12" s="984"/>
      <c r="AQ12" s="984"/>
      <c r="AR12" s="1088"/>
    </row>
    <row r="13" spans="1:44" s="11" customFormat="1">
      <c r="A13" s="993" t="s">
        <v>108</v>
      </c>
      <c r="B13" s="4"/>
      <c r="C13" s="311">
        <v>93.2</v>
      </c>
      <c r="D13" s="311">
        <v>102.5</v>
      </c>
      <c r="E13" s="311">
        <v>76.099999999999994</v>
      </c>
      <c r="F13" s="311">
        <v>68.7</v>
      </c>
      <c r="G13" s="311">
        <v>56.1</v>
      </c>
      <c r="H13" s="311">
        <v>100.4</v>
      </c>
      <c r="I13" s="311">
        <v>111.7</v>
      </c>
      <c r="J13" s="311">
        <v>103.3</v>
      </c>
      <c r="K13" s="311">
        <v>116.1</v>
      </c>
      <c r="L13" s="311">
        <v>106.2</v>
      </c>
      <c r="M13" s="311">
        <v>118.6</v>
      </c>
      <c r="N13" s="311">
        <v>115.4</v>
      </c>
      <c r="O13" s="311">
        <v>130.69999999999999</v>
      </c>
      <c r="P13" s="311">
        <v>114.7</v>
      </c>
      <c r="Q13" s="311">
        <v>125.6</v>
      </c>
      <c r="R13" s="311">
        <v>109.1</v>
      </c>
      <c r="S13" s="311">
        <v>116.7</v>
      </c>
      <c r="T13" s="311">
        <v>80.900000000000006</v>
      </c>
      <c r="U13" s="311">
        <v>90.5</v>
      </c>
      <c r="V13" s="311">
        <v>122.5</v>
      </c>
      <c r="W13" s="311">
        <v>113.6</v>
      </c>
      <c r="X13" s="311">
        <v>103.3</v>
      </c>
      <c r="Y13" s="311">
        <v>105.5</v>
      </c>
      <c r="Z13" s="311">
        <v>102.2</v>
      </c>
      <c r="AA13" s="311">
        <v>95.1</v>
      </c>
      <c r="AB13" s="1001">
        <v>100.1</v>
      </c>
      <c r="AC13" s="1001">
        <v>105.1</v>
      </c>
      <c r="AD13" s="985">
        <v>104.3</v>
      </c>
      <c r="AE13" s="1001">
        <v>108.6</v>
      </c>
      <c r="AF13" s="1001">
        <v>105.2</v>
      </c>
      <c r="AG13" s="1002">
        <v>125.3</v>
      </c>
      <c r="AH13" s="994">
        <v>109.1</v>
      </c>
      <c r="AI13" s="304">
        <v>110.1</v>
      </c>
      <c r="AJ13" s="985">
        <v>98.6</v>
      </c>
      <c r="AK13" s="985">
        <v>114.3</v>
      </c>
      <c r="AL13" s="985">
        <v>111.9</v>
      </c>
      <c r="AM13" s="985">
        <v>129.80000000000001</v>
      </c>
      <c r="AN13" s="985">
        <v>131.1</v>
      </c>
      <c r="AO13" s="985">
        <v>127.8</v>
      </c>
      <c r="AP13" s="985">
        <v>125.4</v>
      </c>
      <c r="AQ13" s="985">
        <v>124.2</v>
      </c>
      <c r="AR13" s="774">
        <v>122.5</v>
      </c>
    </row>
    <row r="14" spans="1:44" s="11" customFormat="1">
      <c r="A14" s="995" t="s">
        <v>109</v>
      </c>
      <c r="B14" s="4"/>
      <c r="C14" s="311"/>
      <c r="D14" s="311"/>
      <c r="E14" s="311"/>
      <c r="F14" s="311"/>
      <c r="G14" s="311"/>
      <c r="H14" s="311"/>
      <c r="I14" s="311"/>
      <c r="J14" s="311"/>
      <c r="K14" s="311"/>
      <c r="L14" s="311"/>
      <c r="M14" s="311"/>
      <c r="N14" s="311"/>
      <c r="O14" s="311"/>
      <c r="P14" s="311"/>
      <c r="Q14" s="311" t="s">
        <v>1</v>
      </c>
      <c r="R14" s="311" t="s">
        <v>1</v>
      </c>
      <c r="S14" s="311" t="s">
        <v>1</v>
      </c>
      <c r="T14" s="311" t="s">
        <v>1</v>
      </c>
      <c r="U14" s="311" t="s">
        <v>1</v>
      </c>
      <c r="V14" s="311" t="s">
        <v>1</v>
      </c>
      <c r="W14" s="1003">
        <v>136.1</v>
      </c>
      <c r="X14" s="1003">
        <v>115.3</v>
      </c>
      <c r="Y14" s="1003">
        <v>100.1</v>
      </c>
      <c r="Z14" s="1003">
        <v>100.3</v>
      </c>
      <c r="AA14" s="1003">
        <v>98.4</v>
      </c>
      <c r="AB14" s="1001">
        <v>100.7</v>
      </c>
      <c r="AC14" s="1001">
        <v>104.7</v>
      </c>
      <c r="AD14" s="985">
        <v>109.9</v>
      </c>
      <c r="AE14" s="1001">
        <v>94.4</v>
      </c>
      <c r="AF14" s="1001">
        <v>101.4</v>
      </c>
      <c r="AG14" s="1001">
        <v>104.5</v>
      </c>
      <c r="AH14" s="994">
        <v>104.5</v>
      </c>
      <c r="AI14" s="304">
        <v>93.9</v>
      </c>
      <c r="AJ14" s="985">
        <v>101.7</v>
      </c>
      <c r="AK14" s="985">
        <v>105.6</v>
      </c>
      <c r="AL14" s="985">
        <v>85</v>
      </c>
      <c r="AM14" s="985">
        <v>95.9</v>
      </c>
      <c r="AN14" s="985">
        <v>106</v>
      </c>
      <c r="AO14" s="985">
        <v>107.2</v>
      </c>
      <c r="AP14" s="985">
        <v>104.4</v>
      </c>
      <c r="AQ14" s="985">
        <v>103.1</v>
      </c>
      <c r="AR14" s="774">
        <v>100.8</v>
      </c>
    </row>
    <row r="15" spans="1:44" s="11" customFormat="1">
      <c r="A15" s="995" t="s">
        <v>135</v>
      </c>
      <c r="B15" s="4"/>
      <c r="C15" s="311"/>
      <c r="D15" s="311"/>
      <c r="E15" s="311"/>
      <c r="F15" s="311"/>
      <c r="G15" s="311"/>
      <c r="H15" s="311"/>
      <c r="I15" s="311"/>
      <c r="J15" s="311"/>
      <c r="K15" s="311"/>
      <c r="L15" s="311"/>
      <c r="M15" s="311"/>
      <c r="N15" s="311"/>
      <c r="O15" s="311"/>
      <c r="P15" s="311"/>
      <c r="Q15" s="311" t="s">
        <v>1</v>
      </c>
      <c r="R15" s="311" t="s">
        <v>1</v>
      </c>
      <c r="S15" s="311" t="s">
        <v>1</v>
      </c>
      <c r="T15" s="311" t="s">
        <v>1</v>
      </c>
      <c r="U15" s="311" t="s">
        <v>1</v>
      </c>
      <c r="V15" s="311" t="s">
        <v>1</v>
      </c>
      <c r="W15" s="1003">
        <v>89.2</v>
      </c>
      <c r="X15" s="1003">
        <v>113.4</v>
      </c>
      <c r="Y15" s="1003">
        <v>86.6</v>
      </c>
      <c r="Z15" s="1003">
        <v>125.3</v>
      </c>
      <c r="AA15" s="1003">
        <v>84.6</v>
      </c>
      <c r="AB15" s="1001">
        <v>99.4</v>
      </c>
      <c r="AC15" s="1001">
        <v>105.5</v>
      </c>
      <c r="AD15" s="985">
        <v>100.6</v>
      </c>
      <c r="AE15" s="1001">
        <v>105.8</v>
      </c>
      <c r="AF15" s="1001">
        <v>171.7</v>
      </c>
      <c r="AG15" s="1001">
        <v>186.6</v>
      </c>
      <c r="AH15" s="994">
        <v>132.5</v>
      </c>
      <c r="AI15" s="304">
        <v>126.2</v>
      </c>
      <c r="AJ15" s="985">
        <v>97.7</v>
      </c>
      <c r="AK15" s="985">
        <v>138.6</v>
      </c>
      <c r="AL15" s="985">
        <v>152.80000000000001</v>
      </c>
      <c r="AM15" s="985">
        <v>160.4</v>
      </c>
      <c r="AN15" s="985">
        <v>167.4</v>
      </c>
      <c r="AO15" s="985">
        <v>157.1</v>
      </c>
      <c r="AP15" s="985">
        <v>154.5</v>
      </c>
      <c r="AQ15" s="985">
        <v>155.80000000000001</v>
      </c>
      <c r="AR15" s="774">
        <v>154.6</v>
      </c>
    </row>
    <row r="16" spans="1:44" s="11" customFormat="1">
      <c r="A16" s="995" t="s">
        <v>110</v>
      </c>
      <c r="B16" s="4"/>
      <c r="C16" s="311"/>
      <c r="D16" s="311"/>
      <c r="E16" s="311"/>
      <c r="F16" s="311"/>
      <c r="G16" s="311"/>
      <c r="H16" s="311"/>
      <c r="I16" s="311"/>
      <c r="J16" s="311"/>
      <c r="K16" s="311"/>
      <c r="L16" s="311"/>
      <c r="M16" s="311"/>
      <c r="N16" s="311"/>
      <c r="O16" s="311"/>
      <c r="P16" s="311"/>
      <c r="Q16" s="311" t="s">
        <v>1</v>
      </c>
      <c r="R16" s="311" t="s">
        <v>1</v>
      </c>
      <c r="S16" s="311" t="s">
        <v>1</v>
      </c>
      <c r="T16" s="311" t="s">
        <v>1</v>
      </c>
      <c r="U16" s="311" t="s">
        <v>1</v>
      </c>
      <c r="V16" s="311" t="s">
        <v>1</v>
      </c>
      <c r="W16" s="1003">
        <v>90.7</v>
      </c>
      <c r="X16" s="1003">
        <v>166.8</v>
      </c>
      <c r="Y16" s="1003">
        <v>113</v>
      </c>
      <c r="Z16" s="1003">
        <v>88.5</v>
      </c>
      <c r="AA16" s="1003">
        <v>117.8</v>
      </c>
      <c r="AB16" s="1001">
        <v>99.6</v>
      </c>
      <c r="AC16" s="1001">
        <v>105.1</v>
      </c>
      <c r="AD16" s="985">
        <v>109.1</v>
      </c>
      <c r="AE16" s="1001">
        <v>117</v>
      </c>
      <c r="AF16" s="1001">
        <v>91.5</v>
      </c>
      <c r="AG16" s="1001">
        <v>107.6</v>
      </c>
      <c r="AH16" s="994">
        <v>85.5</v>
      </c>
      <c r="AI16" s="304">
        <v>107.1</v>
      </c>
      <c r="AJ16" s="985">
        <v>94.1</v>
      </c>
      <c r="AK16" s="985">
        <v>85.7</v>
      </c>
      <c r="AL16" s="985">
        <v>82.6</v>
      </c>
      <c r="AM16" s="985">
        <v>83.9</v>
      </c>
      <c r="AN16" s="985">
        <v>96.4</v>
      </c>
      <c r="AO16" s="985">
        <v>96.8</v>
      </c>
      <c r="AP16" s="985">
        <v>92.3</v>
      </c>
      <c r="AQ16" s="985">
        <v>94.6</v>
      </c>
      <c r="AR16" s="774">
        <v>96.3</v>
      </c>
    </row>
    <row r="17" spans="1:44" s="11" customFormat="1">
      <c r="A17" s="995" t="s">
        <v>111</v>
      </c>
      <c r="B17" s="4"/>
      <c r="C17" s="311"/>
      <c r="D17" s="311"/>
      <c r="E17" s="311"/>
      <c r="F17" s="311"/>
      <c r="G17" s="311"/>
      <c r="H17" s="311"/>
      <c r="I17" s="311"/>
      <c r="J17" s="311"/>
      <c r="K17" s="311"/>
      <c r="L17" s="311"/>
      <c r="M17" s="311"/>
      <c r="N17" s="311"/>
      <c r="O17" s="311"/>
      <c r="P17" s="311"/>
      <c r="Q17" s="311" t="s">
        <v>1</v>
      </c>
      <c r="R17" s="311" t="s">
        <v>1</v>
      </c>
      <c r="S17" s="311" t="s">
        <v>1</v>
      </c>
      <c r="T17" s="311" t="s">
        <v>1</v>
      </c>
      <c r="U17" s="311" t="s">
        <v>1</v>
      </c>
      <c r="V17" s="311" t="s">
        <v>1</v>
      </c>
      <c r="W17" s="1003">
        <v>119.9</v>
      </c>
      <c r="X17" s="1003">
        <v>54.5</v>
      </c>
      <c r="Y17" s="1003">
        <v>97.5</v>
      </c>
      <c r="Z17" s="1003">
        <v>98.7</v>
      </c>
      <c r="AA17" s="1003">
        <v>102.2</v>
      </c>
      <c r="AB17" s="1001">
        <v>100.1</v>
      </c>
      <c r="AC17" s="1001">
        <v>105.1</v>
      </c>
      <c r="AD17" s="985">
        <v>96.8</v>
      </c>
      <c r="AE17" s="1001">
        <v>117</v>
      </c>
      <c r="AF17" s="1001">
        <v>90.7</v>
      </c>
      <c r="AG17" s="1002">
        <v>107.1</v>
      </c>
      <c r="AH17" s="994" t="s">
        <v>280</v>
      </c>
      <c r="AI17" s="304">
        <v>96.5</v>
      </c>
      <c r="AJ17" s="985">
        <v>102.9</v>
      </c>
      <c r="AK17" s="985">
        <v>100.5</v>
      </c>
      <c r="AL17" s="985">
        <v>96</v>
      </c>
      <c r="AM17" s="985">
        <v>100</v>
      </c>
      <c r="AN17" s="985">
        <v>107.5</v>
      </c>
      <c r="AO17" s="985">
        <v>111.4</v>
      </c>
      <c r="AP17" s="985">
        <v>104.7</v>
      </c>
      <c r="AQ17" s="985">
        <v>102.3</v>
      </c>
      <c r="AR17" s="774">
        <v>101</v>
      </c>
    </row>
    <row r="18" spans="1:44" s="11" customFormat="1">
      <c r="A18" s="995" t="s">
        <v>388</v>
      </c>
      <c r="B18" s="4"/>
      <c r="C18" s="311"/>
      <c r="D18" s="311"/>
      <c r="E18" s="311"/>
      <c r="F18" s="311"/>
      <c r="G18" s="311"/>
      <c r="H18" s="311"/>
      <c r="I18" s="311"/>
      <c r="J18" s="311"/>
      <c r="K18" s="311"/>
      <c r="L18" s="311"/>
      <c r="M18" s="311"/>
      <c r="N18" s="311"/>
      <c r="O18" s="311"/>
      <c r="P18" s="311"/>
      <c r="Q18" s="311" t="s">
        <v>1</v>
      </c>
      <c r="R18" s="311" t="s">
        <v>1</v>
      </c>
      <c r="S18" s="311" t="s">
        <v>1</v>
      </c>
      <c r="T18" s="311" t="s">
        <v>1</v>
      </c>
      <c r="U18" s="311" t="s">
        <v>1</v>
      </c>
      <c r="V18" s="311" t="s">
        <v>1</v>
      </c>
      <c r="W18" s="1003">
        <v>98.4</v>
      </c>
      <c r="X18" s="1003">
        <v>109.7</v>
      </c>
      <c r="Y18" s="1003">
        <v>120.7</v>
      </c>
      <c r="Z18" s="1003">
        <v>112.8</v>
      </c>
      <c r="AA18" s="1003">
        <v>125.1</v>
      </c>
      <c r="AB18" s="1001">
        <v>99.6</v>
      </c>
      <c r="AC18" s="1001">
        <v>104.7</v>
      </c>
      <c r="AD18" s="985">
        <v>107.2</v>
      </c>
      <c r="AE18" s="1001">
        <v>111.6</v>
      </c>
      <c r="AF18" s="1001">
        <v>104.1</v>
      </c>
      <c r="AG18" s="1001">
        <v>107</v>
      </c>
      <c r="AH18" s="994" t="s">
        <v>281</v>
      </c>
      <c r="AI18" s="304">
        <v>111.8</v>
      </c>
      <c r="AJ18" s="985">
        <v>104.6</v>
      </c>
      <c r="AK18" s="985">
        <v>109.5</v>
      </c>
      <c r="AL18" s="985">
        <v>94</v>
      </c>
      <c r="AM18" s="985">
        <v>110.1</v>
      </c>
      <c r="AN18" s="985">
        <v>118.5</v>
      </c>
      <c r="AO18" s="985">
        <v>114.7</v>
      </c>
      <c r="AP18" s="985">
        <v>113.2</v>
      </c>
      <c r="AQ18" s="985">
        <v>111.5</v>
      </c>
      <c r="AR18" s="774">
        <v>111.1</v>
      </c>
    </row>
    <row r="19" spans="1:44" s="11" customFormat="1">
      <c r="A19" s="995" t="s">
        <v>136</v>
      </c>
      <c r="B19" s="4"/>
      <c r="C19" s="311"/>
      <c r="D19" s="311"/>
      <c r="E19" s="311"/>
      <c r="F19" s="311"/>
      <c r="G19" s="311"/>
      <c r="H19" s="311"/>
      <c r="I19" s="311"/>
      <c r="J19" s="311"/>
      <c r="K19" s="311"/>
      <c r="L19" s="311"/>
      <c r="M19" s="311"/>
      <c r="N19" s="311"/>
      <c r="O19" s="311"/>
      <c r="P19" s="311"/>
      <c r="Q19" s="311" t="s">
        <v>1</v>
      </c>
      <c r="R19" s="311" t="s">
        <v>1</v>
      </c>
      <c r="S19" s="311" t="s">
        <v>1</v>
      </c>
      <c r="T19" s="311" t="s">
        <v>1</v>
      </c>
      <c r="U19" s="311" t="s">
        <v>1</v>
      </c>
      <c r="V19" s="311" t="s">
        <v>1</v>
      </c>
      <c r="W19" s="1003">
        <v>108.7</v>
      </c>
      <c r="X19" s="1003">
        <v>96.9</v>
      </c>
      <c r="Y19" s="1003">
        <v>102.2</v>
      </c>
      <c r="Z19" s="1003">
        <v>108.3</v>
      </c>
      <c r="AA19" s="1003">
        <v>57</v>
      </c>
      <c r="AB19" s="1001">
        <v>100.4</v>
      </c>
      <c r="AC19" s="1001">
        <v>105.5</v>
      </c>
      <c r="AD19" s="985">
        <v>92</v>
      </c>
      <c r="AE19" s="1001">
        <v>103.1</v>
      </c>
      <c r="AF19" s="1001">
        <v>88.5</v>
      </c>
      <c r="AG19" s="1001">
        <v>100.6</v>
      </c>
      <c r="AH19" s="994" t="s">
        <v>282</v>
      </c>
      <c r="AI19" s="304">
        <v>107.8</v>
      </c>
      <c r="AJ19" s="985">
        <v>89.1</v>
      </c>
      <c r="AK19" s="985">
        <v>110.8</v>
      </c>
      <c r="AL19" s="985">
        <v>116.5</v>
      </c>
      <c r="AM19" s="985">
        <v>141.30000000000001</v>
      </c>
      <c r="AN19" s="985">
        <v>153.4</v>
      </c>
      <c r="AO19" s="985">
        <v>147.5</v>
      </c>
      <c r="AP19" s="985">
        <v>139.19999999999999</v>
      </c>
      <c r="AQ19" s="985">
        <v>136.69999999999999</v>
      </c>
      <c r="AR19" s="774">
        <v>132.1</v>
      </c>
    </row>
    <row r="20" spans="1:44" s="11" customFormat="1">
      <c r="A20" s="995" t="s">
        <v>112</v>
      </c>
      <c r="B20" s="4"/>
      <c r="C20" s="311"/>
      <c r="D20" s="311"/>
      <c r="E20" s="311"/>
      <c r="F20" s="311"/>
      <c r="G20" s="311"/>
      <c r="H20" s="311"/>
      <c r="I20" s="311"/>
      <c r="J20" s="311"/>
      <c r="K20" s="311"/>
      <c r="L20" s="311"/>
      <c r="M20" s="311"/>
      <c r="N20" s="311"/>
      <c r="O20" s="311"/>
      <c r="P20" s="311"/>
      <c r="Q20" s="311" t="s">
        <v>1</v>
      </c>
      <c r="R20" s="311" t="s">
        <v>1</v>
      </c>
      <c r="S20" s="311" t="s">
        <v>1</v>
      </c>
      <c r="T20" s="311" t="s">
        <v>1</v>
      </c>
      <c r="U20" s="311" t="s">
        <v>1</v>
      </c>
      <c r="V20" s="311" t="s">
        <v>1</v>
      </c>
      <c r="W20" s="1003"/>
      <c r="X20" s="1003"/>
      <c r="Y20" s="1003"/>
      <c r="Z20" s="1003">
        <v>83.8</v>
      </c>
      <c r="AA20" s="1003">
        <v>126.6</v>
      </c>
      <c r="AB20" s="1001">
        <v>99</v>
      </c>
      <c r="AC20" s="1001">
        <v>103.1</v>
      </c>
      <c r="AD20" s="985">
        <v>85.9</v>
      </c>
      <c r="AE20" s="1001">
        <v>128.1</v>
      </c>
      <c r="AF20" s="1001">
        <v>108</v>
      </c>
      <c r="AG20" s="1001">
        <v>165.6</v>
      </c>
      <c r="AH20" s="994" t="s">
        <v>283</v>
      </c>
      <c r="AI20" s="304">
        <v>120.4</v>
      </c>
      <c r="AJ20" s="985">
        <v>113.5</v>
      </c>
      <c r="AK20" s="985">
        <v>90.6</v>
      </c>
      <c r="AL20" s="985">
        <v>102.6</v>
      </c>
      <c r="AM20" s="985">
        <v>132</v>
      </c>
      <c r="AN20" s="985">
        <v>120.2</v>
      </c>
      <c r="AO20" s="985">
        <v>122.7</v>
      </c>
      <c r="AP20" s="985">
        <v>125.9</v>
      </c>
      <c r="AQ20" s="985">
        <v>126.2</v>
      </c>
      <c r="AR20" s="774">
        <v>139.5</v>
      </c>
    </row>
    <row r="21" spans="1:44" s="11" customFormat="1">
      <c r="A21" s="995" t="s">
        <v>113</v>
      </c>
      <c r="B21" s="4"/>
      <c r="C21" s="311"/>
      <c r="D21" s="311"/>
      <c r="E21" s="311"/>
      <c r="F21" s="311"/>
      <c r="G21" s="311"/>
      <c r="H21" s="311"/>
      <c r="I21" s="311"/>
      <c r="J21" s="311"/>
      <c r="K21" s="311"/>
      <c r="L21" s="311"/>
      <c r="M21" s="311"/>
      <c r="N21" s="311"/>
      <c r="O21" s="311"/>
      <c r="P21" s="311"/>
      <c r="Q21" s="311" t="s">
        <v>1</v>
      </c>
      <c r="R21" s="311" t="s">
        <v>1</v>
      </c>
      <c r="S21" s="311" t="s">
        <v>1</v>
      </c>
      <c r="T21" s="311" t="s">
        <v>1</v>
      </c>
      <c r="U21" s="311" t="s">
        <v>1</v>
      </c>
      <c r="V21" s="311" t="s">
        <v>1</v>
      </c>
      <c r="W21" s="1003">
        <v>109</v>
      </c>
      <c r="X21" s="1003">
        <v>114</v>
      </c>
      <c r="Y21" s="1003">
        <v>112.5</v>
      </c>
      <c r="Z21" s="1003">
        <v>89.8</v>
      </c>
      <c r="AA21" s="1003">
        <v>92.3</v>
      </c>
      <c r="AB21" s="1001">
        <v>100.4</v>
      </c>
      <c r="AC21" s="1001">
        <v>103.8</v>
      </c>
      <c r="AD21" s="985">
        <v>109.3</v>
      </c>
      <c r="AE21" s="1001">
        <v>114.3</v>
      </c>
      <c r="AF21" s="1001">
        <v>106</v>
      </c>
      <c r="AG21" s="1001">
        <v>136</v>
      </c>
      <c r="AH21" s="994" t="s">
        <v>284</v>
      </c>
      <c r="AI21" s="304">
        <v>120.5</v>
      </c>
      <c r="AJ21" s="1004">
        <v>86.3</v>
      </c>
      <c r="AK21" s="985">
        <v>96.4</v>
      </c>
      <c r="AL21" s="304">
        <v>70.099999999999994</v>
      </c>
      <c r="AM21" s="985">
        <v>93.7</v>
      </c>
      <c r="AN21" s="985">
        <v>141.9</v>
      </c>
      <c r="AO21" s="986">
        <v>153.69999999999999</v>
      </c>
      <c r="AP21" s="985">
        <v>166.8</v>
      </c>
      <c r="AQ21" s="985">
        <v>156.19999999999999</v>
      </c>
      <c r="AR21" s="774">
        <v>149.5</v>
      </c>
    </row>
    <row r="22" spans="1:44" s="11" customFormat="1">
      <c r="A22" s="998" t="s">
        <v>249</v>
      </c>
      <c r="B22" s="999" t="s">
        <v>74</v>
      </c>
      <c r="C22" s="311">
        <v>100</v>
      </c>
      <c r="D22" s="311">
        <v>102.5</v>
      </c>
      <c r="E22" s="311">
        <v>78</v>
      </c>
      <c r="F22" s="311">
        <v>53.6</v>
      </c>
      <c r="G22" s="311">
        <v>30.1</v>
      </c>
      <c r="H22" s="311">
        <v>30.2</v>
      </c>
      <c r="I22" s="311">
        <v>33.700000000000003</v>
      </c>
      <c r="J22" s="311">
        <v>34.799999999999997</v>
      </c>
      <c r="K22" s="311">
        <v>40.4</v>
      </c>
      <c r="L22" s="311">
        <v>42.9</v>
      </c>
      <c r="M22" s="311">
        <v>50.9</v>
      </c>
      <c r="N22" s="311">
        <v>58.7</v>
      </c>
      <c r="O22" s="311">
        <v>76.7</v>
      </c>
      <c r="P22" s="311">
        <v>88</v>
      </c>
      <c r="Q22" s="311">
        <v>110.5</v>
      </c>
      <c r="R22" s="311">
        <v>120.6</v>
      </c>
      <c r="S22" s="311">
        <v>140.69999999999999</v>
      </c>
      <c r="T22" s="311">
        <v>113.8</v>
      </c>
      <c r="U22" s="311">
        <v>103</v>
      </c>
      <c r="V22" s="311">
        <v>126.2</v>
      </c>
      <c r="W22" s="311">
        <v>143.4</v>
      </c>
      <c r="X22" s="311">
        <v>148.1</v>
      </c>
      <c r="Y22" s="311">
        <v>156.19999999999999</v>
      </c>
      <c r="Z22" s="311">
        <v>159.6</v>
      </c>
      <c r="AA22" s="311">
        <v>151.80000000000001</v>
      </c>
      <c r="AB22" s="1001">
        <v>152</v>
      </c>
      <c r="AC22" s="4">
        <v>159.80000000000001</v>
      </c>
      <c r="AD22" s="305">
        <v>166.7</v>
      </c>
      <c r="AE22" s="305">
        <v>181</v>
      </c>
      <c r="AF22" s="305">
        <v>190.4</v>
      </c>
      <c r="AG22" s="305">
        <v>238.6</v>
      </c>
      <c r="AH22" s="305">
        <v>260.3</v>
      </c>
      <c r="AI22" s="305">
        <v>286.60000000000002</v>
      </c>
      <c r="AJ22" s="305">
        <v>282.60000000000002</v>
      </c>
      <c r="AK22" s="304">
        <v>323</v>
      </c>
      <c r="AL22" s="305" t="s">
        <v>1</v>
      </c>
      <c r="AM22" s="986" t="s">
        <v>1</v>
      </c>
      <c r="AN22" s="986" t="s">
        <v>1</v>
      </c>
      <c r="AO22" s="986" t="s">
        <v>1</v>
      </c>
      <c r="AP22" s="986" t="s">
        <v>1</v>
      </c>
      <c r="AQ22" s="986" t="s">
        <v>1</v>
      </c>
      <c r="AR22" s="1089" t="s">
        <v>1</v>
      </c>
    </row>
    <row r="23" spans="1:44" s="11" customFormat="1">
      <c r="A23" s="1005" t="s">
        <v>250</v>
      </c>
      <c r="B23" s="4"/>
      <c r="C23" s="311"/>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62"/>
      <c r="AC23" s="4"/>
      <c r="AD23" s="1000"/>
      <c r="AE23" s="305" t="s">
        <v>1</v>
      </c>
      <c r="AF23" s="305" t="s">
        <v>1</v>
      </c>
      <c r="AG23" s="305" t="s">
        <v>1</v>
      </c>
      <c r="AH23" s="305" t="s">
        <v>1</v>
      </c>
      <c r="AI23" s="305" t="s">
        <v>1</v>
      </c>
      <c r="AJ23" s="305" t="s">
        <v>1</v>
      </c>
      <c r="AK23" s="305" t="s">
        <v>1</v>
      </c>
      <c r="AL23" s="305" t="s">
        <v>1</v>
      </c>
      <c r="AM23" s="986" t="s">
        <v>1</v>
      </c>
      <c r="AN23" s="986" t="s">
        <v>1</v>
      </c>
      <c r="AO23" s="986" t="s">
        <v>1</v>
      </c>
      <c r="AP23" s="986" t="s">
        <v>1</v>
      </c>
      <c r="AQ23" s="986" t="s">
        <v>1</v>
      </c>
      <c r="AR23" s="1089" t="s">
        <v>1</v>
      </c>
    </row>
    <row r="24" spans="1:44" s="11" customFormat="1">
      <c r="A24" s="993" t="s">
        <v>108</v>
      </c>
      <c r="B24" s="4"/>
      <c r="C24" s="311" t="s">
        <v>1</v>
      </c>
      <c r="D24" s="311" t="s">
        <v>1</v>
      </c>
      <c r="E24" s="311" t="s">
        <v>1</v>
      </c>
      <c r="F24" s="311" t="s">
        <v>1</v>
      </c>
      <c r="G24" s="311" t="s">
        <v>1</v>
      </c>
      <c r="H24" s="311" t="s">
        <v>1</v>
      </c>
      <c r="I24" s="311">
        <f>24190/1000</f>
        <v>24.19</v>
      </c>
      <c r="J24" s="311">
        <f>15138/1000</f>
        <v>15.138</v>
      </c>
      <c r="K24" s="311">
        <f>20136/1000</f>
        <v>20.135999999999999</v>
      </c>
      <c r="L24" s="311">
        <f>1335/1000</f>
        <v>1.335</v>
      </c>
      <c r="M24" s="311">
        <f>15835/1000</f>
        <v>15.835000000000001</v>
      </c>
      <c r="N24" s="311">
        <f>32428/1000</f>
        <v>32.427999999999997</v>
      </c>
      <c r="O24" s="311">
        <f>203646/1000</f>
        <v>203.64599999999999</v>
      </c>
      <c r="P24" s="311">
        <f>398466/1000</f>
        <v>398.46600000000001</v>
      </c>
      <c r="Q24" s="311">
        <f>582950/1000</f>
        <v>582.95000000000005</v>
      </c>
      <c r="R24" s="311">
        <f>1053316/1000</f>
        <v>1053.316</v>
      </c>
      <c r="S24" s="311">
        <f>1418774/1000</f>
        <v>1418.7739999999999</v>
      </c>
      <c r="T24" s="311" t="s">
        <v>1</v>
      </c>
      <c r="U24" s="311" t="s">
        <v>1</v>
      </c>
      <c r="V24" s="311" t="s">
        <v>1</v>
      </c>
      <c r="W24" s="311" t="s">
        <v>1</v>
      </c>
      <c r="X24" s="311">
        <f>85005/1000</f>
        <v>85.004999999999995</v>
      </c>
      <c r="Y24" s="311" t="s">
        <v>1</v>
      </c>
      <c r="Z24" s="311">
        <v>220</v>
      </c>
      <c r="AA24" s="62" t="s">
        <v>1</v>
      </c>
      <c r="AB24" s="62" t="s">
        <v>60</v>
      </c>
      <c r="AC24" s="1006" t="s">
        <v>1</v>
      </c>
      <c r="AD24" s="305" t="s">
        <v>1</v>
      </c>
      <c r="AE24" s="305" t="s">
        <v>1</v>
      </c>
      <c r="AF24" s="305" t="s">
        <v>1</v>
      </c>
      <c r="AG24" s="305" t="s">
        <v>1</v>
      </c>
      <c r="AH24" s="305" t="s">
        <v>1</v>
      </c>
      <c r="AI24" s="305" t="s">
        <v>1</v>
      </c>
      <c r="AJ24" s="305" t="s">
        <v>1</v>
      </c>
      <c r="AK24" s="305" t="s">
        <v>1</v>
      </c>
      <c r="AL24" s="305" t="s">
        <v>1</v>
      </c>
      <c r="AM24" s="986" t="s">
        <v>1</v>
      </c>
      <c r="AN24" s="986" t="s">
        <v>1</v>
      </c>
      <c r="AO24" s="986" t="s">
        <v>1</v>
      </c>
      <c r="AP24" s="986" t="s">
        <v>1</v>
      </c>
      <c r="AQ24" s="986" t="s">
        <v>1</v>
      </c>
      <c r="AR24" s="1089" t="s">
        <v>1</v>
      </c>
    </row>
    <row r="25" spans="1:44" s="11" customFormat="1">
      <c r="A25" s="995" t="s">
        <v>112</v>
      </c>
      <c r="B25" s="4"/>
      <c r="C25" s="311"/>
      <c r="D25" s="311"/>
      <c r="E25" s="311"/>
      <c r="F25" s="311"/>
      <c r="G25" s="311"/>
      <c r="H25" s="311"/>
      <c r="I25" s="311"/>
      <c r="J25" s="311"/>
      <c r="K25" s="311"/>
      <c r="L25" s="311"/>
      <c r="M25" s="311"/>
      <c r="N25" s="311"/>
      <c r="O25" s="311"/>
      <c r="P25" s="311"/>
      <c r="Q25" s="311" t="s">
        <v>1</v>
      </c>
      <c r="R25" s="311" t="s">
        <v>1</v>
      </c>
      <c r="S25" s="311" t="s">
        <v>1</v>
      </c>
      <c r="T25" s="311" t="s">
        <v>1</v>
      </c>
      <c r="U25" s="311"/>
      <c r="V25" s="311"/>
      <c r="W25" s="1003"/>
      <c r="X25" s="1003"/>
      <c r="Y25" s="1003"/>
      <c r="Z25" s="982">
        <v>220</v>
      </c>
      <c r="AA25" s="982" t="s">
        <v>1</v>
      </c>
      <c r="AB25" s="62" t="s">
        <v>1</v>
      </c>
      <c r="AC25" s="1006" t="s">
        <v>1</v>
      </c>
      <c r="AD25" s="305" t="s">
        <v>1</v>
      </c>
      <c r="AE25" s="305" t="s">
        <v>1</v>
      </c>
      <c r="AF25" s="305" t="s">
        <v>1</v>
      </c>
      <c r="AG25" s="305" t="s">
        <v>1</v>
      </c>
      <c r="AH25" s="305" t="s">
        <v>1</v>
      </c>
      <c r="AI25" s="305" t="s">
        <v>1</v>
      </c>
      <c r="AJ25" s="305" t="s">
        <v>1</v>
      </c>
      <c r="AK25" s="305" t="s">
        <v>1</v>
      </c>
      <c r="AL25" s="305" t="s">
        <v>1</v>
      </c>
      <c r="AM25" s="986" t="s">
        <v>1</v>
      </c>
      <c r="AN25" s="986" t="s">
        <v>1</v>
      </c>
      <c r="AO25" s="986" t="s">
        <v>1</v>
      </c>
      <c r="AP25" s="986" t="s">
        <v>1</v>
      </c>
      <c r="AQ25" s="986" t="s">
        <v>1</v>
      </c>
      <c r="AR25" s="1089" t="s">
        <v>1</v>
      </c>
    </row>
    <row r="26" spans="1:44" s="11" customFormat="1">
      <c r="A26" s="995" t="s">
        <v>113</v>
      </c>
      <c r="B26" s="4"/>
      <c r="C26" s="311"/>
      <c r="D26" s="311"/>
      <c r="E26" s="311"/>
      <c r="F26" s="311"/>
      <c r="G26" s="311"/>
      <c r="H26" s="311"/>
      <c r="I26" s="311"/>
      <c r="J26" s="311"/>
      <c r="K26" s="311"/>
      <c r="L26" s="311"/>
      <c r="M26" s="311"/>
      <c r="N26" s="311"/>
      <c r="O26" s="311"/>
      <c r="P26" s="311"/>
      <c r="Q26" s="311" t="s">
        <v>1</v>
      </c>
      <c r="R26" s="311" t="s">
        <v>1</v>
      </c>
      <c r="S26" s="311" t="s">
        <v>1</v>
      </c>
      <c r="T26" s="311" t="s">
        <v>1</v>
      </c>
      <c r="U26" s="311" t="s">
        <v>1</v>
      </c>
      <c r="V26" s="311" t="s">
        <v>1</v>
      </c>
      <c r="W26" s="311" t="s">
        <v>1</v>
      </c>
      <c r="X26" s="311" t="s">
        <v>1</v>
      </c>
      <c r="Y26" s="311" t="s">
        <v>1</v>
      </c>
      <c r="Z26" s="311" t="s">
        <v>1</v>
      </c>
      <c r="AA26" s="311" t="s">
        <v>1</v>
      </c>
      <c r="AB26" s="311" t="s">
        <v>1</v>
      </c>
      <c r="AC26" s="311" t="s">
        <v>1</v>
      </c>
      <c r="AD26" s="311" t="s">
        <v>1</v>
      </c>
      <c r="AE26" s="305" t="s">
        <v>1</v>
      </c>
      <c r="AF26" s="305" t="s">
        <v>1</v>
      </c>
      <c r="AG26" s="305" t="s">
        <v>1</v>
      </c>
      <c r="AH26" s="305" t="s">
        <v>1</v>
      </c>
      <c r="AI26" s="305" t="s">
        <v>1</v>
      </c>
      <c r="AJ26" s="305" t="s">
        <v>1</v>
      </c>
      <c r="AK26" s="305" t="s">
        <v>1</v>
      </c>
      <c r="AL26" s="305" t="s">
        <v>1</v>
      </c>
      <c r="AM26" s="986" t="s">
        <v>1</v>
      </c>
      <c r="AN26" s="986" t="s">
        <v>1</v>
      </c>
      <c r="AO26" s="986" t="s">
        <v>1</v>
      </c>
      <c r="AP26" s="986" t="s">
        <v>1</v>
      </c>
      <c r="AQ26" s="986" t="s">
        <v>1</v>
      </c>
      <c r="AR26" s="1089" t="s">
        <v>1</v>
      </c>
    </row>
    <row r="27" spans="1:44" s="11" customFormat="1">
      <c r="A27" s="1005" t="s">
        <v>102</v>
      </c>
      <c r="B27" s="999" t="s">
        <v>74</v>
      </c>
      <c r="C27" s="311"/>
      <c r="D27" s="311"/>
      <c r="E27" s="311"/>
      <c r="F27" s="311"/>
      <c r="G27" s="311"/>
      <c r="H27" s="311"/>
      <c r="I27" s="311"/>
      <c r="J27" s="311"/>
      <c r="K27" s="311"/>
      <c r="L27" s="311"/>
      <c r="M27" s="311"/>
      <c r="N27" s="311"/>
      <c r="O27" s="311"/>
      <c r="P27" s="311"/>
      <c r="Q27" s="311"/>
      <c r="R27" s="311"/>
      <c r="S27" s="311"/>
      <c r="T27" s="311"/>
      <c r="U27" s="311"/>
      <c r="V27" s="311"/>
      <c r="W27" s="1003"/>
      <c r="X27" s="1003"/>
      <c r="Y27" s="1003"/>
      <c r="Z27" s="1003"/>
      <c r="AA27" s="1003"/>
      <c r="AB27" s="62"/>
      <c r="AC27" s="1006"/>
      <c r="AD27" s="305"/>
      <c r="AE27" s="305" t="s">
        <v>1</v>
      </c>
      <c r="AF27" s="305" t="s">
        <v>1</v>
      </c>
      <c r="AG27" s="305" t="s">
        <v>1</v>
      </c>
      <c r="AH27" s="305" t="s">
        <v>1</v>
      </c>
      <c r="AI27" s="305" t="s">
        <v>1</v>
      </c>
      <c r="AJ27" s="305" t="s">
        <v>1</v>
      </c>
      <c r="AK27" s="305" t="s">
        <v>1</v>
      </c>
      <c r="AL27" s="305" t="s">
        <v>1</v>
      </c>
      <c r="AM27" s="986" t="s">
        <v>1</v>
      </c>
      <c r="AN27" s="986" t="s">
        <v>1</v>
      </c>
      <c r="AO27" s="986" t="s">
        <v>1</v>
      </c>
      <c r="AP27" s="986" t="s">
        <v>1</v>
      </c>
      <c r="AQ27" s="986" t="s">
        <v>1</v>
      </c>
      <c r="AR27" s="1089" t="s">
        <v>1</v>
      </c>
    </row>
    <row r="28" spans="1:44" s="11" customFormat="1">
      <c r="A28" s="993" t="s">
        <v>108</v>
      </c>
      <c r="B28" s="4"/>
      <c r="C28" s="311" t="s">
        <v>1</v>
      </c>
      <c r="D28" s="311" t="s">
        <v>1</v>
      </c>
      <c r="E28" s="311" t="s">
        <v>1</v>
      </c>
      <c r="F28" s="311" t="s">
        <v>1</v>
      </c>
      <c r="G28" s="311" t="s">
        <v>1</v>
      </c>
      <c r="H28" s="311" t="s">
        <v>1</v>
      </c>
      <c r="I28" s="311" t="s">
        <v>1</v>
      </c>
      <c r="J28" s="311">
        <v>94</v>
      </c>
      <c r="K28" s="311">
        <v>115.6</v>
      </c>
      <c r="L28" s="311">
        <v>16</v>
      </c>
      <c r="M28" s="311">
        <v>1176.2</v>
      </c>
      <c r="N28" s="311">
        <v>177.9</v>
      </c>
      <c r="O28" s="311">
        <v>651.70000000000005</v>
      </c>
      <c r="P28" s="311">
        <v>129.4</v>
      </c>
      <c r="Q28" s="311">
        <v>149.30000000000001</v>
      </c>
      <c r="R28" s="311">
        <v>203.3</v>
      </c>
      <c r="S28" s="311">
        <v>133</v>
      </c>
      <c r="T28" s="311" t="s">
        <v>1</v>
      </c>
      <c r="U28" s="311" t="s">
        <v>1</v>
      </c>
      <c r="V28" s="311" t="s">
        <v>1</v>
      </c>
      <c r="W28" s="311" t="s">
        <v>1</v>
      </c>
      <c r="X28" s="311" t="s">
        <v>1</v>
      </c>
      <c r="Y28" s="311" t="s">
        <v>1</v>
      </c>
      <c r="Z28" s="1003">
        <v>81.900000000000006</v>
      </c>
      <c r="AA28" s="1003" t="s">
        <v>1</v>
      </c>
      <c r="AB28" s="62" t="s">
        <v>60</v>
      </c>
      <c r="AC28" s="1006" t="s">
        <v>1</v>
      </c>
      <c r="AD28" s="305" t="s">
        <v>1</v>
      </c>
      <c r="AE28" s="305" t="s">
        <v>1</v>
      </c>
      <c r="AF28" s="305" t="s">
        <v>1</v>
      </c>
      <c r="AG28" s="305" t="s">
        <v>1</v>
      </c>
      <c r="AH28" s="305" t="s">
        <v>1</v>
      </c>
      <c r="AI28" s="305" t="s">
        <v>1</v>
      </c>
      <c r="AJ28" s="305" t="s">
        <v>1</v>
      </c>
      <c r="AK28" s="305" t="s">
        <v>1</v>
      </c>
      <c r="AL28" s="305" t="s">
        <v>1</v>
      </c>
      <c r="AM28" s="986" t="s">
        <v>1</v>
      </c>
      <c r="AN28" s="986" t="s">
        <v>1</v>
      </c>
      <c r="AO28" s="986" t="s">
        <v>1</v>
      </c>
      <c r="AP28" s="986" t="s">
        <v>1</v>
      </c>
      <c r="AQ28" s="986" t="s">
        <v>1</v>
      </c>
      <c r="AR28" s="1089" t="s">
        <v>1</v>
      </c>
    </row>
    <row r="29" spans="1:44" s="11" customFormat="1">
      <c r="A29" s="995" t="s">
        <v>112</v>
      </c>
      <c r="B29" s="4"/>
      <c r="C29" s="311"/>
      <c r="D29" s="311"/>
      <c r="E29" s="311"/>
      <c r="F29" s="311"/>
      <c r="G29" s="311"/>
      <c r="H29" s="311"/>
      <c r="I29" s="311"/>
      <c r="J29" s="311"/>
      <c r="K29" s="311"/>
      <c r="L29" s="311"/>
      <c r="M29" s="311"/>
      <c r="N29" s="311"/>
      <c r="O29" s="311"/>
      <c r="P29" s="311"/>
      <c r="Q29" s="311" t="s">
        <v>1</v>
      </c>
      <c r="R29" s="311" t="s">
        <v>1</v>
      </c>
      <c r="S29" s="311" t="s">
        <v>1</v>
      </c>
      <c r="T29" s="311" t="s">
        <v>1</v>
      </c>
      <c r="U29" s="311" t="s">
        <v>1</v>
      </c>
      <c r="V29" s="311" t="s">
        <v>1</v>
      </c>
      <c r="W29" s="311" t="s">
        <v>1</v>
      </c>
      <c r="X29" s="311" t="s">
        <v>1</v>
      </c>
      <c r="Y29" s="311" t="s">
        <v>1</v>
      </c>
      <c r="Z29" s="1003">
        <v>81.900000000000006</v>
      </c>
      <c r="AA29" s="1003" t="s">
        <v>1</v>
      </c>
      <c r="AB29" s="62" t="s">
        <v>1</v>
      </c>
      <c r="AC29" s="1006" t="s">
        <v>1</v>
      </c>
      <c r="AD29" s="305" t="s">
        <v>1</v>
      </c>
      <c r="AE29" s="305" t="s">
        <v>1</v>
      </c>
      <c r="AF29" s="305" t="s">
        <v>1</v>
      </c>
      <c r="AG29" s="305" t="s">
        <v>1</v>
      </c>
      <c r="AH29" s="305" t="s">
        <v>1</v>
      </c>
      <c r="AI29" s="305" t="s">
        <v>1</v>
      </c>
      <c r="AJ29" s="305" t="s">
        <v>1</v>
      </c>
      <c r="AK29" s="305" t="s">
        <v>1</v>
      </c>
      <c r="AL29" s="305" t="s">
        <v>1</v>
      </c>
      <c r="AM29" s="986" t="s">
        <v>1</v>
      </c>
      <c r="AN29" s="986" t="s">
        <v>1</v>
      </c>
      <c r="AO29" s="986" t="s">
        <v>1</v>
      </c>
      <c r="AP29" s="986" t="s">
        <v>1</v>
      </c>
      <c r="AQ29" s="986" t="s">
        <v>1</v>
      </c>
      <c r="AR29" s="1089" t="s">
        <v>1</v>
      </c>
    </row>
    <row r="30" spans="1:44" s="11" customFormat="1">
      <c r="A30" s="995" t="s">
        <v>113</v>
      </c>
      <c r="B30" s="4"/>
      <c r="C30" s="311"/>
      <c r="D30" s="311"/>
      <c r="E30" s="311"/>
      <c r="F30" s="311"/>
      <c r="G30" s="311"/>
      <c r="H30" s="311"/>
      <c r="I30" s="311"/>
      <c r="J30" s="311"/>
      <c r="K30" s="311"/>
      <c r="L30" s="311"/>
      <c r="M30" s="311"/>
      <c r="N30" s="311"/>
      <c r="O30" s="311"/>
      <c r="P30" s="311"/>
      <c r="Q30" s="311" t="s">
        <v>1</v>
      </c>
      <c r="R30" s="311" t="s">
        <v>1</v>
      </c>
      <c r="S30" s="311" t="s">
        <v>1</v>
      </c>
      <c r="T30" s="311" t="s">
        <v>1</v>
      </c>
      <c r="U30" s="311" t="s">
        <v>1</v>
      </c>
      <c r="V30" s="311" t="s">
        <v>1</v>
      </c>
      <c r="W30" s="311" t="s">
        <v>1</v>
      </c>
      <c r="X30" s="311" t="s">
        <v>1</v>
      </c>
      <c r="Y30" s="311" t="s">
        <v>1</v>
      </c>
      <c r="Z30" s="311" t="s">
        <v>1</v>
      </c>
      <c r="AA30" s="311" t="s">
        <v>1</v>
      </c>
      <c r="AB30" s="311" t="s">
        <v>1</v>
      </c>
      <c r="AC30" s="311" t="s">
        <v>1</v>
      </c>
      <c r="AD30" s="5" t="s">
        <v>1</v>
      </c>
      <c r="AE30" s="305" t="s">
        <v>1</v>
      </c>
      <c r="AF30" s="305" t="s">
        <v>1</v>
      </c>
      <c r="AG30" s="305" t="s">
        <v>1</v>
      </c>
      <c r="AH30" s="305" t="s">
        <v>1</v>
      </c>
      <c r="AI30" s="305" t="s">
        <v>1</v>
      </c>
      <c r="AJ30" s="305" t="s">
        <v>1</v>
      </c>
      <c r="AK30" s="305" t="s">
        <v>1</v>
      </c>
      <c r="AL30" s="305" t="s">
        <v>1</v>
      </c>
      <c r="AM30" s="986" t="s">
        <v>1</v>
      </c>
      <c r="AN30" s="986" t="s">
        <v>1</v>
      </c>
      <c r="AO30" s="986" t="s">
        <v>1</v>
      </c>
      <c r="AP30" s="986" t="s">
        <v>1</v>
      </c>
      <c r="AQ30" s="986" t="s">
        <v>1</v>
      </c>
      <c r="AR30" s="1089" t="s">
        <v>1</v>
      </c>
    </row>
    <row r="31" spans="1:44" s="11" customFormat="1">
      <c r="A31" s="1007" t="s">
        <v>249</v>
      </c>
      <c r="B31" s="4"/>
      <c r="C31" s="311" t="s">
        <v>1</v>
      </c>
      <c r="D31" s="311" t="s">
        <v>1</v>
      </c>
      <c r="E31" s="311" t="s">
        <v>1</v>
      </c>
      <c r="F31" s="311" t="s">
        <v>1</v>
      </c>
      <c r="G31" s="311" t="s">
        <v>1</v>
      </c>
      <c r="H31" s="311" t="s">
        <v>1</v>
      </c>
      <c r="I31" s="311" t="s">
        <v>1</v>
      </c>
      <c r="J31" s="311" t="s">
        <v>1</v>
      </c>
      <c r="K31" s="311" t="s">
        <v>1</v>
      </c>
      <c r="L31" s="311" t="s">
        <v>1</v>
      </c>
      <c r="M31" s="311" t="s">
        <v>1</v>
      </c>
      <c r="N31" s="311" t="s">
        <v>1</v>
      </c>
      <c r="O31" s="311" t="s">
        <v>1</v>
      </c>
      <c r="P31" s="311" t="s">
        <v>1</v>
      </c>
      <c r="Q31" s="311" t="s">
        <v>1</v>
      </c>
      <c r="R31" s="311" t="s">
        <v>1</v>
      </c>
      <c r="S31" s="311" t="s">
        <v>1</v>
      </c>
      <c r="T31" s="311" t="s">
        <v>1</v>
      </c>
      <c r="U31" s="311" t="s">
        <v>1</v>
      </c>
      <c r="V31" s="311" t="s">
        <v>1</v>
      </c>
      <c r="W31" s="311" t="s">
        <v>1</v>
      </c>
      <c r="X31" s="311" t="s">
        <v>1</v>
      </c>
      <c r="Y31" s="311" t="s">
        <v>1</v>
      </c>
      <c r="Z31" s="311" t="s">
        <v>1</v>
      </c>
      <c r="AA31" s="311" t="s">
        <v>1</v>
      </c>
      <c r="AB31" s="62" t="s">
        <v>1</v>
      </c>
      <c r="AC31" s="1006" t="s">
        <v>1</v>
      </c>
      <c r="AD31" s="5" t="s">
        <v>1</v>
      </c>
      <c r="AE31" s="305" t="s">
        <v>1</v>
      </c>
      <c r="AF31" s="305" t="s">
        <v>1</v>
      </c>
      <c r="AG31" s="305" t="s">
        <v>1</v>
      </c>
      <c r="AH31" s="305" t="s">
        <v>1</v>
      </c>
      <c r="AI31" s="305" t="s">
        <v>1</v>
      </c>
      <c r="AJ31" s="305" t="s">
        <v>1</v>
      </c>
      <c r="AK31" s="305" t="s">
        <v>1</v>
      </c>
      <c r="AL31" s="4" t="s">
        <v>1</v>
      </c>
      <c r="AM31" s="986" t="s">
        <v>1</v>
      </c>
      <c r="AN31" s="986" t="s">
        <v>1</v>
      </c>
      <c r="AO31" s="984" t="s">
        <v>1</v>
      </c>
      <c r="AP31" s="986" t="s">
        <v>1</v>
      </c>
      <c r="AQ31" s="986" t="s">
        <v>1</v>
      </c>
      <c r="AR31" s="1089" t="s">
        <v>1</v>
      </c>
    </row>
    <row r="32" spans="1:44" s="11" customFormat="1">
      <c r="A32" s="1005" t="s">
        <v>251</v>
      </c>
      <c r="B32" s="991" t="s">
        <v>214</v>
      </c>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62"/>
      <c r="AC32" s="4"/>
      <c r="AD32" s="1000"/>
      <c r="AE32" s="62"/>
      <c r="AF32" s="62"/>
      <c r="AH32" s="1008"/>
      <c r="AI32" s="4"/>
      <c r="AJ32" s="981"/>
      <c r="AK32" s="4"/>
      <c r="AL32" s="981"/>
      <c r="AM32" s="984"/>
      <c r="AN32" s="984"/>
      <c r="AO32" s="981"/>
      <c r="AP32" s="984"/>
      <c r="AQ32" s="984"/>
      <c r="AR32" s="1088"/>
    </row>
    <row r="33" spans="1:44" s="11" customFormat="1">
      <c r="A33" s="993" t="s">
        <v>108</v>
      </c>
      <c r="B33" s="4"/>
      <c r="C33" s="311">
        <f>11581/1000</f>
        <v>11.581</v>
      </c>
      <c r="D33" s="311">
        <f>100750/1000</f>
        <v>100.75</v>
      </c>
      <c r="E33" s="311">
        <f>1138584/1000</f>
        <v>1138.5840000000001</v>
      </c>
      <c r="F33" s="311">
        <f>14484022/1000</f>
        <v>14484.022000000001</v>
      </c>
      <c r="G33" s="311">
        <f>24710044/1000</f>
        <v>24710.044000000002</v>
      </c>
      <c r="H33" s="311">
        <f>30279810/1000</f>
        <v>30279.81</v>
      </c>
      <c r="I33" s="311">
        <f>36614547/1000</f>
        <v>36614.546999999999</v>
      </c>
      <c r="J33" s="311">
        <f>46545832/1000</f>
        <v>46545.832000000002</v>
      </c>
      <c r="K33" s="311">
        <f>52713752/1000</f>
        <v>52713.752</v>
      </c>
      <c r="L33" s="311">
        <f>67229879/1000</f>
        <v>67229.879000000001</v>
      </c>
      <c r="M33" s="311">
        <f>88872328/1000</f>
        <v>88872.327999999994</v>
      </c>
      <c r="N33" s="311">
        <f>101515736/1000</f>
        <v>101515.736</v>
      </c>
      <c r="O33" s="311">
        <f>121232304/1000</f>
        <v>121232.304</v>
      </c>
      <c r="P33" s="311">
        <f>156378533/1000</f>
        <v>156378.533</v>
      </c>
      <c r="Q33" s="311">
        <f>212885946/1000</f>
        <v>212885.946</v>
      </c>
      <c r="R33" s="311">
        <f>266144140/1000</f>
        <v>266144.14</v>
      </c>
      <c r="S33" s="311">
        <f>337860092/1000</f>
        <v>337860.092</v>
      </c>
      <c r="T33" s="311">
        <f>319305708/1000</f>
        <v>319305.70799999998</v>
      </c>
      <c r="U33" s="311">
        <f>284936903/1000</f>
        <v>284936.90299999999</v>
      </c>
      <c r="V33" s="311">
        <f>359661221/1000</f>
        <v>359661.22100000002</v>
      </c>
      <c r="W33" s="311">
        <v>418861</v>
      </c>
      <c r="X33" s="311">
        <f>455947209/1000</f>
        <v>455947.20899999997</v>
      </c>
      <c r="Y33" s="5">
        <v>483767</v>
      </c>
      <c r="Z33" s="5">
        <v>580625</v>
      </c>
      <c r="AA33" s="5">
        <v>504496</v>
      </c>
      <c r="AB33" s="62">
        <v>613019</v>
      </c>
      <c r="AC33" s="71">
        <v>691972</v>
      </c>
      <c r="AD33" s="981">
        <v>695895</v>
      </c>
      <c r="AE33" s="62">
        <v>813929</v>
      </c>
      <c r="AF33" s="62">
        <v>888393</v>
      </c>
      <c r="AG33" s="62">
        <v>1205531</v>
      </c>
      <c r="AH33" s="994" t="s">
        <v>285</v>
      </c>
      <c r="AI33" s="981">
        <v>1817927</v>
      </c>
      <c r="AJ33" s="988">
        <v>1824158</v>
      </c>
      <c r="AK33" s="981">
        <v>2245475.7289999998</v>
      </c>
      <c r="AL33" s="981">
        <v>171403.837</v>
      </c>
      <c r="AM33" s="981">
        <v>350860.875</v>
      </c>
      <c r="AN33" s="981">
        <v>549064.18700000003</v>
      </c>
      <c r="AO33" s="981">
        <v>743168.56299999997</v>
      </c>
      <c r="AP33" s="981">
        <v>912902.54599999997</v>
      </c>
      <c r="AQ33" s="981">
        <v>1111127</v>
      </c>
      <c r="AR33" s="888">
        <v>1287723.202</v>
      </c>
    </row>
    <row r="34" spans="1:44" s="11" customFormat="1">
      <c r="A34" s="995" t="s">
        <v>109</v>
      </c>
      <c r="B34" s="4"/>
      <c r="C34" s="311"/>
      <c r="D34" s="311"/>
      <c r="E34" s="311"/>
      <c r="F34" s="311"/>
      <c r="G34" s="311"/>
      <c r="H34" s="311"/>
      <c r="I34" s="311"/>
      <c r="J34" s="311"/>
      <c r="K34" s="311"/>
      <c r="L34" s="311"/>
      <c r="M34" s="311"/>
      <c r="N34" s="311"/>
      <c r="O34" s="311"/>
      <c r="P34" s="311"/>
      <c r="Q34" s="311" t="s">
        <v>1</v>
      </c>
      <c r="R34" s="311" t="s">
        <v>1</v>
      </c>
      <c r="S34" s="311" t="s">
        <v>1</v>
      </c>
      <c r="T34" s="311" t="s">
        <v>1</v>
      </c>
      <c r="U34" s="311" t="s">
        <v>1</v>
      </c>
      <c r="V34" s="311" t="s">
        <v>1</v>
      </c>
      <c r="W34" s="982">
        <v>83793</v>
      </c>
      <c r="X34" s="982">
        <v>88050</v>
      </c>
      <c r="Y34" s="982">
        <v>99228</v>
      </c>
      <c r="Z34" s="982">
        <v>121631</v>
      </c>
      <c r="AA34" s="982">
        <v>81259</v>
      </c>
      <c r="AB34" s="71">
        <v>104870</v>
      </c>
      <c r="AC34" s="71">
        <v>104655</v>
      </c>
      <c r="AD34" s="981">
        <v>111726</v>
      </c>
      <c r="AE34" s="62">
        <v>130598</v>
      </c>
      <c r="AF34" s="196">
        <v>133575</v>
      </c>
      <c r="AG34" s="196">
        <v>141137</v>
      </c>
      <c r="AH34" s="1008" t="s">
        <v>286</v>
      </c>
      <c r="AI34" s="981">
        <v>167221</v>
      </c>
      <c r="AJ34" s="988">
        <v>168353</v>
      </c>
      <c r="AK34" s="981">
        <v>181667.57699999999</v>
      </c>
      <c r="AL34" s="981">
        <v>11201.754000000001</v>
      </c>
      <c r="AM34" s="981">
        <v>22672.481</v>
      </c>
      <c r="AN34" s="981">
        <v>36278.735999999997</v>
      </c>
      <c r="AO34" s="981">
        <v>47565.495000000003</v>
      </c>
      <c r="AP34" s="981">
        <v>58250.565999999999</v>
      </c>
      <c r="AQ34" s="981">
        <v>70651</v>
      </c>
      <c r="AR34" s="888">
        <v>83753.702000000005</v>
      </c>
    </row>
    <row r="35" spans="1:44" s="11" customFormat="1">
      <c r="A35" s="995" t="s">
        <v>135</v>
      </c>
      <c r="B35" s="4"/>
      <c r="C35" s="311"/>
      <c r="D35" s="311"/>
      <c r="E35" s="311"/>
      <c r="F35" s="311"/>
      <c r="G35" s="311"/>
      <c r="H35" s="311"/>
      <c r="I35" s="311"/>
      <c r="J35" s="311"/>
      <c r="K35" s="311"/>
      <c r="L35" s="311"/>
      <c r="M35" s="311"/>
      <c r="N35" s="311"/>
      <c r="O35" s="311"/>
      <c r="P35" s="311"/>
      <c r="Q35" s="311" t="s">
        <v>1</v>
      </c>
      <c r="R35" s="311" t="s">
        <v>1</v>
      </c>
      <c r="S35" s="311" t="s">
        <v>1</v>
      </c>
      <c r="T35" s="311" t="s">
        <v>1</v>
      </c>
      <c r="U35" s="311" t="s">
        <v>1</v>
      </c>
      <c r="V35" s="311" t="s">
        <v>1</v>
      </c>
      <c r="W35" s="982">
        <v>25370</v>
      </c>
      <c r="X35" s="982">
        <v>27940</v>
      </c>
      <c r="Y35" s="982">
        <v>26119</v>
      </c>
      <c r="Z35" s="982">
        <v>30338</v>
      </c>
      <c r="AA35" s="982">
        <v>27531</v>
      </c>
      <c r="AB35" s="71">
        <v>39559</v>
      </c>
      <c r="AC35" s="71">
        <v>43657</v>
      </c>
      <c r="AD35" s="981">
        <v>37835</v>
      </c>
      <c r="AE35" s="196">
        <v>43489</v>
      </c>
      <c r="AF35" s="62">
        <v>113858</v>
      </c>
      <c r="AG35" s="62">
        <v>258276</v>
      </c>
      <c r="AH35" s="994" t="s">
        <v>287</v>
      </c>
      <c r="AI35" s="981">
        <v>629365</v>
      </c>
      <c r="AJ35" s="988">
        <v>619142</v>
      </c>
      <c r="AK35" s="981">
        <v>958241.86300000001</v>
      </c>
      <c r="AL35" s="981">
        <v>101734.93</v>
      </c>
      <c r="AM35" s="981">
        <v>191298.63200000001</v>
      </c>
      <c r="AN35" s="981">
        <v>293937.17</v>
      </c>
      <c r="AO35" s="981">
        <v>381049.223</v>
      </c>
      <c r="AP35" s="981">
        <v>452469.402</v>
      </c>
      <c r="AQ35" s="981">
        <v>541045</v>
      </c>
      <c r="AR35" s="888">
        <v>615270.30099999998</v>
      </c>
    </row>
    <row r="36" spans="1:44" s="11" customFormat="1">
      <c r="A36" s="995" t="s">
        <v>110</v>
      </c>
      <c r="B36" s="4"/>
      <c r="C36" s="311"/>
      <c r="D36" s="311"/>
      <c r="E36" s="311"/>
      <c r="F36" s="311"/>
      <c r="G36" s="311"/>
      <c r="H36" s="311"/>
      <c r="I36" s="311"/>
      <c r="J36" s="311"/>
      <c r="K36" s="311"/>
      <c r="L36" s="311"/>
      <c r="M36" s="311"/>
      <c r="N36" s="311"/>
      <c r="O36" s="311"/>
      <c r="P36" s="311"/>
      <c r="Q36" s="311" t="s">
        <v>1</v>
      </c>
      <c r="R36" s="311" t="s">
        <v>1</v>
      </c>
      <c r="S36" s="311" t="s">
        <v>1</v>
      </c>
      <c r="T36" s="311" t="s">
        <v>1</v>
      </c>
      <c r="U36" s="311" t="s">
        <v>1</v>
      </c>
      <c r="V36" s="311" t="s">
        <v>1</v>
      </c>
      <c r="W36" s="982">
        <v>47305</v>
      </c>
      <c r="X36" s="982">
        <v>75609</v>
      </c>
      <c r="Y36" s="982">
        <v>70688</v>
      </c>
      <c r="Z36" s="982">
        <v>70897</v>
      </c>
      <c r="AA36" s="982">
        <v>71966</v>
      </c>
      <c r="AB36" s="71">
        <v>81080</v>
      </c>
      <c r="AC36" s="71">
        <v>82620</v>
      </c>
      <c r="AD36" s="981">
        <v>85966</v>
      </c>
      <c r="AE36" s="62">
        <v>98285</v>
      </c>
      <c r="AF36" s="62">
        <v>87635</v>
      </c>
      <c r="AG36" s="62">
        <v>101010</v>
      </c>
      <c r="AH36" s="994" t="s">
        <v>288</v>
      </c>
      <c r="AI36" s="981">
        <v>89253</v>
      </c>
      <c r="AJ36" s="988">
        <v>89971</v>
      </c>
      <c r="AK36" s="981">
        <v>89490.426000000007</v>
      </c>
      <c r="AL36" s="981">
        <v>4247.7569999999996</v>
      </c>
      <c r="AM36" s="981">
        <v>10226.566999999999</v>
      </c>
      <c r="AN36" s="981">
        <v>16468.703000000001</v>
      </c>
      <c r="AO36" s="981">
        <v>23725.207999999999</v>
      </c>
      <c r="AP36" s="981">
        <v>28877.491999999998</v>
      </c>
      <c r="AQ36" s="981">
        <v>35073</v>
      </c>
      <c r="AR36" s="888">
        <v>42542.745999999999</v>
      </c>
    </row>
    <row r="37" spans="1:44" s="11" customFormat="1">
      <c r="A37" s="995" t="s">
        <v>111</v>
      </c>
      <c r="B37" s="4"/>
      <c r="C37" s="311"/>
      <c r="D37" s="311"/>
      <c r="E37" s="311"/>
      <c r="F37" s="311"/>
      <c r="G37" s="311"/>
      <c r="H37" s="311"/>
      <c r="I37" s="311"/>
      <c r="J37" s="311"/>
      <c r="K37" s="311"/>
      <c r="L37" s="311"/>
      <c r="M37" s="311"/>
      <c r="N37" s="311"/>
      <c r="O37" s="311"/>
      <c r="P37" s="311"/>
      <c r="Q37" s="311" t="s">
        <v>1</v>
      </c>
      <c r="R37" s="311" t="s">
        <v>1</v>
      </c>
      <c r="S37" s="311" t="s">
        <v>1</v>
      </c>
      <c r="T37" s="311" t="s">
        <v>1</v>
      </c>
      <c r="U37" s="311" t="s">
        <v>1</v>
      </c>
      <c r="V37" s="311" t="s">
        <v>1</v>
      </c>
      <c r="W37" s="982">
        <v>56203</v>
      </c>
      <c r="X37" s="982">
        <v>36972</v>
      </c>
      <c r="Y37" s="982">
        <v>34637</v>
      </c>
      <c r="Z37" s="982">
        <v>38056</v>
      </c>
      <c r="AA37" s="982">
        <v>36779</v>
      </c>
      <c r="AB37" s="71">
        <v>42880</v>
      </c>
      <c r="AC37" s="71">
        <v>33669</v>
      </c>
      <c r="AD37" s="981">
        <v>30250</v>
      </c>
      <c r="AE37" s="62">
        <v>38778</v>
      </c>
      <c r="AF37" s="62">
        <v>29110</v>
      </c>
      <c r="AG37" s="62">
        <v>27509</v>
      </c>
      <c r="AH37" s="994" t="s">
        <v>289</v>
      </c>
      <c r="AI37" s="981">
        <v>33971</v>
      </c>
      <c r="AJ37" s="988">
        <v>38505</v>
      </c>
      <c r="AK37" s="981">
        <v>44966.285000000003</v>
      </c>
      <c r="AL37" s="981">
        <v>2464.8530000000001</v>
      </c>
      <c r="AM37" s="981">
        <v>7139.71</v>
      </c>
      <c r="AN37" s="981">
        <v>11712.672</v>
      </c>
      <c r="AO37" s="981">
        <v>16652.992999999999</v>
      </c>
      <c r="AP37" s="981">
        <v>18891.013999999999</v>
      </c>
      <c r="AQ37" s="981">
        <v>21294</v>
      </c>
      <c r="AR37" s="888">
        <v>23555.1</v>
      </c>
    </row>
    <row r="38" spans="1:44" s="11" customFormat="1">
      <c r="A38" s="995" t="s">
        <v>388</v>
      </c>
      <c r="B38" s="4"/>
      <c r="C38" s="311"/>
      <c r="D38" s="311"/>
      <c r="E38" s="311"/>
      <c r="F38" s="311"/>
      <c r="G38" s="311"/>
      <c r="H38" s="311"/>
      <c r="I38" s="311"/>
      <c r="J38" s="311"/>
      <c r="K38" s="311"/>
      <c r="L38" s="311"/>
      <c r="M38" s="311"/>
      <c r="N38" s="311"/>
      <c r="O38" s="311"/>
      <c r="P38" s="311"/>
      <c r="Q38" s="311" t="s">
        <v>1</v>
      </c>
      <c r="R38" s="311" t="s">
        <v>1</v>
      </c>
      <c r="S38" s="311" t="s">
        <v>1</v>
      </c>
      <c r="T38" s="311" t="s">
        <v>1</v>
      </c>
      <c r="U38" s="311" t="s">
        <v>1</v>
      </c>
      <c r="V38" s="311" t="s">
        <v>1</v>
      </c>
      <c r="W38" s="982">
        <v>71208</v>
      </c>
      <c r="X38" s="982">
        <v>87091</v>
      </c>
      <c r="Y38" s="982">
        <v>100133</v>
      </c>
      <c r="Z38" s="982">
        <v>146578</v>
      </c>
      <c r="AA38" s="982">
        <v>130988</v>
      </c>
      <c r="AB38" s="71">
        <v>148923</v>
      </c>
      <c r="AC38" s="71">
        <v>179011</v>
      </c>
      <c r="AD38" s="981">
        <v>181884</v>
      </c>
      <c r="AE38" s="62">
        <v>212084</v>
      </c>
      <c r="AF38" s="62">
        <v>225734</v>
      </c>
      <c r="AG38" s="62">
        <v>257582</v>
      </c>
      <c r="AH38" s="994" t="s">
        <v>290</v>
      </c>
      <c r="AI38" s="981">
        <v>353223</v>
      </c>
      <c r="AJ38" s="1009">
        <v>375261</v>
      </c>
      <c r="AK38" s="981">
        <v>422428.72100000002</v>
      </c>
      <c r="AL38" s="981">
        <v>22865.784</v>
      </c>
      <c r="AM38" s="981">
        <v>49553.16</v>
      </c>
      <c r="AN38" s="981">
        <v>77220.448000000004</v>
      </c>
      <c r="AO38" s="981">
        <v>110539.43399999999</v>
      </c>
      <c r="AP38" s="981">
        <v>148637.378</v>
      </c>
      <c r="AQ38" s="981">
        <v>187228</v>
      </c>
      <c r="AR38" s="888">
        <v>226340.103</v>
      </c>
    </row>
    <row r="39" spans="1:44" s="11" customFormat="1">
      <c r="A39" s="995" t="s">
        <v>136</v>
      </c>
      <c r="B39" s="4"/>
      <c r="C39" s="311"/>
      <c r="D39" s="311"/>
      <c r="E39" s="311"/>
      <c r="F39" s="311"/>
      <c r="G39" s="311"/>
      <c r="H39" s="311"/>
      <c r="I39" s="311"/>
      <c r="J39" s="311"/>
      <c r="K39" s="311"/>
      <c r="L39" s="311"/>
      <c r="M39" s="311"/>
      <c r="N39" s="311"/>
      <c r="O39" s="311"/>
      <c r="P39" s="311"/>
      <c r="Q39" s="311" t="s">
        <v>1</v>
      </c>
      <c r="R39" s="311" t="s">
        <v>1</v>
      </c>
      <c r="S39" s="311" t="s">
        <v>1</v>
      </c>
      <c r="T39" s="311" t="s">
        <v>1</v>
      </c>
      <c r="U39" s="311" t="s">
        <v>1</v>
      </c>
      <c r="V39" s="311" t="s">
        <v>1</v>
      </c>
      <c r="W39" s="982">
        <v>68118</v>
      </c>
      <c r="X39" s="982">
        <v>69081</v>
      </c>
      <c r="Y39" s="982">
        <v>65083</v>
      </c>
      <c r="Z39" s="982">
        <v>79591</v>
      </c>
      <c r="AA39" s="982">
        <v>68786</v>
      </c>
      <c r="AB39" s="71">
        <v>90779</v>
      </c>
      <c r="AC39" s="71">
        <v>108331</v>
      </c>
      <c r="AD39" s="981">
        <v>90574</v>
      </c>
      <c r="AE39" s="62">
        <v>96305</v>
      </c>
      <c r="AF39" s="62">
        <v>83101</v>
      </c>
      <c r="AG39" s="62">
        <v>89512</v>
      </c>
      <c r="AH39" s="994" t="s">
        <v>291</v>
      </c>
      <c r="AI39" s="981">
        <v>122015</v>
      </c>
      <c r="AJ39" s="988">
        <v>144057</v>
      </c>
      <c r="AK39" s="981">
        <v>171248.72099999999</v>
      </c>
      <c r="AL39" s="981">
        <v>12454.718999999999</v>
      </c>
      <c r="AM39" s="981">
        <v>28236.194</v>
      </c>
      <c r="AN39" s="981">
        <v>43925.413999999997</v>
      </c>
      <c r="AO39" s="981">
        <v>64051.063000000002</v>
      </c>
      <c r="AP39" s="981">
        <v>77320.808000000005</v>
      </c>
      <c r="AQ39" s="981">
        <v>98496</v>
      </c>
      <c r="AR39" s="888">
        <v>111401.91899999999</v>
      </c>
    </row>
    <row r="40" spans="1:44" s="11" customFormat="1">
      <c r="A40" s="995" t="s">
        <v>112</v>
      </c>
      <c r="B40" s="4"/>
      <c r="C40" s="311"/>
      <c r="D40" s="311"/>
      <c r="E40" s="311"/>
      <c r="F40" s="311"/>
      <c r="G40" s="311"/>
      <c r="H40" s="311"/>
      <c r="I40" s="311"/>
      <c r="J40" s="311"/>
      <c r="K40" s="311"/>
      <c r="L40" s="311"/>
      <c r="M40" s="311"/>
      <c r="N40" s="311"/>
      <c r="O40" s="311"/>
      <c r="P40" s="311"/>
      <c r="Q40" s="311" t="s">
        <v>1</v>
      </c>
      <c r="R40" s="311" t="s">
        <v>1</v>
      </c>
      <c r="S40" s="311" t="s">
        <v>1</v>
      </c>
      <c r="T40" s="311" t="s">
        <v>1</v>
      </c>
      <c r="U40" s="311" t="s">
        <v>1</v>
      </c>
      <c r="V40" s="311" t="s">
        <v>1</v>
      </c>
      <c r="W40" s="982"/>
      <c r="X40" s="982"/>
      <c r="Y40" s="982"/>
      <c r="Z40" s="982">
        <v>2083</v>
      </c>
      <c r="AA40" s="982">
        <v>3114</v>
      </c>
      <c r="AB40" s="71">
        <v>2771</v>
      </c>
      <c r="AC40" s="71">
        <v>4425</v>
      </c>
      <c r="AD40" s="981">
        <v>2267</v>
      </c>
      <c r="AE40" s="62">
        <v>2377</v>
      </c>
      <c r="AF40" s="62">
        <v>3582</v>
      </c>
      <c r="AG40" s="62">
        <v>4234</v>
      </c>
      <c r="AH40" s="994" t="s">
        <v>292</v>
      </c>
      <c r="AI40" s="981">
        <v>10950</v>
      </c>
      <c r="AJ40" s="1009">
        <v>12255</v>
      </c>
      <c r="AK40" s="981">
        <v>9919.6440000000002</v>
      </c>
      <c r="AL40" s="981">
        <v>605.54200000000003</v>
      </c>
      <c r="AM40" s="981">
        <v>1816.1510000000001</v>
      </c>
      <c r="AN40" s="981">
        <v>2972.6550000000002</v>
      </c>
      <c r="AO40" s="981">
        <v>4265.8519999999999</v>
      </c>
      <c r="AP40" s="981">
        <v>4925.1589999999997</v>
      </c>
      <c r="AQ40" s="981">
        <v>5706</v>
      </c>
      <c r="AR40" s="888">
        <v>6355.7150000000001</v>
      </c>
    </row>
    <row r="41" spans="1:44" s="11" customFormat="1">
      <c r="A41" s="995" t="s">
        <v>113</v>
      </c>
      <c r="B41" s="4"/>
      <c r="C41" s="311"/>
      <c r="D41" s="311"/>
      <c r="E41" s="311"/>
      <c r="F41" s="311"/>
      <c r="G41" s="311"/>
      <c r="H41" s="311"/>
      <c r="I41" s="311"/>
      <c r="J41" s="311"/>
      <c r="K41" s="311"/>
      <c r="L41" s="311"/>
      <c r="M41" s="311"/>
      <c r="N41" s="311"/>
      <c r="O41" s="311"/>
      <c r="P41" s="311"/>
      <c r="Q41" s="311" t="s">
        <v>1</v>
      </c>
      <c r="R41" s="311" t="s">
        <v>1</v>
      </c>
      <c r="S41" s="311" t="s">
        <v>1</v>
      </c>
      <c r="T41" s="311" t="s">
        <v>1</v>
      </c>
      <c r="U41" s="311" t="s">
        <v>1</v>
      </c>
      <c r="V41" s="311" t="s">
        <v>1</v>
      </c>
      <c r="W41" s="982">
        <v>66853</v>
      </c>
      <c r="X41" s="982">
        <v>71155</v>
      </c>
      <c r="Y41" s="982">
        <v>87879</v>
      </c>
      <c r="Z41" s="982">
        <v>91452</v>
      </c>
      <c r="AA41" s="982">
        <v>84073</v>
      </c>
      <c r="AB41" s="71">
        <v>103879</v>
      </c>
      <c r="AC41" s="71">
        <v>137972</v>
      </c>
      <c r="AD41" s="981">
        <v>155392</v>
      </c>
      <c r="AE41" s="62">
        <v>192012</v>
      </c>
      <c r="AF41" s="62">
        <v>211798</v>
      </c>
      <c r="AG41" s="62">
        <v>326271</v>
      </c>
      <c r="AH41" s="994" t="s">
        <v>293</v>
      </c>
      <c r="AI41" s="981">
        <v>409362</v>
      </c>
      <c r="AJ41" s="1010">
        <v>375540</v>
      </c>
      <c r="AK41" s="981">
        <v>366547.06199999998</v>
      </c>
      <c r="AL41" s="988">
        <v>15780.218000000001</v>
      </c>
      <c r="AM41" s="981">
        <v>39820.345999999998</v>
      </c>
      <c r="AN41" s="981">
        <v>66400.328999999998</v>
      </c>
      <c r="AO41" s="987">
        <v>95097.206999999995</v>
      </c>
      <c r="AP41" s="981">
        <v>123239.128</v>
      </c>
      <c r="AQ41" s="981">
        <v>151267</v>
      </c>
      <c r="AR41" s="888">
        <v>177997.69500000001</v>
      </c>
    </row>
    <row r="42" spans="1:44" s="11" customFormat="1">
      <c r="A42" s="998" t="s">
        <v>102</v>
      </c>
      <c r="B42" s="999" t="s">
        <v>74</v>
      </c>
      <c r="C42" s="4"/>
      <c r="D42" s="4"/>
      <c r="E42" s="4"/>
      <c r="F42" s="4"/>
      <c r="G42" s="4"/>
      <c r="H42" s="4"/>
      <c r="I42" s="4"/>
      <c r="J42" s="4"/>
      <c r="K42" s="4"/>
      <c r="L42" s="4"/>
      <c r="M42" s="4"/>
      <c r="N42" s="4"/>
      <c r="O42" s="4"/>
      <c r="P42" s="4"/>
      <c r="Q42" s="4"/>
      <c r="R42" s="4"/>
      <c r="S42" s="4"/>
      <c r="T42" s="4"/>
      <c r="U42" s="4"/>
      <c r="V42" s="4"/>
      <c r="W42" s="4"/>
      <c r="X42" s="4"/>
      <c r="Y42" s="4"/>
      <c r="Z42" s="4"/>
      <c r="AA42" s="311"/>
      <c r="AB42" s="62"/>
      <c r="AC42" s="4"/>
      <c r="AD42" s="1000"/>
      <c r="AE42" s="62"/>
      <c r="AF42" s="62"/>
      <c r="AG42" s="62"/>
      <c r="AH42" s="994"/>
      <c r="AI42" s="62"/>
      <c r="AJ42" s="304"/>
      <c r="AK42" s="988"/>
      <c r="AL42" s="985"/>
      <c r="AM42" s="984"/>
      <c r="AN42" s="984"/>
      <c r="AO42" s="985"/>
      <c r="AP42" s="984"/>
      <c r="AQ42" s="984"/>
      <c r="AR42" s="1088"/>
    </row>
    <row r="43" spans="1:44" s="11" customFormat="1">
      <c r="A43" s="993" t="s">
        <v>108</v>
      </c>
      <c r="B43" s="4"/>
      <c r="C43" s="311">
        <v>92.9</v>
      </c>
      <c r="D43" s="311">
        <v>103.5</v>
      </c>
      <c r="E43" s="311">
        <v>75</v>
      </c>
      <c r="F43" s="311">
        <v>64.5</v>
      </c>
      <c r="G43" s="311">
        <v>50.6</v>
      </c>
      <c r="H43" s="311">
        <v>100.8</v>
      </c>
      <c r="I43" s="311">
        <v>113.7</v>
      </c>
      <c r="J43" s="311">
        <v>105.5</v>
      </c>
      <c r="K43" s="311">
        <v>123.8</v>
      </c>
      <c r="L43" s="311">
        <v>108.2</v>
      </c>
      <c r="M43" s="311">
        <v>120</v>
      </c>
      <c r="N43" s="311">
        <v>119.6</v>
      </c>
      <c r="O43" s="311">
        <v>124.7</v>
      </c>
      <c r="P43" s="311">
        <v>119.2</v>
      </c>
      <c r="Q43" s="311">
        <v>128</v>
      </c>
      <c r="R43" s="311">
        <v>108.3</v>
      </c>
      <c r="S43" s="311">
        <v>115.4</v>
      </c>
      <c r="T43" s="311">
        <v>79.099999999999994</v>
      </c>
      <c r="U43" s="311">
        <v>87.3</v>
      </c>
      <c r="V43" s="311">
        <v>123.3</v>
      </c>
      <c r="W43" s="311">
        <v>109.1</v>
      </c>
      <c r="X43" s="311">
        <v>103.2</v>
      </c>
      <c r="Y43" s="311">
        <v>108.2</v>
      </c>
      <c r="Z43" s="311">
        <v>100.6</v>
      </c>
      <c r="AA43" s="311">
        <v>96.1</v>
      </c>
      <c r="AB43" s="1001">
        <v>100.2</v>
      </c>
      <c r="AC43" s="4">
        <v>104.9</v>
      </c>
      <c r="AD43" s="985">
        <v>105.3</v>
      </c>
      <c r="AE43" s="1001">
        <v>111.5</v>
      </c>
      <c r="AF43" s="1001">
        <v>107.1</v>
      </c>
      <c r="AG43" s="1011">
        <v>127.6</v>
      </c>
      <c r="AH43" s="994" t="s">
        <v>294</v>
      </c>
      <c r="AI43" s="304">
        <v>112.1</v>
      </c>
      <c r="AJ43" s="1004">
        <v>98.9</v>
      </c>
      <c r="AK43" s="985">
        <v>116.4</v>
      </c>
      <c r="AL43" s="985">
        <v>113.7</v>
      </c>
      <c r="AM43" s="985">
        <v>134.30000000000001</v>
      </c>
      <c r="AN43" s="985">
        <v>136.1</v>
      </c>
      <c r="AO43" s="985">
        <v>132.1</v>
      </c>
      <c r="AP43" s="985">
        <v>130</v>
      </c>
      <c r="AQ43" s="985">
        <v>128.5</v>
      </c>
      <c r="AR43" s="774">
        <v>126.5</v>
      </c>
    </row>
    <row r="44" spans="1:44" s="11" customFormat="1">
      <c r="A44" s="995" t="s">
        <v>109</v>
      </c>
      <c r="B44" s="4"/>
      <c r="C44" s="311"/>
      <c r="D44" s="311"/>
      <c r="E44" s="311"/>
      <c r="F44" s="311"/>
      <c r="G44" s="311"/>
      <c r="H44" s="311"/>
      <c r="I44" s="311"/>
      <c r="J44" s="311"/>
      <c r="K44" s="311"/>
      <c r="L44" s="311"/>
      <c r="M44" s="311"/>
      <c r="N44" s="311"/>
      <c r="O44" s="311"/>
      <c r="P44" s="311"/>
      <c r="Q44" s="311" t="s">
        <v>1</v>
      </c>
      <c r="R44" s="311" t="s">
        <v>1</v>
      </c>
      <c r="S44" s="311" t="s">
        <v>1</v>
      </c>
      <c r="T44" s="311" t="s">
        <v>1</v>
      </c>
      <c r="U44" s="311" t="s">
        <v>1</v>
      </c>
      <c r="V44" s="311" t="s">
        <v>1</v>
      </c>
      <c r="W44" s="1003">
        <v>129.4</v>
      </c>
      <c r="X44" s="1003">
        <v>105.8</v>
      </c>
      <c r="Y44" s="1003">
        <v>109.6</v>
      </c>
      <c r="Z44" s="1003">
        <v>96.1</v>
      </c>
      <c r="AA44" s="1003">
        <v>160.30000000000001</v>
      </c>
      <c r="AB44" s="3">
        <v>108</v>
      </c>
      <c r="AC44" s="4">
        <v>95.2</v>
      </c>
      <c r="AD44" s="985">
        <v>114.8</v>
      </c>
      <c r="AE44" s="1001">
        <v>108.1</v>
      </c>
      <c r="AF44" s="1001">
        <v>100.6</v>
      </c>
      <c r="AG44" s="1001">
        <v>100.4</v>
      </c>
      <c r="AH44" s="994" t="s">
        <v>295</v>
      </c>
      <c r="AI44" s="304">
        <v>97</v>
      </c>
      <c r="AJ44" s="985">
        <v>103</v>
      </c>
      <c r="AK44" s="985">
        <v>104.2</v>
      </c>
      <c r="AL44" s="985">
        <v>79.3</v>
      </c>
      <c r="AM44" s="985">
        <v>98</v>
      </c>
      <c r="AN44" s="985">
        <v>108.8</v>
      </c>
      <c r="AO44" s="985">
        <v>108.8</v>
      </c>
      <c r="AP44" s="985">
        <v>105.9</v>
      </c>
      <c r="AQ44" s="985">
        <v>106.6</v>
      </c>
      <c r="AR44" s="774">
        <v>105.2</v>
      </c>
    </row>
    <row r="45" spans="1:44" s="11" customFormat="1">
      <c r="A45" s="995" t="s">
        <v>135</v>
      </c>
      <c r="B45" s="4"/>
      <c r="C45" s="311"/>
      <c r="D45" s="311"/>
      <c r="E45" s="311"/>
      <c r="F45" s="311"/>
      <c r="G45" s="311"/>
      <c r="H45" s="311"/>
      <c r="I45" s="311"/>
      <c r="J45" s="311"/>
      <c r="K45" s="311"/>
      <c r="L45" s="311"/>
      <c r="M45" s="311"/>
      <c r="N45" s="311"/>
      <c r="O45" s="311"/>
      <c r="P45" s="311"/>
      <c r="Q45" s="311" t="s">
        <v>1</v>
      </c>
      <c r="R45" s="311" t="s">
        <v>1</v>
      </c>
      <c r="S45" s="311" t="s">
        <v>1</v>
      </c>
      <c r="T45" s="311" t="s">
        <v>1</v>
      </c>
      <c r="U45" s="311" t="s">
        <v>1</v>
      </c>
      <c r="V45" s="311" t="s">
        <v>1</v>
      </c>
      <c r="W45" s="1003">
        <v>90.2</v>
      </c>
      <c r="X45" s="1003">
        <v>114.7</v>
      </c>
      <c r="Y45" s="1003">
        <v>87.5</v>
      </c>
      <c r="Z45" s="1003">
        <v>94.8</v>
      </c>
      <c r="AA45" s="1003">
        <v>88.9</v>
      </c>
      <c r="AB45" s="4">
        <v>135.5</v>
      </c>
      <c r="AC45" s="4">
        <v>105.9</v>
      </c>
      <c r="AD45" s="985">
        <v>94.9</v>
      </c>
      <c r="AE45" s="1001">
        <v>111.1</v>
      </c>
      <c r="AF45" s="1001">
        <v>211.8</v>
      </c>
      <c r="AG45" s="1001">
        <v>218.7</v>
      </c>
      <c r="AH45" s="994" t="s">
        <v>296</v>
      </c>
      <c r="AI45" s="304">
        <v>129.30000000000001</v>
      </c>
      <c r="AJ45" s="1004">
        <v>97.7</v>
      </c>
      <c r="AK45" s="985">
        <v>143.30000000000001</v>
      </c>
      <c r="AL45" s="985">
        <v>160.5</v>
      </c>
      <c r="AM45" s="985">
        <v>170.1</v>
      </c>
      <c r="AN45" s="985">
        <v>175.4</v>
      </c>
      <c r="AO45" s="985">
        <v>163.80000000000001</v>
      </c>
      <c r="AP45" s="985">
        <v>161.30000000000001</v>
      </c>
      <c r="AQ45" s="985">
        <v>162.69999999999999</v>
      </c>
      <c r="AR45" s="774">
        <v>161.4</v>
      </c>
    </row>
    <row r="46" spans="1:44" s="11" customFormat="1">
      <c r="A46" s="995" t="s">
        <v>110</v>
      </c>
      <c r="B46" s="4"/>
      <c r="C46" s="311"/>
      <c r="D46" s="311"/>
      <c r="E46" s="311"/>
      <c r="F46" s="311"/>
      <c r="G46" s="311"/>
      <c r="H46" s="311"/>
      <c r="I46" s="311"/>
      <c r="J46" s="311"/>
      <c r="K46" s="311"/>
      <c r="L46" s="311"/>
      <c r="M46" s="311"/>
      <c r="N46" s="311"/>
      <c r="O46" s="311"/>
      <c r="P46" s="311"/>
      <c r="Q46" s="311" t="s">
        <v>1</v>
      </c>
      <c r="R46" s="311" t="s">
        <v>1</v>
      </c>
      <c r="S46" s="311" t="s">
        <v>1</v>
      </c>
      <c r="T46" s="311" t="s">
        <v>1</v>
      </c>
      <c r="U46" s="311" t="s">
        <v>1</v>
      </c>
      <c r="V46" s="311" t="s">
        <v>1</v>
      </c>
      <c r="W46" s="1003">
        <v>94.4</v>
      </c>
      <c r="X46" s="1003">
        <v>176.5</v>
      </c>
      <c r="Y46" s="1003">
        <v>115.7</v>
      </c>
      <c r="Z46" s="1003">
        <v>85.1</v>
      </c>
      <c r="AA46" s="1003">
        <v>104</v>
      </c>
      <c r="AB46" s="4">
        <v>80.3</v>
      </c>
      <c r="AC46" s="4">
        <v>85.3</v>
      </c>
      <c r="AD46" s="985">
        <v>108.3</v>
      </c>
      <c r="AE46" s="1001">
        <v>115.5</v>
      </c>
      <c r="AF46" s="1001">
        <v>81.2</v>
      </c>
      <c r="AG46" s="1001">
        <v>103.2</v>
      </c>
      <c r="AH46" s="994" t="s">
        <v>297</v>
      </c>
      <c r="AI46" s="304">
        <v>110.8</v>
      </c>
      <c r="AJ46" s="985">
        <v>95.8</v>
      </c>
      <c r="AK46" s="985">
        <v>81.7</v>
      </c>
      <c r="AL46" s="985">
        <v>78.099999999999994</v>
      </c>
      <c r="AM46" s="985">
        <v>80</v>
      </c>
      <c r="AN46" s="985">
        <v>97.6</v>
      </c>
      <c r="AO46" s="985">
        <v>98.3</v>
      </c>
      <c r="AP46" s="985">
        <v>93.4</v>
      </c>
      <c r="AQ46" s="985">
        <v>94.5</v>
      </c>
      <c r="AR46" s="774">
        <v>97</v>
      </c>
    </row>
    <row r="47" spans="1:44" s="11" customFormat="1">
      <c r="A47" s="995" t="s">
        <v>111</v>
      </c>
      <c r="B47" s="4"/>
      <c r="C47" s="311"/>
      <c r="D47" s="311"/>
      <c r="E47" s="311"/>
      <c r="F47" s="311"/>
      <c r="G47" s="311"/>
      <c r="H47" s="311"/>
      <c r="I47" s="311"/>
      <c r="J47" s="311"/>
      <c r="K47" s="311"/>
      <c r="L47" s="311"/>
      <c r="M47" s="311"/>
      <c r="N47" s="311"/>
      <c r="O47" s="311"/>
      <c r="P47" s="311"/>
      <c r="Q47" s="311" t="s">
        <v>1</v>
      </c>
      <c r="R47" s="311" t="s">
        <v>1</v>
      </c>
      <c r="S47" s="311" t="s">
        <v>1</v>
      </c>
      <c r="T47" s="311" t="s">
        <v>1</v>
      </c>
      <c r="U47" s="311" t="s">
        <v>1</v>
      </c>
      <c r="V47" s="311" t="s">
        <v>1</v>
      </c>
      <c r="W47" s="1003">
        <v>79.900000000000006</v>
      </c>
      <c r="X47" s="1003">
        <v>49</v>
      </c>
      <c r="Y47" s="1003">
        <v>102.2</v>
      </c>
      <c r="Z47" s="1003">
        <v>83.9</v>
      </c>
      <c r="AA47" s="1003">
        <v>96.2</v>
      </c>
      <c r="AB47" s="4">
        <v>100.7</v>
      </c>
      <c r="AC47" s="4">
        <v>78.599999999999994</v>
      </c>
      <c r="AD47" s="985">
        <v>93.5</v>
      </c>
      <c r="AE47" s="1001">
        <v>119.6</v>
      </c>
      <c r="AF47" s="1001">
        <v>86.7</v>
      </c>
      <c r="AG47" s="1001">
        <v>87.6</v>
      </c>
      <c r="AH47" s="994" t="s">
        <v>298</v>
      </c>
      <c r="AI47" s="304">
        <v>86.5</v>
      </c>
      <c r="AJ47" s="1004">
        <v>107.6</v>
      </c>
      <c r="AK47" s="985">
        <v>98.1</v>
      </c>
      <c r="AL47" s="985">
        <v>82.5</v>
      </c>
      <c r="AM47" s="985">
        <v>100.4</v>
      </c>
      <c r="AN47" s="985">
        <v>116.8</v>
      </c>
      <c r="AO47" s="985">
        <v>119.2</v>
      </c>
      <c r="AP47" s="985">
        <v>107.6</v>
      </c>
      <c r="AQ47" s="985">
        <v>101.3</v>
      </c>
      <c r="AR47" s="774">
        <v>97.7</v>
      </c>
    </row>
    <row r="48" spans="1:44" s="11" customFormat="1">
      <c r="A48" s="995" t="s">
        <v>388</v>
      </c>
      <c r="B48" s="4"/>
      <c r="C48" s="311"/>
      <c r="D48" s="311"/>
      <c r="E48" s="311"/>
      <c r="F48" s="311"/>
      <c r="G48" s="311"/>
      <c r="H48" s="311"/>
      <c r="I48" s="311"/>
      <c r="J48" s="311"/>
      <c r="K48" s="311"/>
      <c r="L48" s="311"/>
      <c r="M48" s="311"/>
      <c r="N48" s="311"/>
      <c r="O48" s="311"/>
      <c r="P48" s="311"/>
      <c r="Q48" s="311" t="s">
        <v>1</v>
      </c>
      <c r="R48" s="311" t="s">
        <v>1</v>
      </c>
      <c r="S48" s="311" t="s">
        <v>1</v>
      </c>
      <c r="T48" s="311" t="s">
        <v>1</v>
      </c>
      <c r="U48" s="311" t="s">
        <v>1</v>
      </c>
      <c r="V48" s="311" t="s">
        <v>1</v>
      </c>
      <c r="W48" s="1003">
        <v>94.6</v>
      </c>
      <c r="X48" s="1003">
        <v>112.5</v>
      </c>
      <c r="Y48" s="1003">
        <v>118.4</v>
      </c>
      <c r="Z48" s="1003">
        <v>112.5</v>
      </c>
      <c r="AA48" s="1003">
        <v>102.4</v>
      </c>
      <c r="AB48" s="4">
        <v>99.6</v>
      </c>
      <c r="AC48" s="4">
        <v>120.7</v>
      </c>
      <c r="AD48" s="985">
        <v>108.8</v>
      </c>
      <c r="AE48" s="1001">
        <v>113.6</v>
      </c>
      <c r="AF48" s="1001">
        <v>103.7</v>
      </c>
      <c r="AG48" s="1001">
        <v>107.7</v>
      </c>
      <c r="AH48" s="994" t="s">
        <v>299</v>
      </c>
      <c r="AI48" s="304">
        <v>112.7</v>
      </c>
      <c r="AJ48" s="985">
        <v>104.8</v>
      </c>
      <c r="AK48" s="985">
        <v>109.5</v>
      </c>
      <c r="AL48" s="985">
        <v>92.9</v>
      </c>
      <c r="AM48" s="985">
        <v>113.2</v>
      </c>
      <c r="AN48" s="985">
        <v>120.2</v>
      </c>
      <c r="AO48" s="985">
        <v>116.4</v>
      </c>
      <c r="AP48" s="985">
        <v>113.8</v>
      </c>
      <c r="AQ48" s="985">
        <v>110.9</v>
      </c>
      <c r="AR48" s="774">
        <v>109.7</v>
      </c>
    </row>
    <row r="49" spans="1:44" s="11" customFormat="1">
      <c r="A49" s="995" t="s">
        <v>136</v>
      </c>
      <c r="B49" s="4"/>
      <c r="C49" s="311"/>
      <c r="D49" s="311"/>
      <c r="E49" s="311"/>
      <c r="F49" s="311"/>
      <c r="G49" s="311"/>
      <c r="H49" s="311"/>
      <c r="I49" s="311"/>
      <c r="J49" s="311"/>
      <c r="K49" s="311"/>
      <c r="L49" s="311"/>
      <c r="M49" s="311"/>
      <c r="N49" s="311"/>
      <c r="O49" s="311"/>
      <c r="P49" s="311"/>
      <c r="Q49" s="311" t="s">
        <v>1</v>
      </c>
      <c r="R49" s="311" t="s">
        <v>1</v>
      </c>
      <c r="S49" s="311" t="s">
        <v>1</v>
      </c>
      <c r="T49" s="311" t="s">
        <v>1</v>
      </c>
      <c r="U49" s="311" t="s">
        <v>1</v>
      </c>
      <c r="V49" s="311" t="s">
        <v>1</v>
      </c>
      <c r="W49" s="1003">
        <v>112.7</v>
      </c>
      <c r="X49" s="1003">
        <v>94.6</v>
      </c>
      <c r="Y49" s="1003">
        <v>94.6</v>
      </c>
      <c r="Z49" s="1003">
        <v>115.5</v>
      </c>
      <c r="AA49" s="1003">
        <v>54.1</v>
      </c>
      <c r="AB49" s="4">
        <v>107.1</v>
      </c>
      <c r="AC49" s="3">
        <v>108.6</v>
      </c>
      <c r="AD49" s="985">
        <v>91.3</v>
      </c>
      <c r="AE49" s="1001">
        <v>98.7</v>
      </c>
      <c r="AF49" s="1001">
        <v>88.2</v>
      </c>
      <c r="AG49" s="1001">
        <v>94.7</v>
      </c>
      <c r="AH49" s="994" t="s">
        <v>300</v>
      </c>
      <c r="AI49" s="304">
        <v>106.4</v>
      </c>
      <c r="AJ49" s="1004">
        <v>92.7</v>
      </c>
      <c r="AK49" s="985">
        <v>111.4</v>
      </c>
      <c r="AL49" s="985">
        <v>119.7</v>
      </c>
      <c r="AM49" s="985">
        <v>147.30000000000001</v>
      </c>
      <c r="AN49" s="985">
        <v>163.5</v>
      </c>
      <c r="AO49" s="985">
        <v>156.30000000000001</v>
      </c>
      <c r="AP49" s="985">
        <v>148.4</v>
      </c>
      <c r="AQ49" s="985">
        <v>144.6</v>
      </c>
      <c r="AR49" s="774">
        <v>139.5</v>
      </c>
    </row>
    <row r="50" spans="1:44" s="11" customFormat="1">
      <c r="A50" s="995" t="s">
        <v>112</v>
      </c>
      <c r="B50" s="4"/>
      <c r="C50" s="311"/>
      <c r="D50" s="311"/>
      <c r="E50" s="311"/>
      <c r="F50" s="311"/>
      <c r="G50" s="311"/>
      <c r="H50" s="311"/>
      <c r="I50" s="311"/>
      <c r="J50" s="311"/>
      <c r="K50" s="311"/>
      <c r="L50" s="311"/>
      <c r="M50" s="311"/>
      <c r="N50" s="311"/>
      <c r="O50" s="311"/>
      <c r="P50" s="311"/>
      <c r="Q50" s="311" t="s">
        <v>1</v>
      </c>
      <c r="R50" s="311" t="s">
        <v>1</v>
      </c>
      <c r="S50" s="311" t="s">
        <v>1</v>
      </c>
      <c r="T50" s="311" t="s">
        <v>1</v>
      </c>
      <c r="U50" s="311" t="s">
        <v>1</v>
      </c>
      <c r="V50" s="311" t="s">
        <v>1</v>
      </c>
      <c r="W50" s="1003"/>
      <c r="X50" s="1003"/>
      <c r="Y50" s="1003"/>
      <c r="Z50" s="1003">
        <v>81.099999999999994</v>
      </c>
      <c r="AA50" s="1003">
        <v>125.7</v>
      </c>
      <c r="AB50" s="4">
        <v>26.2</v>
      </c>
      <c r="AC50" s="4">
        <v>145.5</v>
      </c>
      <c r="AD50" s="985">
        <v>80.400000000000006</v>
      </c>
      <c r="AE50" s="1001">
        <v>87.2</v>
      </c>
      <c r="AF50" s="1001">
        <v>140.19999999999999</v>
      </c>
      <c r="AG50" s="1001">
        <v>205.5</v>
      </c>
      <c r="AH50" s="994" t="s">
        <v>301</v>
      </c>
      <c r="AI50" s="304">
        <v>128.69999999999999</v>
      </c>
      <c r="AJ50" s="985">
        <v>112.2</v>
      </c>
      <c r="AK50" s="985">
        <v>75</v>
      </c>
      <c r="AL50" s="985">
        <v>99.4</v>
      </c>
      <c r="AM50" s="985">
        <v>159</v>
      </c>
      <c r="AN50" s="985">
        <v>127.3</v>
      </c>
      <c r="AO50" s="985">
        <v>131.6</v>
      </c>
      <c r="AP50" s="985">
        <v>141.69999999999999</v>
      </c>
      <c r="AQ50" s="985">
        <v>139.19999999999999</v>
      </c>
      <c r="AR50" s="774">
        <v>163.9</v>
      </c>
    </row>
    <row r="51" spans="1:44" s="11" customFormat="1">
      <c r="A51" s="995" t="s">
        <v>113</v>
      </c>
      <c r="B51" s="4"/>
      <c r="C51" s="311"/>
      <c r="D51" s="311"/>
      <c r="E51" s="311"/>
      <c r="F51" s="311"/>
      <c r="G51" s="311"/>
      <c r="H51" s="311"/>
      <c r="I51" s="311"/>
      <c r="J51" s="311"/>
      <c r="K51" s="311"/>
      <c r="L51" s="311"/>
      <c r="M51" s="311"/>
      <c r="N51" s="311"/>
      <c r="O51" s="311"/>
      <c r="P51" s="311"/>
      <c r="Q51" s="311" t="s">
        <v>1</v>
      </c>
      <c r="R51" s="311" t="s">
        <v>1</v>
      </c>
      <c r="S51" s="311" t="s">
        <v>1</v>
      </c>
      <c r="T51" s="311" t="s">
        <v>1</v>
      </c>
      <c r="U51" s="311" t="s">
        <v>1</v>
      </c>
      <c r="V51" s="311" t="s">
        <v>1</v>
      </c>
      <c r="W51" s="1003">
        <v>120.3</v>
      </c>
      <c r="X51" s="1003">
        <v>116.7</v>
      </c>
      <c r="Y51" s="1003">
        <v>113.3</v>
      </c>
      <c r="Z51" s="1003">
        <v>89.6</v>
      </c>
      <c r="AA51" s="1003">
        <v>99.9</v>
      </c>
      <c r="AB51" s="4">
        <v>119.7</v>
      </c>
      <c r="AC51" s="3">
        <v>119.5</v>
      </c>
      <c r="AD51" s="985">
        <v>110.3</v>
      </c>
      <c r="AE51" s="1001">
        <v>115</v>
      </c>
      <c r="AF51" s="1001">
        <v>106.3</v>
      </c>
      <c r="AG51" s="1001">
        <v>137.19999999999999</v>
      </c>
      <c r="AH51" s="994" t="s">
        <v>302</v>
      </c>
      <c r="AI51" s="304">
        <v>123.4</v>
      </c>
      <c r="AJ51" s="1004">
        <v>85.6</v>
      </c>
      <c r="AK51" s="985">
        <v>95.6</v>
      </c>
      <c r="AL51" s="1012">
        <v>65.900000000000006</v>
      </c>
      <c r="AM51" s="985">
        <v>93.2</v>
      </c>
      <c r="AN51" s="985">
        <v>143.69999999999999</v>
      </c>
      <c r="AO51" s="984">
        <v>156.1</v>
      </c>
      <c r="AP51" s="985">
        <v>170</v>
      </c>
      <c r="AQ51" s="985">
        <v>158.69999999999999</v>
      </c>
      <c r="AR51" s="774">
        <v>151.9</v>
      </c>
    </row>
    <row r="52" spans="1:44" s="11" customFormat="1">
      <c r="A52" s="1007" t="s">
        <v>249</v>
      </c>
      <c r="B52" s="999" t="s">
        <v>74</v>
      </c>
      <c r="C52" s="311">
        <v>100</v>
      </c>
      <c r="D52" s="311">
        <v>103.5</v>
      </c>
      <c r="E52" s="311">
        <v>77.599999999999994</v>
      </c>
      <c r="F52" s="311">
        <v>50.1</v>
      </c>
      <c r="G52" s="311">
        <v>25.3</v>
      </c>
      <c r="H52" s="311">
        <v>25.5</v>
      </c>
      <c r="I52" s="311">
        <v>29</v>
      </c>
      <c r="J52" s="311">
        <v>30.6</v>
      </c>
      <c r="K52" s="311">
        <v>37.9</v>
      </c>
      <c r="L52" s="311">
        <v>41</v>
      </c>
      <c r="M52" s="311">
        <v>49.2</v>
      </c>
      <c r="N52" s="311">
        <v>58.8</v>
      </c>
      <c r="O52" s="311">
        <v>73.3</v>
      </c>
      <c r="P52" s="311">
        <v>87.4</v>
      </c>
      <c r="Q52" s="311">
        <v>111.9</v>
      </c>
      <c r="R52" s="311">
        <v>121.2</v>
      </c>
      <c r="S52" s="311">
        <v>139.9</v>
      </c>
      <c r="T52" s="311">
        <v>110.7</v>
      </c>
      <c r="U52" s="311">
        <v>96.6</v>
      </c>
      <c r="V52" s="311">
        <v>119.1</v>
      </c>
      <c r="W52" s="311">
        <v>129.9</v>
      </c>
      <c r="X52" s="311">
        <v>134.1</v>
      </c>
      <c r="Y52" s="311">
        <v>145.1</v>
      </c>
      <c r="Z52" s="311">
        <v>146</v>
      </c>
      <c r="AA52" s="311">
        <v>140.30000000000001</v>
      </c>
      <c r="AB52" s="1001">
        <v>140.6</v>
      </c>
      <c r="AC52" s="4">
        <v>147.5</v>
      </c>
      <c r="AD52" s="311">
        <v>155.30000000000001</v>
      </c>
      <c r="AE52" s="311">
        <v>173.2</v>
      </c>
      <c r="AF52" s="311">
        <v>185.5</v>
      </c>
      <c r="AG52" s="311">
        <v>236.7</v>
      </c>
      <c r="AH52" s="1013">
        <v>263</v>
      </c>
      <c r="AI52" s="311">
        <v>294.8</v>
      </c>
      <c r="AJ52" s="1001">
        <v>291.60000000000002</v>
      </c>
      <c r="AK52" s="1012">
        <v>339.4</v>
      </c>
      <c r="AL52" s="981"/>
      <c r="AM52" s="984"/>
      <c r="AN52" s="984"/>
      <c r="AO52" s="981"/>
      <c r="AP52" s="984"/>
      <c r="AQ52" s="984"/>
      <c r="AR52" s="1088"/>
    </row>
    <row r="53" spans="1:44" s="11" customFormat="1">
      <c r="A53" s="1014" t="s">
        <v>252</v>
      </c>
      <c r="B53" s="991" t="s">
        <v>214</v>
      </c>
      <c r="C53" s="311">
        <f>3588/1000</f>
        <v>3.5880000000000001</v>
      </c>
      <c r="D53" s="311">
        <f>26012/1000</f>
        <v>26.012</v>
      </c>
      <c r="E53" s="311">
        <f>249822/1000</f>
        <v>249.822</v>
      </c>
      <c r="F53" s="311">
        <f>4170894/1000</f>
        <v>4170.8940000000002</v>
      </c>
      <c r="G53" s="311">
        <f>6611555/1000</f>
        <v>6611.5550000000003</v>
      </c>
      <c r="H53" s="311">
        <f>6072533/1000</f>
        <v>6072.5330000000004</v>
      </c>
      <c r="I53" s="311">
        <f>6496863/1000</f>
        <v>6496.8630000000003</v>
      </c>
      <c r="J53" s="311">
        <f>9580956/1000</f>
        <v>9580.9560000000001</v>
      </c>
      <c r="K53" s="311">
        <f>16620054/1000</f>
        <v>16620.054</v>
      </c>
      <c r="L53" s="311">
        <f>23452511/1000</f>
        <v>23452.510999999999</v>
      </c>
      <c r="M53" s="311">
        <f>29564838/1000</f>
        <v>29564.838</v>
      </c>
      <c r="N53" s="311">
        <f>28378301/1000</f>
        <v>28378.300999999999</v>
      </c>
      <c r="O53" s="311">
        <f>36022539/1000</f>
        <v>36022.538999999997</v>
      </c>
      <c r="P53" s="311">
        <f>45535928/1000</f>
        <v>45535.928</v>
      </c>
      <c r="Q53" s="311">
        <f>56660077/1000</f>
        <v>56660.076999999997</v>
      </c>
      <c r="R53" s="311">
        <f>66802188/1000</f>
        <v>66802.187999999995</v>
      </c>
      <c r="S53" s="311">
        <f>91386640/1000</f>
        <v>91386.64</v>
      </c>
      <c r="T53" s="311">
        <f>110440067/1000</f>
        <v>110440.067</v>
      </c>
      <c r="U53" s="311">
        <f>89934893/1000</f>
        <v>89934.892999999996</v>
      </c>
      <c r="V53" s="311">
        <f>127768212/1000</f>
        <v>127768.212</v>
      </c>
      <c r="W53" s="311">
        <f>127014406/1000</f>
        <v>127014.406</v>
      </c>
      <c r="X53" s="311">
        <f>127032852/1000</f>
        <v>127032.852</v>
      </c>
      <c r="Y53" s="311">
        <v>127316</v>
      </c>
      <c r="Z53" s="311">
        <v>187531</v>
      </c>
      <c r="AA53" s="311">
        <v>137268</v>
      </c>
      <c r="AB53" s="62">
        <v>196905</v>
      </c>
      <c r="AC53" s="71">
        <v>215297</v>
      </c>
      <c r="AD53" s="981">
        <v>211257</v>
      </c>
      <c r="AE53" s="62">
        <v>226550</v>
      </c>
      <c r="AF53" s="62">
        <v>242965</v>
      </c>
      <c r="AG53" s="62">
        <v>272618</v>
      </c>
      <c r="AH53" s="1015" t="s">
        <v>303</v>
      </c>
      <c r="AI53" s="62">
        <v>338143</v>
      </c>
      <c r="AJ53" s="71">
        <v>335539</v>
      </c>
      <c r="AK53" s="981">
        <v>347876.69900000002</v>
      </c>
      <c r="AL53" s="981">
        <v>27219.710999999999</v>
      </c>
      <c r="AM53" s="981">
        <v>55461.567999999999</v>
      </c>
      <c r="AN53" s="981">
        <v>85068.062000000005</v>
      </c>
      <c r="AO53" s="981">
        <v>114516.111</v>
      </c>
      <c r="AP53" s="981">
        <v>144697.11499999999</v>
      </c>
      <c r="AQ53" s="981">
        <v>176594</v>
      </c>
      <c r="AR53" s="888">
        <v>203256.12700000001</v>
      </c>
    </row>
    <row r="54" spans="1:44" s="11" customFormat="1">
      <c r="A54" s="1016" t="s">
        <v>253</v>
      </c>
      <c r="B54" s="991" t="s">
        <v>214</v>
      </c>
      <c r="C54" s="311">
        <f>243/1000</f>
        <v>0.24299999999999999</v>
      </c>
      <c r="D54" s="311">
        <f>2551/1000</f>
        <v>2.5510000000000002</v>
      </c>
      <c r="E54" s="311">
        <f>17849/1000</f>
        <v>17.849</v>
      </c>
      <c r="F54" s="311">
        <f>146801/1000</f>
        <v>146.80099999999999</v>
      </c>
      <c r="G54" s="311">
        <f>547545/1000</f>
        <v>547.54499999999996</v>
      </c>
      <c r="H54" s="311">
        <f>2592386/1000</f>
        <v>2592.386</v>
      </c>
      <c r="I54" s="311">
        <f>4180142/1000</f>
        <v>4180.1419999999998</v>
      </c>
      <c r="J54" s="311">
        <f>5639673/1000</f>
        <v>5639.6729999999998</v>
      </c>
      <c r="K54" s="311">
        <f>5872704/1000</f>
        <v>5872.7039999999997</v>
      </c>
      <c r="L54" s="311">
        <f>8580243/1000</f>
        <v>8580.2430000000004</v>
      </c>
      <c r="M54" s="311">
        <f>10525277/1000</f>
        <v>10525.277</v>
      </c>
      <c r="N54" s="311">
        <f>13555244/1000</f>
        <v>13555.244000000001</v>
      </c>
      <c r="O54" s="311">
        <f>16197703/1000</f>
        <v>16197.703</v>
      </c>
      <c r="P54" s="311">
        <f>21619733/1000</f>
        <v>21619.733</v>
      </c>
      <c r="Q54" s="311">
        <f>29176844/1000</f>
        <v>29176.844000000001</v>
      </c>
      <c r="R54" s="311">
        <f>33506124/1000</f>
        <v>33506.124000000003</v>
      </c>
      <c r="S54" s="311">
        <f>41148379/1000</f>
        <v>41148.379000000001</v>
      </c>
      <c r="T54" s="311">
        <f>37373692/1000</f>
        <v>37373.692000000003</v>
      </c>
      <c r="U54" s="311">
        <f>39027459/1000</f>
        <v>39027.459000000003</v>
      </c>
      <c r="V54" s="311">
        <f>40045286/1000</f>
        <v>40045.286</v>
      </c>
      <c r="W54" s="311">
        <f>23854115/1000</f>
        <v>23854.115000000002</v>
      </c>
      <c r="X54" s="311">
        <f>27280359/1000</f>
        <v>27280.359</v>
      </c>
      <c r="Y54" s="311">
        <v>29962</v>
      </c>
      <c r="Z54" s="311">
        <v>33249</v>
      </c>
      <c r="AA54" s="311">
        <v>27581</v>
      </c>
      <c r="AB54" s="62">
        <v>37002</v>
      </c>
      <c r="AC54" s="71">
        <v>50680</v>
      </c>
      <c r="AD54" s="981">
        <v>55811</v>
      </c>
      <c r="AE54" s="62">
        <v>59831</v>
      </c>
      <c r="AF54" s="62">
        <v>64654</v>
      </c>
      <c r="AG54" s="62">
        <v>68013</v>
      </c>
      <c r="AH54" s="1017" t="s">
        <v>304</v>
      </c>
      <c r="AI54" s="62">
        <v>107091</v>
      </c>
      <c r="AJ54" s="71">
        <v>100422</v>
      </c>
      <c r="AK54" s="981">
        <v>110511.944</v>
      </c>
      <c r="AL54" s="981">
        <v>5895.1379999999999</v>
      </c>
      <c r="AM54" s="981">
        <v>10622.892</v>
      </c>
      <c r="AN54" s="981">
        <v>17226.807000000001</v>
      </c>
      <c r="AO54" s="981">
        <v>26468.064999999999</v>
      </c>
      <c r="AP54" s="981">
        <v>39113.383000000002</v>
      </c>
      <c r="AQ54" s="981">
        <v>51570</v>
      </c>
      <c r="AR54" s="888">
        <v>63815.951999999997</v>
      </c>
    </row>
    <row r="55" spans="1:44" s="11" customFormat="1">
      <c r="A55" s="1014" t="s">
        <v>254</v>
      </c>
      <c r="B55" s="991" t="s">
        <v>214</v>
      </c>
      <c r="C55" s="311">
        <f>667/1000</f>
        <v>0.66700000000000004</v>
      </c>
      <c r="D55" s="311">
        <f>6040/1000</f>
        <v>6.04</v>
      </c>
      <c r="E55" s="311">
        <f>77951/1000</f>
        <v>77.950999999999993</v>
      </c>
      <c r="F55" s="311">
        <f>183013/1000</f>
        <v>183.01300000000001</v>
      </c>
      <c r="G55" s="311">
        <f>3061505/1000</f>
        <v>3061.5050000000001</v>
      </c>
      <c r="H55" s="311">
        <f>6211626/1000</f>
        <v>6211.6260000000002</v>
      </c>
      <c r="I55" s="311">
        <f>10216833/1000</f>
        <v>10216.833000000001</v>
      </c>
      <c r="J55" s="311">
        <f>11778543/1000</f>
        <v>11778.543</v>
      </c>
      <c r="K55" s="311">
        <f>12816862/1000</f>
        <v>12816.861999999999</v>
      </c>
      <c r="L55" s="311">
        <f>28535/1000</f>
        <v>28.535</v>
      </c>
      <c r="M55" s="311">
        <f>90820/1000</f>
        <v>90.82</v>
      </c>
      <c r="N55" s="311" t="s">
        <v>1</v>
      </c>
      <c r="O55" s="311" t="s">
        <v>1</v>
      </c>
      <c r="P55" s="311" t="s">
        <v>1</v>
      </c>
      <c r="Q55" s="311" t="s">
        <v>1</v>
      </c>
      <c r="R55" s="311" t="s">
        <v>1</v>
      </c>
      <c r="S55" s="311" t="s">
        <v>1</v>
      </c>
      <c r="T55" s="311" t="s">
        <v>1</v>
      </c>
      <c r="U55" s="311" t="s">
        <v>1</v>
      </c>
      <c r="V55" s="311" t="s">
        <v>1</v>
      </c>
      <c r="W55" s="311" t="s">
        <v>1</v>
      </c>
      <c r="X55" s="311" t="s">
        <v>1</v>
      </c>
      <c r="Y55" s="311" t="s">
        <v>1</v>
      </c>
      <c r="Z55" s="311" t="s">
        <v>1</v>
      </c>
      <c r="AA55" s="311" t="s">
        <v>1</v>
      </c>
      <c r="AB55" s="311" t="s">
        <v>1</v>
      </c>
      <c r="AC55" s="1018">
        <v>14342</v>
      </c>
      <c r="AD55" s="1018" t="s">
        <v>1</v>
      </c>
      <c r="AE55" s="62" t="s">
        <v>1</v>
      </c>
      <c r="AF55" s="62" t="s">
        <v>60</v>
      </c>
      <c r="AG55" s="305" t="s">
        <v>1</v>
      </c>
      <c r="AH55" s="1015" t="s">
        <v>63</v>
      </c>
      <c r="AI55" s="62">
        <v>77</v>
      </c>
      <c r="AJ55" s="4">
        <v>63</v>
      </c>
      <c r="AK55" s="981">
        <v>153.28200000000001</v>
      </c>
      <c r="AL55" s="981">
        <v>7.1390000000000002</v>
      </c>
      <c r="AM55" s="981">
        <v>14.153</v>
      </c>
      <c r="AN55" s="981">
        <v>21.167000000000002</v>
      </c>
      <c r="AO55" s="981">
        <v>28.181999999999999</v>
      </c>
      <c r="AP55" s="981">
        <v>31.401</v>
      </c>
      <c r="AQ55" s="981">
        <v>34</v>
      </c>
      <c r="AR55" s="888">
        <v>37.841000000000001</v>
      </c>
    </row>
    <row r="56" spans="1:44" s="11" customFormat="1">
      <c r="A56" s="1016" t="s">
        <v>255</v>
      </c>
      <c r="B56" s="991" t="s">
        <v>214</v>
      </c>
      <c r="C56" s="311">
        <f>3801/1000</f>
        <v>3.8010000000000002</v>
      </c>
      <c r="D56" s="311">
        <f>31479/1000</f>
        <v>31.478999999999999</v>
      </c>
      <c r="E56" s="311">
        <f>309929/1000</f>
        <v>309.92899999999997</v>
      </c>
      <c r="F56" s="311">
        <f>3459216/1000</f>
        <v>3459.2159999999999</v>
      </c>
      <c r="G56" s="311">
        <f>2152095/1000</f>
        <v>2152.0949999999998</v>
      </c>
      <c r="H56" s="311">
        <f>2216672/1000</f>
        <v>2216.672</v>
      </c>
      <c r="I56" s="311">
        <f>1829555/1000</f>
        <v>1829.5550000000001</v>
      </c>
      <c r="J56" s="311">
        <f>1466122/1000</f>
        <v>1466.1220000000001</v>
      </c>
      <c r="K56" s="311">
        <f>1097610/1000</f>
        <v>1097.6099999999999</v>
      </c>
      <c r="L56" s="311">
        <f>2950411/1000</f>
        <v>2950.4110000000001</v>
      </c>
      <c r="M56" s="311">
        <f>2439152/1000</f>
        <v>2439.152</v>
      </c>
      <c r="N56" s="311">
        <f>2619511/1000</f>
        <v>2619.511</v>
      </c>
      <c r="O56" s="311">
        <f>3026437/1000</f>
        <v>3026.4369999999999</v>
      </c>
      <c r="P56" s="311">
        <f>3034109/1000</f>
        <v>3034.1089999999999</v>
      </c>
      <c r="Q56" s="311">
        <f>3885980/1000</f>
        <v>3885.98</v>
      </c>
      <c r="R56" s="311">
        <f>3683519/1000</f>
        <v>3683.5189999999998</v>
      </c>
      <c r="S56" s="311">
        <f>2665906/1000</f>
        <v>2665.9059999999999</v>
      </c>
      <c r="T56" s="311">
        <f>2556358/1000</f>
        <v>2556.3580000000002</v>
      </c>
      <c r="U56" s="311">
        <f>3370593/1000</f>
        <v>3370.5929999999998</v>
      </c>
      <c r="V56" s="311">
        <f>2734353/1000</f>
        <v>2734.3530000000001</v>
      </c>
      <c r="W56" s="311">
        <f>6168096/1000</f>
        <v>6168.0959999999995</v>
      </c>
      <c r="X56" s="311">
        <v>8440</v>
      </c>
      <c r="Y56" s="311">
        <v>10516</v>
      </c>
      <c r="Z56" s="311">
        <v>8543</v>
      </c>
      <c r="AA56" s="311">
        <v>11086</v>
      </c>
      <c r="AB56" s="62">
        <v>12798</v>
      </c>
      <c r="AC56" s="71">
        <v>14017</v>
      </c>
      <c r="AD56" s="981">
        <v>10835</v>
      </c>
      <c r="AE56" s="62">
        <v>13468</v>
      </c>
      <c r="AF56" s="62">
        <v>15728</v>
      </c>
      <c r="AG56" s="62">
        <v>14430</v>
      </c>
      <c r="AH56" s="1017" t="s">
        <v>305</v>
      </c>
      <c r="AI56" s="62">
        <v>17123</v>
      </c>
      <c r="AJ56" s="71">
        <v>14203</v>
      </c>
      <c r="AK56" s="981">
        <v>20276.684000000001</v>
      </c>
      <c r="AL56" s="981">
        <v>802.48599999999999</v>
      </c>
      <c r="AM56" s="981">
        <v>2641.9870000000001</v>
      </c>
      <c r="AN56" s="981">
        <v>4255.384</v>
      </c>
      <c r="AO56" s="981">
        <v>6092.308</v>
      </c>
      <c r="AP56" s="981">
        <v>7555.7870000000003</v>
      </c>
      <c r="AQ56" s="981">
        <v>9241</v>
      </c>
      <c r="AR56" s="888">
        <v>11256.481</v>
      </c>
    </row>
    <row r="57" spans="1:44" s="11" customFormat="1" ht="25.5">
      <c r="A57" s="1019" t="s">
        <v>256</v>
      </c>
      <c r="B57" s="991" t="s">
        <v>214</v>
      </c>
      <c r="C57" s="311">
        <f>68/1000</f>
        <v>6.8000000000000005E-2</v>
      </c>
      <c r="D57" s="311">
        <f>927/1000</f>
        <v>0.92700000000000005</v>
      </c>
      <c r="E57" s="311">
        <f>17436/1000</f>
        <v>17.436</v>
      </c>
      <c r="F57" s="311">
        <f>196794/1000</f>
        <v>196.79400000000001</v>
      </c>
      <c r="G57" s="311">
        <f>244348/1000</f>
        <v>244.34800000000001</v>
      </c>
      <c r="H57" s="311">
        <f>249795/1000</f>
        <v>249.79499999999999</v>
      </c>
      <c r="I57" s="311">
        <f>329422/1000</f>
        <v>329.42200000000003</v>
      </c>
      <c r="J57" s="311">
        <f>370391/1000</f>
        <v>370.39100000000002</v>
      </c>
      <c r="K57" s="311">
        <f>398270/1000</f>
        <v>398.27</v>
      </c>
      <c r="L57" s="311">
        <f>954555/1000</f>
        <v>954.55499999999995</v>
      </c>
      <c r="M57" s="311">
        <f>938863/1000</f>
        <v>938.86300000000006</v>
      </c>
      <c r="N57" s="311">
        <f>1434820/1000</f>
        <v>1434.82</v>
      </c>
      <c r="O57" s="311">
        <f>1293933/1000</f>
        <v>1293.933</v>
      </c>
      <c r="P57" s="311">
        <f>2039206/1000</f>
        <v>2039.2059999999999</v>
      </c>
      <c r="Q57" s="311">
        <f>2335313/1000</f>
        <v>2335.3130000000001</v>
      </c>
      <c r="R57" s="311">
        <f>2943167/1000</f>
        <v>2943.1669999999999</v>
      </c>
      <c r="S57" s="311">
        <f>3552568/1000</f>
        <v>3552.5680000000002</v>
      </c>
      <c r="T57" s="311">
        <f>2567158/1000</f>
        <v>2567.1579999999999</v>
      </c>
      <c r="U57" s="311">
        <v>1525</v>
      </c>
      <c r="V57" s="311">
        <f>1148103/1000</f>
        <v>1148.1030000000001</v>
      </c>
      <c r="W57" s="311">
        <f>1956901/1000</f>
        <v>1956.9010000000001</v>
      </c>
      <c r="X57" s="311">
        <f>2502198/1000</f>
        <v>2502.1979999999999</v>
      </c>
      <c r="Y57" s="311">
        <v>2659</v>
      </c>
      <c r="Z57" s="311">
        <v>1985</v>
      </c>
      <c r="AA57" s="311">
        <v>4263</v>
      </c>
      <c r="AB57" s="62">
        <v>5286</v>
      </c>
      <c r="AC57" s="71">
        <v>6023</v>
      </c>
      <c r="AD57" s="71">
        <v>3882</v>
      </c>
      <c r="AE57" s="62">
        <v>5078</v>
      </c>
      <c r="AF57" s="62">
        <v>5069</v>
      </c>
      <c r="AG57" s="62">
        <v>5440</v>
      </c>
      <c r="AH57" s="62" t="s">
        <v>306</v>
      </c>
      <c r="AI57" s="62">
        <v>8216</v>
      </c>
      <c r="AJ57" s="71">
        <v>12171</v>
      </c>
      <c r="AK57" s="981">
        <v>9122.7669999999998</v>
      </c>
      <c r="AL57" s="981">
        <v>761.29899999999998</v>
      </c>
      <c r="AM57" s="981">
        <v>1481.5820000000001</v>
      </c>
      <c r="AN57" s="981">
        <v>2155.6179999999999</v>
      </c>
      <c r="AO57" s="981">
        <v>2659.2840000000001</v>
      </c>
      <c r="AP57" s="981">
        <v>3018.6680000000001</v>
      </c>
      <c r="AQ57" s="981">
        <v>3562</v>
      </c>
      <c r="AR57" s="888">
        <v>4091.165</v>
      </c>
    </row>
    <row r="58" spans="1:44" s="11" customFormat="1">
      <c r="A58" s="1019" t="s">
        <v>257</v>
      </c>
      <c r="B58" s="991" t="s">
        <v>214</v>
      </c>
      <c r="C58" s="311">
        <f>200/1000</f>
        <v>0.2</v>
      </c>
      <c r="D58" s="311">
        <f>2101/1000</f>
        <v>2.101</v>
      </c>
      <c r="E58" s="311">
        <f>37959/1000</f>
        <v>37.959000000000003</v>
      </c>
      <c r="F58" s="311">
        <f>264243/1000</f>
        <v>264.24299999999999</v>
      </c>
      <c r="G58" s="311">
        <f>343044/1000</f>
        <v>343.04399999999998</v>
      </c>
      <c r="H58" s="311">
        <f>345698/1000</f>
        <v>345.69799999999998</v>
      </c>
      <c r="I58" s="311">
        <f>230998/1000</f>
        <v>230.99799999999999</v>
      </c>
      <c r="J58" s="311">
        <f>392793/1000</f>
        <v>392.79300000000001</v>
      </c>
      <c r="K58" s="311">
        <f>399304/1000</f>
        <v>399.30399999999997</v>
      </c>
      <c r="L58" s="311">
        <f>969264/1000</f>
        <v>969.26400000000001</v>
      </c>
      <c r="M58" s="311">
        <f>1190607/1000</f>
        <v>1190.607</v>
      </c>
      <c r="N58" s="311">
        <f>1749131/1000</f>
        <v>1749.1310000000001</v>
      </c>
      <c r="O58" s="311">
        <f>2446860/1000</f>
        <v>2446.86</v>
      </c>
      <c r="P58" s="311">
        <f>3521230/1000</f>
        <v>3521.23</v>
      </c>
      <c r="Q58" s="311">
        <f>4778844/1000</f>
        <v>4778.8440000000001</v>
      </c>
      <c r="R58" s="311">
        <f>6764345/1000</f>
        <v>6764.3450000000003</v>
      </c>
      <c r="S58" s="311">
        <f>9608240/1000</f>
        <v>9608.24</v>
      </c>
      <c r="T58" s="311">
        <f>7152748/1000</f>
        <v>7152.7479999999996</v>
      </c>
      <c r="U58" s="311">
        <f>5886006/1000</f>
        <v>5886.0060000000003</v>
      </c>
      <c r="V58" s="311">
        <f>5049223/1000</f>
        <v>5049.223</v>
      </c>
      <c r="W58" s="311">
        <f>11598949/1000</f>
        <v>11598.949000000001</v>
      </c>
      <c r="X58" s="311">
        <f>12374127/1000</f>
        <v>12374.127</v>
      </c>
      <c r="Y58" s="311">
        <v>13683</v>
      </c>
      <c r="Z58" s="311">
        <v>13522</v>
      </c>
      <c r="AA58" s="311">
        <v>11305</v>
      </c>
      <c r="AB58" s="62">
        <v>12315</v>
      </c>
      <c r="AC58" s="71">
        <v>16131</v>
      </c>
      <c r="AD58" s="981">
        <v>11894</v>
      </c>
      <c r="AE58" s="62">
        <v>18478</v>
      </c>
      <c r="AF58" s="62">
        <v>19291</v>
      </c>
      <c r="AG58" s="62">
        <v>17788</v>
      </c>
      <c r="AH58" s="994" t="s">
        <v>307</v>
      </c>
      <c r="AI58" s="62">
        <v>27916</v>
      </c>
      <c r="AJ58" s="71">
        <v>28093</v>
      </c>
      <c r="AK58" s="981">
        <v>31704.723000000002</v>
      </c>
      <c r="AL58" s="981">
        <v>1666.8320000000001</v>
      </c>
      <c r="AM58" s="981">
        <v>3697.3580000000002</v>
      </c>
      <c r="AN58" s="981">
        <v>5922.17</v>
      </c>
      <c r="AO58" s="981">
        <v>8071.143</v>
      </c>
      <c r="AP58" s="981">
        <v>9448.4879999999994</v>
      </c>
      <c r="AQ58" s="981">
        <v>10910</v>
      </c>
      <c r="AR58" s="888">
        <v>12716.394</v>
      </c>
    </row>
    <row r="59" spans="1:44" s="11" customFormat="1">
      <c r="A59" s="1019" t="s">
        <v>258</v>
      </c>
      <c r="B59" s="991" t="s">
        <v>214</v>
      </c>
      <c r="C59" s="311">
        <f>42/1000</f>
        <v>4.2000000000000003E-2</v>
      </c>
      <c r="D59" s="311">
        <f>281/1000</f>
        <v>0.28100000000000003</v>
      </c>
      <c r="E59" s="311">
        <f>3190/1000</f>
        <v>3.19</v>
      </c>
      <c r="F59" s="311">
        <f>45357/1000</f>
        <v>45.356999999999999</v>
      </c>
      <c r="G59" s="311">
        <f>232680/1000</f>
        <v>232.68</v>
      </c>
      <c r="H59" s="311">
        <f>526867/1000</f>
        <v>526.86699999999996</v>
      </c>
      <c r="I59" s="311">
        <f>556553/1000</f>
        <v>556.553</v>
      </c>
      <c r="J59" s="311">
        <f>274176/1000</f>
        <v>274.17599999999999</v>
      </c>
      <c r="K59" s="311">
        <f>316498/1000</f>
        <v>316.49799999999999</v>
      </c>
      <c r="L59" s="311">
        <f>1168112/1000</f>
        <v>1168.1120000000001</v>
      </c>
      <c r="M59" s="311">
        <f>1193893/1000</f>
        <v>1193.893</v>
      </c>
      <c r="N59" s="311">
        <f>1662296/1000</f>
        <v>1662.296</v>
      </c>
      <c r="O59" s="311">
        <f>1295021/1000</f>
        <v>1295.021</v>
      </c>
      <c r="P59" s="311">
        <f>2042304/1000</f>
        <v>2042.3040000000001</v>
      </c>
      <c r="Q59" s="311">
        <f>2828948/1000</f>
        <v>2828.9479999999999</v>
      </c>
      <c r="R59" s="311">
        <f>3614284/1000</f>
        <v>3614.2840000000001</v>
      </c>
      <c r="S59" s="311">
        <f>4157217/1000</f>
        <v>4157.2169999999996</v>
      </c>
      <c r="T59" s="311">
        <f>3825373/1000</f>
        <v>3825.373</v>
      </c>
      <c r="U59" s="311">
        <f>4696805/1000</f>
        <v>4696.8050000000003</v>
      </c>
      <c r="V59" s="311">
        <f>4349395/1000</f>
        <v>4349.3950000000004</v>
      </c>
      <c r="W59" s="311">
        <f>7348048/1000</f>
        <v>7348.0479999999998</v>
      </c>
      <c r="X59" s="311">
        <f>9605047/1000</f>
        <v>9605.0470000000005</v>
      </c>
      <c r="Y59" s="311">
        <v>12138</v>
      </c>
      <c r="Z59" s="311">
        <v>6987</v>
      </c>
      <c r="AA59" s="311">
        <v>7093</v>
      </c>
      <c r="AB59" s="62">
        <v>8059</v>
      </c>
      <c r="AC59" s="71">
        <v>12116</v>
      </c>
      <c r="AD59" s="981">
        <v>8801</v>
      </c>
      <c r="AE59" s="62">
        <v>11879</v>
      </c>
      <c r="AF59" s="62">
        <v>10714</v>
      </c>
      <c r="AG59" s="62">
        <v>12910</v>
      </c>
      <c r="AH59" s="994" t="s">
        <v>308</v>
      </c>
      <c r="AI59" s="62">
        <v>18125</v>
      </c>
      <c r="AJ59" s="799">
        <v>29887</v>
      </c>
      <c r="AK59" s="981">
        <v>33399.906000000003</v>
      </c>
      <c r="AL59" s="981">
        <v>1998.597</v>
      </c>
      <c r="AM59" s="981">
        <v>4874.5789999999997</v>
      </c>
      <c r="AN59" s="981">
        <v>7899.53</v>
      </c>
      <c r="AO59" s="981">
        <v>11787.237999999999</v>
      </c>
      <c r="AP59" s="981">
        <v>14860.554</v>
      </c>
      <c r="AQ59" s="981">
        <v>18561</v>
      </c>
      <c r="AR59" s="888">
        <v>21895.231</v>
      </c>
    </row>
    <row r="60" spans="1:44" s="11" customFormat="1">
      <c r="A60" s="1019" t="s">
        <v>259</v>
      </c>
      <c r="B60" s="991" t="s">
        <v>214</v>
      </c>
      <c r="C60" s="311">
        <f>593/1000</f>
        <v>0.59299999999999997</v>
      </c>
      <c r="D60" s="311">
        <f>7145/1000</f>
        <v>7.1449999999999996</v>
      </c>
      <c r="E60" s="311">
        <f>108935/1000</f>
        <v>108.935</v>
      </c>
      <c r="F60" s="311">
        <f>1513095/1000</f>
        <v>1513.095</v>
      </c>
      <c r="G60" s="311">
        <f>1772288/1000</f>
        <v>1772.288</v>
      </c>
      <c r="H60" s="311">
        <f>1736021/1000</f>
        <v>1736.021</v>
      </c>
      <c r="I60" s="311">
        <f>1766206/1000</f>
        <v>1766.2059999999999</v>
      </c>
      <c r="J60" s="311">
        <f>2377966/1000</f>
        <v>2377.9659999999999</v>
      </c>
      <c r="K60" s="311">
        <f>1283316/1000</f>
        <v>1283.316</v>
      </c>
      <c r="L60" s="311">
        <f>2321500/1000</f>
        <v>2321.5</v>
      </c>
      <c r="M60" s="311">
        <f>3749502/1000</f>
        <v>3749.502</v>
      </c>
      <c r="N60" s="311">
        <f>5114609/1000</f>
        <v>5114.6090000000004</v>
      </c>
      <c r="O60" s="311">
        <f>8912440/1000</f>
        <v>8912.44</v>
      </c>
      <c r="P60" s="311">
        <f>14094160/1000</f>
        <v>14094.16</v>
      </c>
      <c r="Q60" s="311">
        <f>22454132/1000</f>
        <v>22454.132000000001</v>
      </c>
      <c r="R60" s="311">
        <f>31778692/1000</f>
        <v>31778.691999999999</v>
      </c>
      <c r="S60" s="311">
        <f>49910315/1000</f>
        <v>49910.315000000002</v>
      </c>
      <c r="T60" s="311">
        <f>38809356/1000</f>
        <v>38809.356</v>
      </c>
      <c r="U60" s="311">
        <f>28579920/1000</f>
        <v>28579.919999999998</v>
      </c>
      <c r="V60" s="311">
        <f>28883027/1000</f>
        <v>28883.026999999998</v>
      </c>
      <c r="W60" s="311">
        <f>34661979/1000</f>
        <v>34661.978999999999</v>
      </c>
      <c r="X60" s="311">
        <f>39389768/1000</f>
        <v>39389.767999999996</v>
      </c>
      <c r="Y60" s="311">
        <v>48847</v>
      </c>
      <c r="Z60" s="311">
        <v>55401</v>
      </c>
      <c r="AA60" s="311">
        <v>47833</v>
      </c>
      <c r="AB60" s="62">
        <v>40163</v>
      </c>
      <c r="AC60" s="71">
        <v>42058</v>
      </c>
      <c r="AD60" s="1018">
        <v>43317</v>
      </c>
      <c r="AE60" s="62">
        <v>58437</v>
      </c>
      <c r="AF60" s="62">
        <v>59403</v>
      </c>
      <c r="AG60" s="62">
        <v>85603</v>
      </c>
      <c r="AH60" s="994" t="s">
        <v>309</v>
      </c>
      <c r="AI60" s="62">
        <v>111949</v>
      </c>
      <c r="AJ60" s="71">
        <v>132367</v>
      </c>
      <c r="AK60" s="981">
        <v>156251.71100000001</v>
      </c>
      <c r="AL60" s="981">
        <v>5929.7520000000004</v>
      </c>
      <c r="AM60" s="981">
        <v>15160.271000000001</v>
      </c>
      <c r="AN60" s="981">
        <v>26063.917000000001</v>
      </c>
      <c r="AO60" s="981">
        <v>39690.962</v>
      </c>
      <c r="AP60" s="981">
        <v>54123.756000000001</v>
      </c>
      <c r="AQ60" s="981">
        <v>68465</v>
      </c>
      <c r="AR60" s="888">
        <v>83661.432000000001</v>
      </c>
    </row>
    <row r="61" spans="1:44" s="11" customFormat="1">
      <c r="A61" s="1019" t="s">
        <v>260</v>
      </c>
      <c r="B61" s="991" t="s">
        <v>214</v>
      </c>
      <c r="C61" s="311" t="s">
        <v>1</v>
      </c>
      <c r="D61" s="311" t="s">
        <v>1</v>
      </c>
      <c r="E61" s="311" t="s">
        <v>1</v>
      </c>
      <c r="F61" s="311" t="s">
        <v>1</v>
      </c>
      <c r="G61" s="311" t="s">
        <v>1</v>
      </c>
      <c r="H61" s="311">
        <f>78862/1000</f>
        <v>78.861999999999995</v>
      </c>
      <c r="I61" s="311">
        <f>75352/1000</f>
        <v>75.352000000000004</v>
      </c>
      <c r="J61" s="311">
        <f>111861/1000</f>
        <v>111.861</v>
      </c>
      <c r="K61" s="311">
        <f>228960/1000</f>
        <v>228.96</v>
      </c>
      <c r="L61" s="311">
        <f>761059/1000</f>
        <v>761.05899999999997</v>
      </c>
      <c r="M61" s="311">
        <f>2722243/1000</f>
        <v>2722.2429999999999</v>
      </c>
      <c r="N61" s="311">
        <f>8279154/1000</f>
        <v>8279.1540000000005</v>
      </c>
      <c r="O61" s="311">
        <f>6434272/1000</f>
        <v>6434.2719999999999</v>
      </c>
      <c r="P61" s="311">
        <f>10374489/1000</f>
        <v>10374.489</v>
      </c>
      <c r="Q61" s="311">
        <f>15126544/1000</f>
        <v>15126.544</v>
      </c>
      <c r="R61" s="311">
        <f>26438833/1000</f>
        <v>26438.832999999999</v>
      </c>
      <c r="S61" s="311">
        <f>32797116/1000</f>
        <v>32797.116000000002</v>
      </c>
      <c r="T61" s="311">
        <f>26967253/1000</f>
        <v>26967.253000000001</v>
      </c>
      <c r="U61" s="311">
        <f>12763134/1000</f>
        <v>12763.134</v>
      </c>
      <c r="V61" s="311">
        <f>22103899/1000</f>
        <v>22103.899000000001</v>
      </c>
      <c r="W61" s="311">
        <f>34453988/1000</f>
        <v>34453.987999999998</v>
      </c>
      <c r="X61" s="311">
        <f>31654384/1000</f>
        <v>31654.383999999998</v>
      </c>
      <c r="Y61" s="311">
        <v>23131</v>
      </c>
      <c r="Z61" s="311">
        <v>40387</v>
      </c>
      <c r="AA61" s="311">
        <v>41547</v>
      </c>
      <c r="AB61" s="62">
        <v>52285</v>
      </c>
      <c r="AC61" s="71">
        <v>69523</v>
      </c>
      <c r="AD61" s="981">
        <v>99777</v>
      </c>
      <c r="AE61" s="62">
        <v>113510</v>
      </c>
      <c r="AF61" s="62">
        <v>98246</v>
      </c>
      <c r="AG61" s="997">
        <v>127829</v>
      </c>
      <c r="AH61" s="1008" t="s">
        <v>310</v>
      </c>
      <c r="AI61" s="62">
        <v>122675</v>
      </c>
      <c r="AJ61" s="71">
        <v>132808</v>
      </c>
      <c r="AK61" s="981">
        <v>138741.33499999999</v>
      </c>
      <c r="AL61" s="981">
        <v>4524.01</v>
      </c>
      <c r="AM61" s="981">
        <v>14498.893</v>
      </c>
      <c r="AN61" s="981">
        <v>22909.221000000001</v>
      </c>
      <c r="AO61" s="981">
        <v>34200.387999999999</v>
      </c>
      <c r="AP61" s="981">
        <v>44007.519999999997</v>
      </c>
      <c r="AQ61" s="981">
        <v>55954</v>
      </c>
      <c r="AR61" s="888">
        <v>66704.759999999995</v>
      </c>
    </row>
    <row r="62" spans="1:44" s="11" customFormat="1" ht="25.5">
      <c r="A62" s="1019" t="s">
        <v>261</v>
      </c>
      <c r="B62" s="991" t="s">
        <v>214</v>
      </c>
      <c r="C62" s="311">
        <f>185/1000</f>
        <v>0.185</v>
      </c>
      <c r="D62" s="311">
        <f>1752/1000</f>
        <v>1.752</v>
      </c>
      <c r="E62" s="311">
        <f>42735/1000</f>
        <v>42.734999999999999</v>
      </c>
      <c r="F62" s="311">
        <f>233043/1000</f>
        <v>233.04300000000001</v>
      </c>
      <c r="G62" s="311">
        <f>309471/1000</f>
        <v>309.471</v>
      </c>
      <c r="H62" s="311">
        <f>682940/1000</f>
        <v>682.94</v>
      </c>
      <c r="I62" s="311">
        <f>970469/1000</f>
        <v>970.46900000000005</v>
      </c>
      <c r="J62" s="311">
        <f>2345005/1000</f>
        <v>2345.0050000000001</v>
      </c>
      <c r="K62" s="311">
        <f>2261234/1000</f>
        <v>2261.2339999999999</v>
      </c>
      <c r="L62" s="311">
        <f>3578962/1000</f>
        <v>3578.962</v>
      </c>
      <c r="M62" s="311">
        <f>5186048/1000</f>
        <v>5186.0479999999998</v>
      </c>
      <c r="N62" s="311">
        <f>5300265/1000</f>
        <v>5300.2650000000003</v>
      </c>
      <c r="O62" s="311">
        <f>7034407/1000</f>
        <v>7034.4070000000002</v>
      </c>
      <c r="P62" s="311">
        <f>9602004/1000</f>
        <v>9602.0040000000008</v>
      </c>
      <c r="Q62" s="311">
        <f>13254046/1000</f>
        <v>13254.046</v>
      </c>
      <c r="R62" s="311">
        <f>15322115/1000</f>
        <v>15322.115</v>
      </c>
      <c r="S62" s="311">
        <f>24699843/1000</f>
        <v>24699.843000000001</v>
      </c>
      <c r="T62" s="311">
        <f>18111641/1000</f>
        <v>18111.641</v>
      </c>
      <c r="U62" s="311">
        <f>22595951/1000</f>
        <v>22595.951000000001</v>
      </c>
      <c r="V62" s="311">
        <f>16305147/1000</f>
        <v>16305.147000000001</v>
      </c>
      <c r="W62" s="311">
        <f>24010614/1000</f>
        <v>24010.614000000001</v>
      </c>
      <c r="X62" s="311">
        <f>26663393/1000</f>
        <v>26663.393</v>
      </c>
      <c r="Y62" s="311">
        <v>29359</v>
      </c>
      <c r="Z62" s="311">
        <v>36564</v>
      </c>
      <c r="AA62" s="311">
        <v>29771</v>
      </c>
      <c r="AB62" s="62">
        <v>36015</v>
      </c>
      <c r="AC62" s="71">
        <v>31822</v>
      </c>
      <c r="AD62" s="981">
        <v>26503</v>
      </c>
      <c r="AE62" s="62">
        <v>28911</v>
      </c>
      <c r="AF62" s="62">
        <v>29866</v>
      </c>
      <c r="AG62" s="62">
        <v>44289</v>
      </c>
      <c r="AH62" s="994" t="s">
        <v>311</v>
      </c>
      <c r="AI62" s="62">
        <v>48549</v>
      </c>
      <c r="AJ62" s="71">
        <v>59849</v>
      </c>
      <c r="AK62" s="981">
        <v>69197.975999999995</v>
      </c>
      <c r="AL62" s="981">
        <v>2529.9659999999999</v>
      </c>
      <c r="AM62" s="981">
        <v>8024.1</v>
      </c>
      <c r="AN62" s="981">
        <v>13112.173000000001</v>
      </c>
      <c r="AO62" s="981">
        <v>18657.718000000001</v>
      </c>
      <c r="AP62" s="981">
        <v>23128.639999999999</v>
      </c>
      <c r="AQ62" s="981">
        <v>28030</v>
      </c>
      <c r="AR62" s="888">
        <v>32809.292000000001</v>
      </c>
    </row>
    <row r="63" spans="1:44" s="11" customFormat="1" ht="25.5">
      <c r="A63" s="1019" t="s">
        <v>262</v>
      </c>
      <c r="B63" s="991" t="s">
        <v>214</v>
      </c>
      <c r="C63" s="311">
        <f>972/1000</f>
        <v>0.97199999999999998</v>
      </c>
      <c r="D63" s="311">
        <f>10126/1000</f>
        <v>10.125999999999999</v>
      </c>
      <c r="E63" s="311">
        <f>170349/1000</f>
        <v>170.34899999999999</v>
      </c>
      <c r="F63" s="311">
        <f>2321292/1000</f>
        <v>2321.2919999999999</v>
      </c>
      <c r="G63" s="311">
        <f>4291600/1000</f>
        <v>4291.6000000000004</v>
      </c>
      <c r="H63" s="311">
        <f>4157767/1000</f>
        <v>4157.7669999999998</v>
      </c>
      <c r="I63" s="311">
        <f>4018957/1000</f>
        <v>4018.9569999999999</v>
      </c>
      <c r="J63" s="311">
        <f>1689565/1000</f>
        <v>1689.5650000000001</v>
      </c>
      <c r="K63" s="311">
        <f>1086685/1000</f>
        <v>1086.6849999999999</v>
      </c>
      <c r="L63" s="311">
        <f>1356687/1000</f>
        <v>1356.6869999999999</v>
      </c>
      <c r="M63" s="311">
        <f>2102709/1000</f>
        <v>2102.7089999999998</v>
      </c>
      <c r="N63" s="311">
        <f>2024320/1000</f>
        <v>2024.32</v>
      </c>
      <c r="O63" s="311">
        <f>2924613/1000</f>
        <v>2924.6129999999998</v>
      </c>
      <c r="P63" s="311">
        <f>3970816/1000</f>
        <v>3970.8159999999998</v>
      </c>
      <c r="Q63" s="311">
        <f>4424615/1000</f>
        <v>4424.6149999999998</v>
      </c>
      <c r="R63" s="311">
        <f>4520997/1000</f>
        <v>4520.9970000000003</v>
      </c>
      <c r="S63" s="311">
        <f>5712986/1000</f>
        <v>5712.9859999999999</v>
      </c>
      <c r="T63" s="311">
        <f>4405598/1000</f>
        <v>4405.598</v>
      </c>
      <c r="U63" s="311">
        <f>4069148/1000</f>
        <v>4069.1480000000001</v>
      </c>
      <c r="V63" s="311">
        <f>7410918/1000</f>
        <v>7410.9179999999997</v>
      </c>
      <c r="W63" s="311">
        <f>5929648/1000</f>
        <v>5929.6480000000001</v>
      </c>
      <c r="X63" s="311">
        <f>6178278/1000</f>
        <v>6178.2780000000002</v>
      </c>
      <c r="Y63" s="311">
        <v>5050</v>
      </c>
      <c r="Z63" s="311">
        <v>10702</v>
      </c>
      <c r="AA63" s="311">
        <v>6559</v>
      </c>
      <c r="AB63" s="62">
        <v>7083</v>
      </c>
      <c r="AC63" s="71">
        <v>7345</v>
      </c>
      <c r="AD63" s="981">
        <v>12458</v>
      </c>
      <c r="AE63" s="62">
        <v>12884</v>
      </c>
      <c r="AF63" s="62">
        <v>15294</v>
      </c>
      <c r="AG63" s="62">
        <v>14316</v>
      </c>
      <c r="AH63" s="994" t="s">
        <v>312</v>
      </c>
      <c r="AI63" s="62">
        <v>20461</v>
      </c>
      <c r="AJ63" s="71">
        <v>21489</v>
      </c>
      <c r="AK63" s="981">
        <v>18912.600999999999</v>
      </c>
      <c r="AL63" s="981">
        <v>979.38400000000001</v>
      </c>
      <c r="AM63" s="981">
        <v>2273.15</v>
      </c>
      <c r="AN63" s="981">
        <v>3669.8319999999999</v>
      </c>
      <c r="AO63" s="981">
        <v>5489.4229999999998</v>
      </c>
      <c r="AP63" s="981">
        <v>6094.3440000000001</v>
      </c>
      <c r="AQ63" s="981">
        <v>7064</v>
      </c>
      <c r="AR63" s="888">
        <v>7993.1850000000004</v>
      </c>
    </row>
    <row r="64" spans="1:44" s="11" customFormat="1">
      <c r="A64" s="1019" t="s">
        <v>263</v>
      </c>
      <c r="B64" s="991" t="s">
        <v>214</v>
      </c>
      <c r="C64" s="311">
        <f>89/1000</f>
        <v>8.8999999999999996E-2</v>
      </c>
      <c r="D64" s="311">
        <f>520/1000</f>
        <v>0.52</v>
      </c>
      <c r="E64" s="311">
        <f>6242/1000</f>
        <v>6.242</v>
      </c>
      <c r="F64" s="311">
        <f>138638/1000</f>
        <v>138.63800000000001</v>
      </c>
      <c r="G64" s="311">
        <f>122718/1000</f>
        <v>122.718</v>
      </c>
      <c r="H64" s="311">
        <f>410621/1000</f>
        <v>410.62099999999998</v>
      </c>
      <c r="I64" s="311">
        <f>223951/1000</f>
        <v>223.95099999999999</v>
      </c>
      <c r="J64" s="311">
        <f>2511272/1000</f>
        <v>2511.2719999999999</v>
      </c>
      <c r="K64" s="311">
        <f>3033375/1000</f>
        <v>3033.375</v>
      </c>
      <c r="L64" s="311">
        <f>9372766/1000</f>
        <v>9372.7659999999996</v>
      </c>
      <c r="M64" s="311">
        <f>9527401/1000</f>
        <v>9527.4009999999998</v>
      </c>
      <c r="N64" s="311">
        <f>8330047/1000</f>
        <v>8330.0470000000005</v>
      </c>
      <c r="O64" s="311">
        <f>11094691/1000</f>
        <v>11094.691000000001</v>
      </c>
      <c r="P64" s="311">
        <f>11164856/1000</f>
        <v>11164.856</v>
      </c>
      <c r="Q64" s="311">
        <f>10544357/1000</f>
        <v>10544.357</v>
      </c>
      <c r="R64" s="311">
        <f>13241702/1000</f>
        <v>13241.701999999999</v>
      </c>
      <c r="S64" s="311">
        <f>11406358/1000</f>
        <v>11406.358</v>
      </c>
      <c r="T64" s="311">
        <f>10601658/1000</f>
        <v>10601.657999999999</v>
      </c>
      <c r="U64" s="311">
        <f>9389027/1000</f>
        <v>9389.027</v>
      </c>
      <c r="V64" s="311">
        <f>11268096/1000</f>
        <v>11268.096</v>
      </c>
      <c r="W64" s="311">
        <f>12121110/1000</f>
        <v>12121.11</v>
      </c>
      <c r="X64" s="311">
        <v>19551</v>
      </c>
      <c r="Y64" s="311">
        <v>19513</v>
      </c>
      <c r="Z64" s="311">
        <v>23455</v>
      </c>
      <c r="AA64" s="311">
        <v>14288</v>
      </c>
      <c r="AB64" s="62">
        <v>20200</v>
      </c>
      <c r="AC64" s="71">
        <v>19887</v>
      </c>
      <c r="AD64" s="981">
        <v>19613</v>
      </c>
      <c r="AE64" s="62">
        <v>21805</v>
      </c>
      <c r="AF64" s="62">
        <v>12425</v>
      </c>
      <c r="AG64" s="62">
        <v>9358</v>
      </c>
      <c r="AH64" s="994" t="s">
        <v>313</v>
      </c>
      <c r="AI64" s="62">
        <v>16686</v>
      </c>
      <c r="AJ64" s="71">
        <v>31643</v>
      </c>
      <c r="AK64" s="981">
        <v>47253.108</v>
      </c>
      <c r="AL64" s="981">
        <v>2993.0520000000001</v>
      </c>
      <c r="AM64" s="981">
        <v>8326.7189999999991</v>
      </c>
      <c r="AN64" s="981">
        <v>13606.92</v>
      </c>
      <c r="AO64" s="981">
        <v>21402.331999999999</v>
      </c>
      <c r="AP64" s="981">
        <v>23843.663</v>
      </c>
      <c r="AQ64" s="981">
        <v>32190</v>
      </c>
      <c r="AR64" s="888">
        <v>37661.195</v>
      </c>
    </row>
    <row r="65" spans="1:44" s="11" customFormat="1" ht="25.5">
      <c r="A65" s="1019" t="s">
        <v>264</v>
      </c>
      <c r="B65" s="991" t="s">
        <v>214</v>
      </c>
      <c r="C65" s="311">
        <f>88/1000</f>
        <v>8.7999999999999995E-2</v>
      </c>
      <c r="D65" s="311">
        <f>978/1000</f>
        <v>0.97799999999999998</v>
      </c>
      <c r="E65" s="311">
        <f>7873/1000</f>
        <v>7.8730000000000002</v>
      </c>
      <c r="F65" s="311">
        <f>113134/1000</f>
        <v>113.134</v>
      </c>
      <c r="G65" s="311">
        <f>1658768/1000</f>
        <v>1658.768</v>
      </c>
      <c r="H65" s="311">
        <f>298510/1000</f>
        <v>298.51</v>
      </c>
      <c r="I65" s="311">
        <f>217004/1000</f>
        <v>217.00399999999999</v>
      </c>
      <c r="J65" s="311">
        <f>174408/1000</f>
        <v>174.40799999999999</v>
      </c>
      <c r="K65" s="311">
        <f>240333/1000</f>
        <v>240.333</v>
      </c>
      <c r="L65" s="311">
        <f>312711/1000</f>
        <v>312.71100000000001</v>
      </c>
      <c r="M65" s="311">
        <f>565425/1000</f>
        <v>565.42499999999995</v>
      </c>
      <c r="N65" s="311">
        <f>1186616/1000</f>
        <v>1186.616</v>
      </c>
      <c r="O65" s="311">
        <f>1408236/1000</f>
        <v>1408.2360000000001</v>
      </c>
      <c r="P65" s="311">
        <f>999913/1000</f>
        <v>999.91300000000001</v>
      </c>
      <c r="Q65" s="311">
        <f>708814/1000</f>
        <v>708.81399999999996</v>
      </c>
      <c r="R65" s="311">
        <f>501474/1000</f>
        <v>501.47399999999999</v>
      </c>
      <c r="S65" s="311">
        <f>457937/1000</f>
        <v>457.93700000000001</v>
      </c>
      <c r="T65" s="311">
        <f>193937/1000</f>
        <v>193.93700000000001</v>
      </c>
      <c r="U65" s="311">
        <f>229332/1000</f>
        <v>229.33199999999999</v>
      </c>
      <c r="V65" s="311">
        <f>244590/1000</f>
        <v>244.59</v>
      </c>
      <c r="W65" s="311">
        <f>509536/1000</f>
        <v>509.536</v>
      </c>
      <c r="X65" s="311">
        <f>490818/1000</f>
        <v>490.81799999999998</v>
      </c>
      <c r="Y65" s="311">
        <v>1141</v>
      </c>
      <c r="Z65" s="311">
        <v>4909</v>
      </c>
      <c r="AA65" s="311">
        <v>6761</v>
      </c>
      <c r="AB65" s="62">
        <v>6530</v>
      </c>
      <c r="AC65" s="71">
        <v>6263</v>
      </c>
      <c r="AD65" s="981">
        <v>5750</v>
      </c>
      <c r="AE65" s="62">
        <v>15406</v>
      </c>
      <c r="AF65" s="62">
        <v>95331</v>
      </c>
      <c r="AG65" s="62">
        <v>223848</v>
      </c>
      <c r="AH65" s="994" t="s">
        <v>314</v>
      </c>
      <c r="AI65" s="62">
        <v>607177</v>
      </c>
      <c r="AJ65" s="71">
        <v>580352</v>
      </c>
      <c r="AK65" s="981">
        <v>874887.88199999998</v>
      </c>
      <c r="AL65" s="981">
        <v>96816.812000000005</v>
      </c>
      <c r="AM65" s="981">
        <v>175170.88500000001</v>
      </c>
      <c r="AN65" s="981">
        <v>267640.46299999999</v>
      </c>
      <c r="AO65" s="981">
        <v>343374.033</v>
      </c>
      <c r="AP65" s="981">
        <v>409088.31800000003</v>
      </c>
      <c r="AQ65" s="981">
        <v>488189</v>
      </c>
      <c r="AR65" s="888">
        <v>551526.63100000005</v>
      </c>
    </row>
    <row r="66" spans="1:44" s="11" customFormat="1">
      <c r="A66" s="1019" t="s">
        <v>265</v>
      </c>
      <c r="B66" s="991" t="s">
        <v>214</v>
      </c>
      <c r="C66" s="311" t="s">
        <v>1</v>
      </c>
      <c r="D66" s="311" t="s">
        <v>1</v>
      </c>
      <c r="E66" s="311" t="s">
        <v>1</v>
      </c>
      <c r="F66" s="311" t="s">
        <v>1</v>
      </c>
      <c r="G66" s="311" t="s">
        <v>1</v>
      </c>
      <c r="H66" s="311" t="s">
        <v>1</v>
      </c>
      <c r="I66" s="311" t="s">
        <v>1</v>
      </c>
      <c r="J66" s="311" t="s">
        <v>1</v>
      </c>
      <c r="K66" s="311" t="s">
        <v>1</v>
      </c>
      <c r="L66" s="311">
        <v>54</v>
      </c>
      <c r="M66" s="311">
        <v>87</v>
      </c>
      <c r="N66" s="311">
        <v>105</v>
      </c>
      <c r="O66" s="311">
        <v>155</v>
      </c>
      <c r="P66" s="311">
        <v>298</v>
      </c>
      <c r="Q66" s="311">
        <v>740</v>
      </c>
      <c r="R66" s="311">
        <v>4088</v>
      </c>
      <c r="S66" s="311">
        <v>799</v>
      </c>
      <c r="T66" s="311">
        <v>823</v>
      </c>
      <c r="U66" s="311">
        <v>1039</v>
      </c>
      <c r="V66" s="311">
        <v>9501</v>
      </c>
      <c r="W66" s="311">
        <v>11267</v>
      </c>
      <c r="X66" s="311">
        <v>11252</v>
      </c>
      <c r="Y66" s="311">
        <v>11250</v>
      </c>
      <c r="Z66" s="311">
        <v>8551</v>
      </c>
      <c r="AA66" s="311">
        <v>3479</v>
      </c>
      <c r="AB66" s="62">
        <v>4176</v>
      </c>
      <c r="AC66" s="71">
        <v>4783</v>
      </c>
      <c r="AD66" s="981">
        <v>4128</v>
      </c>
      <c r="AE66" s="62">
        <v>11631</v>
      </c>
      <c r="AF66" s="62">
        <v>8025</v>
      </c>
      <c r="AG66" s="62">
        <v>15257</v>
      </c>
      <c r="AH66" s="994" t="s">
        <v>315</v>
      </c>
      <c r="AI66" s="62">
        <v>25233</v>
      </c>
      <c r="AJ66" s="196">
        <v>43071</v>
      </c>
      <c r="AK66" s="981">
        <v>33511.654000000002</v>
      </c>
      <c r="AL66" s="1020">
        <v>74.257000000000005</v>
      </c>
      <c r="AM66" s="981">
        <v>996.57100000000003</v>
      </c>
      <c r="AN66" s="981">
        <v>1598.6189999999999</v>
      </c>
      <c r="AO66" s="982">
        <v>2678.8760000000002</v>
      </c>
      <c r="AP66" s="981">
        <v>3641.74</v>
      </c>
      <c r="AQ66" s="981">
        <v>4456</v>
      </c>
      <c r="AR66" s="888">
        <v>5048.5249999999996</v>
      </c>
    </row>
    <row r="67" spans="1:44" s="11" customFormat="1" ht="25.5">
      <c r="A67" s="998" t="s">
        <v>266</v>
      </c>
      <c r="B67" s="991" t="s">
        <v>214</v>
      </c>
      <c r="C67" s="311"/>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62"/>
      <c r="AC67" s="4"/>
      <c r="AD67" s="71"/>
      <c r="AE67" s="62"/>
      <c r="AG67" s="825"/>
      <c r="AH67" s="1021"/>
      <c r="AI67" s="4"/>
      <c r="AJ67" s="71"/>
      <c r="AK67" s="4"/>
      <c r="AL67" s="981"/>
      <c r="AM67" s="989"/>
      <c r="AN67" s="989"/>
      <c r="AO67" s="981"/>
      <c r="AP67" s="989"/>
      <c r="AQ67" s="989"/>
      <c r="AR67" s="1090"/>
    </row>
    <row r="68" spans="1:44" s="11" customFormat="1">
      <c r="A68" s="993" t="s">
        <v>108</v>
      </c>
      <c r="B68" s="4"/>
      <c r="C68" s="311">
        <f>427/1000</f>
        <v>0.42699999999999999</v>
      </c>
      <c r="D68" s="311">
        <f>12682/1000</f>
        <v>12.682</v>
      </c>
      <c r="E68" s="311">
        <f>201442/1000</f>
        <v>201.44200000000001</v>
      </c>
      <c r="F68" s="311">
        <f>6203423/1000</f>
        <v>6203.4229999999998</v>
      </c>
      <c r="G68" s="311">
        <f>11546844/1000</f>
        <v>11546.843999999999</v>
      </c>
      <c r="H68" s="311">
        <f>9820412/1000</f>
        <v>9820.4120000000003</v>
      </c>
      <c r="I68" s="311">
        <f>6227482/1000</f>
        <v>6227.482</v>
      </c>
      <c r="J68" s="311">
        <f>8056281/1000</f>
        <v>8056.2809999999999</v>
      </c>
      <c r="K68" s="311">
        <f>7607178/1000</f>
        <v>7607.1779999999999</v>
      </c>
      <c r="L68" s="311">
        <f>8823894/1000</f>
        <v>8823.8940000000002</v>
      </c>
      <c r="M68" s="311">
        <f>6534197/1000</f>
        <v>6534.1970000000001</v>
      </c>
      <c r="N68" s="311">
        <f>7324308/1000</f>
        <v>7324.308</v>
      </c>
      <c r="O68" s="311">
        <f>12728036/1000</f>
        <v>12728.036</v>
      </c>
      <c r="P68" s="311">
        <f>17906327/1000</f>
        <v>17906.327000000001</v>
      </c>
      <c r="Q68" s="311">
        <f>12899114/1000</f>
        <v>12899.114</v>
      </c>
      <c r="R68" s="311">
        <f>24596166/1000</f>
        <v>24596.166000000001</v>
      </c>
      <c r="S68" s="311">
        <f>28806604/1000</f>
        <v>28806.603999999999</v>
      </c>
      <c r="T68" s="311">
        <f>32389781/1000</f>
        <v>32389.780999999999</v>
      </c>
      <c r="U68" s="311">
        <f>44886924/1000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 s="71">
        <v>185155</v>
      </c>
      <c r="AD68" s="981">
        <v>198241</v>
      </c>
      <c r="AE68" s="1015" t="s">
        <v>81</v>
      </c>
      <c r="AF68" s="62">
        <v>170117</v>
      </c>
      <c r="AG68" s="996">
        <v>188564</v>
      </c>
      <c r="AH68" s="1022" t="s">
        <v>316</v>
      </c>
      <c r="AI68" s="71">
        <v>242480</v>
      </c>
      <c r="AJ68" s="1010">
        <v>287121</v>
      </c>
      <c r="AK68" s="981">
        <v>347088.64299999998</v>
      </c>
      <c r="AL68" s="981">
        <v>49763.294000000002</v>
      </c>
      <c r="AM68" s="981">
        <v>98379.267000000007</v>
      </c>
      <c r="AN68" s="981">
        <v>139263.83499999999</v>
      </c>
      <c r="AO68" s="981">
        <v>170323.861</v>
      </c>
      <c r="AP68" s="981">
        <v>188934.20800000001</v>
      </c>
      <c r="AQ68" s="981">
        <v>205570</v>
      </c>
      <c r="AR68" s="888">
        <v>223985.61</v>
      </c>
    </row>
    <row r="69" spans="1:44" s="11" customFormat="1">
      <c r="A69" s="995" t="s">
        <v>109</v>
      </c>
      <c r="B69" s="4"/>
      <c r="C69" s="311"/>
      <c r="D69" s="311"/>
      <c r="E69" s="311"/>
      <c r="F69" s="311"/>
      <c r="G69" s="311"/>
      <c r="H69" s="311"/>
      <c r="I69" s="311"/>
      <c r="J69" s="311"/>
      <c r="K69" s="311"/>
      <c r="L69" s="311"/>
      <c r="M69" s="311"/>
      <c r="N69" s="311"/>
      <c r="O69" s="311"/>
      <c r="P69" s="311"/>
      <c r="Q69" s="311" t="s">
        <v>1</v>
      </c>
      <c r="R69" s="311" t="s">
        <v>1</v>
      </c>
      <c r="S69" s="311" t="s">
        <v>1</v>
      </c>
      <c r="T69" s="311" t="s">
        <v>1</v>
      </c>
      <c r="U69" s="311" t="s">
        <v>1</v>
      </c>
      <c r="V69" s="311" t="s">
        <v>1</v>
      </c>
      <c r="W69" s="982">
        <v>33698</v>
      </c>
      <c r="X69" s="982">
        <v>50542</v>
      </c>
      <c r="Y69" s="982">
        <v>69157</v>
      </c>
      <c r="Z69" s="982">
        <v>52483</v>
      </c>
      <c r="AA69" s="982">
        <v>55381</v>
      </c>
      <c r="AB69" s="71">
        <v>26973</v>
      </c>
      <c r="AC69" s="71">
        <v>55392</v>
      </c>
      <c r="AD69" s="981">
        <v>58364</v>
      </c>
      <c r="AE69" s="62">
        <v>26040</v>
      </c>
      <c r="AF69" s="196">
        <v>30643</v>
      </c>
      <c r="AG69" s="196">
        <v>27553</v>
      </c>
      <c r="AH69" s="994" t="s">
        <v>317</v>
      </c>
      <c r="AI69" s="71">
        <v>43239</v>
      </c>
      <c r="AJ69" s="988">
        <v>50043</v>
      </c>
      <c r="AK69" s="981">
        <v>61192.315999999999</v>
      </c>
      <c r="AL69" s="981">
        <v>9184.6810000000005</v>
      </c>
      <c r="AM69" s="981">
        <v>18948.392</v>
      </c>
      <c r="AN69" s="981">
        <v>26851.399000000001</v>
      </c>
      <c r="AO69" s="981">
        <v>32827.836000000003</v>
      </c>
      <c r="AP69" s="981">
        <v>35175.620000000003</v>
      </c>
      <c r="AQ69" s="981">
        <v>36087</v>
      </c>
      <c r="AR69" s="888">
        <v>37139.987000000001</v>
      </c>
    </row>
    <row r="70" spans="1:44" s="11" customFormat="1">
      <c r="A70" s="995" t="s">
        <v>135</v>
      </c>
      <c r="B70" s="4"/>
      <c r="C70" s="311"/>
      <c r="D70" s="311"/>
      <c r="E70" s="311"/>
      <c r="F70" s="311"/>
      <c r="G70" s="311"/>
      <c r="H70" s="311"/>
      <c r="I70" s="311"/>
      <c r="J70" s="311"/>
      <c r="K70" s="311"/>
      <c r="L70" s="311"/>
      <c r="M70" s="311"/>
      <c r="N70" s="311"/>
      <c r="O70" s="311"/>
      <c r="P70" s="311"/>
      <c r="Q70" s="311" t="s">
        <v>1</v>
      </c>
      <c r="R70" s="311" t="s">
        <v>1</v>
      </c>
      <c r="S70" s="311" t="s">
        <v>1</v>
      </c>
      <c r="T70" s="311" t="s">
        <v>1</v>
      </c>
      <c r="U70" s="311" t="s">
        <v>1</v>
      </c>
      <c r="V70" s="311" t="s">
        <v>1</v>
      </c>
      <c r="W70" s="982"/>
      <c r="X70" s="982"/>
      <c r="Y70" s="982"/>
      <c r="Z70" s="982">
        <v>27328</v>
      </c>
      <c r="AA70" s="982">
        <v>29971</v>
      </c>
      <c r="AB70" s="71">
        <v>31691</v>
      </c>
      <c r="AC70" s="71">
        <v>35863</v>
      </c>
      <c r="AD70" s="981">
        <v>42570</v>
      </c>
      <c r="AE70" s="196">
        <v>36200</v>
      </c>
      <c r="AF70" s="62">
        <v>36426</v>
      </c>
      <c r="AG70" s="62">
        <v>40195</v>
      </c>
      <c r="AH70" s="994" t="s">
        <v>318</v>
      </c>
      <c r="AI70" s="71">
        <v>51344</v>
      </c>
      <c r="AJ70" s="988">
        <v>65482</v>
      </c>
      <c r="AK70" s="981">
        <v>75921.451000000001</v>
      </c>
      <c r="AL70" s="981">
        <v>10098.708000000001</v>
      </c>
      <c r="AM70" s="981">
        <v>19913.446</v>
      </c>
      <c r="AN70" s="981">
        <v>28721.09</v>
      </c>
      <c r="AO70" s="981">
        <v>35166.802000000003</v>
      </c>
      <c r="AP70" s="981">
        <v>39733.495000000003</v>
      </c>
      <c r="AQ70" s="981">
        <v>43535</v>
      </c>
      <c r="AR70" s="888">
        <v>47474.64</v>
      </c>
    </row>
    <row r="71" spans="1:44" s="11" customFormat="1">
      <c r="A71" s="995" t="s">
        <v>110</v>
      </c>
      <c r="B71" s="4"/>
      <c r="C71" s="311"/>
      <c r="D71" s="311"/>
      <c r="E71" s="311"/>
      <c r="F71" s="311"/>
      <c r="G71" s="311"/>
      <c r="H71" s="311"/>
      <c r="I71" s="311"/>
      <c r="J71" s="311"/>
      <c r="K71" s="311"/>
      <c r="L71" s="311"/>
      <c r="M71" s="311"/>
      <c r="N71" s="311"/>
      <c r="O71" s="311"/>
      <c r="P71" s="311"/>
      <c r="Q71" s="311" t="s">
        <v>1</v>
      </c>
      <c r="R71" s="311" t="s">
        <v>1</v>
      </c>
      <c r="S71" s="311" t="s">
        <v>1</v>
      </c>
      <c r="T71" s="311" t="s">
        <v>1</v>
      </c>
      <c r="U71" s="311" t="s">
        <v>1</v>
      </c>
      <c r="V71" s="311" t="s">
        <v>1</v>
      </c>
      <c r="W71" s="982">
        <v>2328</v>
      </c>
      <c r="X71" s="982">
        <v>1329</v>
      </c>
      <c r="Y71" s="982">
        <v>2365</v>
      </c>
      <c r="Z71" s="982">
        <v>2312</v>
      </c>
      <c r="AA71" s="982">
        <v>3524</v>
      </c>
      <c r="AB71" s="71">
        <v>9832</v>
      </c>
      <c r="AC71" s="71">
        <v>11598</v>
      </c>
      <c r="AD71" s="981">
        <v>14045</v>
      </c>
      <c r="AE71" s="62">
        <v>15328</v>
      </c>
      <c r="AF71" s="62">
        <v>17226</v>
      </c>
      <c r="AG71" s="62">
        <v>20323</v>
      </c>
      <c r="AH71" s="994" t="s">
        <v>319</v>
      </c>
      <c r="AI71" s="71">
        <v>20466</v>
      </c>
      <c r="AJ71" s="1010">
        <v>21317</v>
      </c>
      <c r="AK71" s="981">
        <v>22640.732</v>
      </c>
      <c r="AL71" s="981">
        <v>3908.64</v>
      </c>
      <c r="AM71" s="981">
        <v>7063.777</v>
      </c>
      <c r="AN71" s="981">
        <v>9696.02</v>
      </c>
      <c r="AO71" s="981">
        <v>11730.591</v>
      </c>
      <c r="AP71" s="981">
        <v>12631.526</v>
      </c>
      <c r="AQ71" s="981">
        <v>13181</v>
      </c>
      <c r="AR71" s="888">
        <v>13949.823</v>
      </c>
    </row>
    <row r="72" spans="1:44" s="11" customFormat="1">
      <c r="A72" s="995" t="s">
        <v>111</v>
      </c>
      <c r="B72" s="4"/>
      <c r="C72" s="311"/>
      <c r="D72" s="311"/>
      <c r="E72" s="311"/>
      <c r="F72" s="311"/>
      <c r="G72" s="311"/>
      <c r="H72" s="311"/>
      <c r="I72" s="311"/>
      <c r="J72" s="311"/>
      <c r="K72" s="311"/>
      <c r="L72" s="311"/>
      <c r="M72" s="311"/>
      <c r="N72" s="311"/>
      <c r="O72" s="311"/>
      <c r="P72" s="311"/>
      <c r="Q72" s="311" t="s">
        <v>1</v>
      </c>
      <c r="R72" s="311" t="s">
        <v>1</v>
      </c>
      <c r="S72" s="311" t="s">
        <v>1</v>
      </c>
      <c r="T72" s="311" t="s">
        <v>1</v>
      </c>
      <c r="U72" s="311" t="s">
        <v>1</v>
      </c>
      <c r="V72" s="311" t="s">
        <v>1</v>
      </c>
      <c r="W72" s="982">
        <v>33362</v>
      </c>
      <c r="X72" s="982">
        <v>35970</v>
      </c>
      <c r="Y72" s="982">
        <v>34379</v>
      </c>
      <c r="Z72" s="982">
        <v>31390</v>
      </c>
      <c r="AA72" s="982">
        <v>24523</v>
      </c>
      <c r="AB72" s="71">
        <v>36579</v>
      </c>
      <c r="AC72" s="71">
        <v>39255</v>
      </c>
      <c r="AD72" s="981">
        <v>40592</v>
      </c>
      <c r="AE72" s="62">
        <v>41638</v>
      </c>
      <c r="AF72" s="62">
        <v>44094</v>
      </c>
      <c r="AG72" s="62">
        <v>53704</v>
      </c>
      <c r="AH72" s="994" t="s">
        <v>320</v>
      </c>
      <c r="AI72" s="71">
        <v>65653</v>
      </c>
      <c r="AJ72" s="988">
        <v>83944</v>
      </c>
      <c r="AK72" s="981">
        <v>105139.121</v>
      </c>
      <c r="AL72" s="981">
        <v>12145.18</v>
      </c>
      <c r="AM72" s="981">
        <v>23779.780999999999</v>
      </c>
      <c r="AN72" s="981">
        <v>34705.83</v>
      </c>
      <c r="AO72" s="981">
        <v>45233.928999999996</v>
      </c>
      <c r="AP72" s="981">
        <v>53559.608</v>
      </c>
      <c r="AQ72" s="981">
        <v>62642</v>
      </c>
      <c r="AR72" s="888">
        <v>73179.347999999998</v>
      </c>
    </row>
    <row r="73" spans="1:44" s="11" customFormat="1">
      <c r="A73" s="995" t="s">
        <v>388</v>
      </c>
      <c r="B73" s="4"/>
      <c r="C73" s="311"/>
      <c r="D73" s="311"/>
      <c r="E73" s="311"/>
      <c r="F73" s="311"/>
      <c r="G73" s="311"/>
      <c r="H73" s="311"/>
      <c r="I73" s="311"/>
      <c r="J73" s="311"/>
      <c r="K73" s="311"/>
      <c r="L73" s="311"/>
      <c r="M73" s="311"/>
      <c r="N73" s="311"/>
      <c r="O73" s="311"/>
      <c r="P73" s="311"/>
      <c r="Q73" s="311" t="s">
        <v>1</v>
      </c>
      <c r="R73" s="311" t="s">
        <v>1</v>
      </c>
      <c r="S73" s="311" t="s">
        <v>1</v>
      </c>
      <c r="T73" s="311" t="s">
        <v>1</v>
      </c>
      <c r="U73" s="311" t="s">
        <v>1</v>
      </c>
      <c r="V73" s="311" t="s">
        <v>1</v>
      </c>
      <c r="W73" s="982">
        <v>6923</v>
      </c>
      <c r="X73" s="982">
        <v>6868</v>
      </c>
      <c r="Y73" s="982">
        <v>5457</v>
      </c>
      <c r="Z73" s="982">
        <v>5740</v>
      </c>
      <c r="AA73" s="982">
        <v>11041</v>
      </c>
      <c r="AB73" s="71">
        <v>11874</v>
      </c>
      <c r="AC73" s="71">
        <v>13612</v>
      </c>
      <c r="AD73" s="981">
        <v>14773</v>
      </c>
      <c r="AE73" s="62">
        <v>11989</v>
      </c>
      <c r="AF73" s="62">
        <v>14258</v>
      </c>
      <c r="AG73" s="62">
        <v>13562</v>
      </c>
      <c r="AH73" s="994" t="s">
        <v>321</v>
      </c>
      <c r="AI73" s="71">
        <v>18067</v>
      </c>
      <c r="AJ73" s="1010">
        <v>23024</v>
      </c>
      <c r="AK73" s="981">
        <v>28134.222000000002</v>
      </c>
      <c r="AL73" s="981">
        <v>4808.4269999999997</v>
      </c>
      <c r="AM73" s="981">
        <v>9051.125</v>
      </c>
      <c r="AN73" s="981">
        <v>12880.246999999999</v>
      </c>
      <c r="AO73" s="981">
        <v>14460.673000000001</v>
      </c>
      <c r="AP73" s="981">
        <v>15119.564</v>
      </c>
      <c r="AQ73" s="981">
        <v>15797</v>
      </c>
      <c r="AR73" s="888">
        <v>16395.963</v>
      </c>
    </row>
    <row r="74" spans="1:44" s="11" customFormat="1">
      <c r="A74" s="995" t="s">
        <v>136</v>
      </c>
      <c r="B74" s="4"/>
      <c r="C74" s="311"/>
      <c r="D74" s="311"/>
      <c r="E74" s="311"/>
      <c r="F74" s="311"/>
      <c r="G74" s="311"/>
      <c r="H74" s="311"/>
      <c r="I74" s="311"/>
      <c r="J74" s="311"/>
      <c r="K74" s="311"/>
      <c r="L74" s="311"/>
      <c r="M74" s="311"/>
      <c r="N74" s="311"/>
      <c r="O74" s="311"/>
      <c r="P74" s="311"/>
      <c r="Q74" s="311" t="s">
        <v>1</v>
      </c>
      <c r="R74" s="311" t="s">
        <v>1</v>
      </c>
      <c r="S74" s="311" t="s">
        <v>1</v>
      </c>
      <c r="T74" s="311" t="s">
        <v>1</v>
      </c>
      <c r="U74" s="311" t="s">
        <v>1</v>
      </c>
      <c r="V74" s="311" t="s">
        <v>1</v>
      </c>
      <c r="W74" s="982">
        <v>11013</v>
      </c>
      <c r="X74" s="982">
        <v>12776</v>
      </c>
      <c r="Y74" s="982">
        <v>24037</v>
      </c>
      <c r="Z74" s="982">
        <v>16865</v>
      </c>
      <c r="AA74" s="982">
        <v>8790</v>
      </c>
      <c r="AB74" s="71">
        <v>16134</v>
      </c>
      <c r="AC74" s="71">
        <v>19889</v>
      </c>
      <c r="AD74" s="981">
        <v>18447</v>
      </c>
      <c r="AE74" s="62">
        <v>18922</v>
      </c>
      <c r="AF74" s="62">
        <v>18097</v>
      </c>
      <c r="AG74" s="62">
        <v>22644</v>
      </c>
      <c r="AH74" s="994" t="s">
        <v>322</v>
      </c>
      <c r="AI74" s="71">
        <v>29473</v>
      </c>
      <c r="AJ74" s="988">
        <v>25796</v>
      </c>
      <c r="AK74" s="981">
        <v>31941.661</v>
      </c>
      <c r="AL74" s="981">
        <v>6565.4369999999999</v>
      </c>
      <c r="AM74" s="981">
        <v>13332.046</v>
      </c>
      <c r="AN74" s="981">
        <v>17723.066999999999</v>
      </c>
      <c r="AO74" s="981">
        <v>20279.991999999998</v>
      </c>
      <c r="AP74" s="981">
        <v>21177.746999999999</v>
      </c>
      <c r="AQ74" s="981">
        <v>21810</v>
      </c>
      <c r="AR74" s="888">
        <v>22399.792000000001</v>
      </c>
    </row>
    <row r="75" spans="1:44" s="11" customFormat="1">
      <c r="A75" s="995" t="s">
        <v>112</v>
      </c>
      <c r="B75" s="4"/>
      <c r="C75" s="311"/>
      <c r="D75" s="311"/>
      <c r="E75" s="311"/>
      <c r="F75" s="311"/>
      <c r="G75" s="311"/>
      <c r="H75" s="311"/>
      <c r="I75" s="311"/>
      <c r="J75" s="311"/>
      <c r="K75" s="311"/>
      <c r="L75" s="311"/>
      <c r="M75" s="311"/>
      <c r="N75" s="311"/>
      <c r="O75" s="311"/>
      <c r="P75" s="311"/>
      <c r="Q75" s="311" t="s">
        <v>1</v>
      </c>
      <c r="R75" s="311" t="s">
        <v>1</v>
      </c>
      <c r="S75" s="311" t="s">
        <v>1</v>
      </c>
      <c r="T75" s="311" t="s">
        <v>1</v>
      </c>
      <c r="U75" s="311" t="s">
        <v>1</v>
      </c>
      <c r="V75" s="311" t="s">
        <v>1</v>
      </c>
      <c r="W75" s="982"/>
      <c r="X75" s="982"/>
      <c r="Y75" s="982"/>
      <c r="Z75" s="982">
        <v>168</v>
      </c>
      <c r="AA75" s="982">
        <v>117</v>
      </c>
      <c r="AB75" s="71">
        <v>1392</v>
      </c>
      <c r="AC75" s="71">
        <v>1898</v>
      </c>
      <c r="AD75" s="981">
        <v>1671</v>
      </c>
      <c r="AE75" s="62">
        <v>2353</v>
      </c>
      <c r="AF75" s="62">
        <v>2164</v>
      </c>
      <c r="AG75" s="62">
        <v>2849</v>
      </c>
      <c r="AH75" s="994" t="s">
        <v>323</v>
      </c>
      <c r="AI75" s="71">
        <v>4034</v>
      </c>
      <c r="AJ75" s="1010">
        <v>5341</v>
      </c>
      <c r="AK75" s="981">
        <v>6457.3760000000002</v>
      </c>
      <c r="AL75" s="981">
        <v>1097.8579999999999</v>
      </c>
      <c r="AM75" s="981">
        <v>2217.9119999999998</v>
      </c>
      <c r="AN75" s="981">
        <v>3102.5610000000001</v>
      </c>
      <c r="AO75" s="981">
        <v>3742.6950000000002</v>
      </c>
      <c r="AP75" s="981">
        <v>4073.9569999999999</v>
      </c>
      <c r="AQ75" s="981">
        <v>4359</v>
      </c>
      <c r="AR75" s="888">
        <v>4655.7709999999997</v>
      </c>
    </row>
    <row r="76" spans="1:44" s="11" customFormat="1">
      <c r="A76" s="995" t="s">
        <v>113</v>
      </c>
      <c r="B76" s="4"/>
      <c r="C76" s="311"/>
      <c r="D76" s="311"/>
      <c r="E76" s="311"/>
      <c r="F76" s="311"/>
      <c r="G76" s="311"/>
      <c r="H76" s="311"/>
      <c r="I76" s="311"/>
      <c r="J76" s="311"/>
      <c r="K76" s="311"/>
      <c r="L76" s="311"/>
      <c r="M76" s="311"/>
      <c r="N76" s="311"/>
      <c r="O76" s="311"/>
      <c r="P76" s="311"/>
      <c r="Q76" s="311" t="s">
        <v>1</v>
      </c>
      <c r="R76" s="311" t="s">
        <v>1</v>
      </c>
      <c r="S76" s="311" t="s">
        <v>1</v>
      </c>
      <c r="T76" s="311" t="s">
        <v>1</v>
      </c>
      <c r="U76" s="311" t="s">
        <v>1</v>
      </c>
      <c r="V76" s="311" t="s">
        <v>1</v>
      </c>
      <c r="W76" s="982">
        <v>519</v>
      </c>
      <c r="X76" s="982">
        <v>592</v>
      </c>
      <c r="Y76" s="982">
        <v>620</v>
      </c>
      <c r="Z76" s="982">
        <v>682</v>
      </c>
      <c r="AA76" s="982">
        <v>3181</v>
      </c>
      <c r="AB76" s="71">
        <v>5802</v>
      </c>
      <c r="AC76" s="71">
        <v>7648</v>
      </c>
      <c r="AD76" s="981">
        <v>7778</v>
      </c>
      <c r="AE76" s="62">
        <v>6654</v>
      </c>
      <c r="AF76" s="62">
        <v>7209</v>
      </c>
      <c r="AG76" s="62">
        <v>7734</v>
      </c>
      <c r="AH76" s="994" t="s">
        <v>324</v>
      </c>
      <c r="AI76" s="71">
        <v>10205</v>
      </c>
      <c r="AJ76" s="988">
        <v>12173</v>
      </c>
      <c r="AK76" s="981">
        <v>15661.763999999999</v>
      </c>
      <c r="AL76" s="981">
        <v>1954.3620000000001</v>
      </c>
      <c r="AM76" s="981">
        <v>4072.7910000000002</v>
      </c>
      <c r="AN76" s="981">
        <v>5583.6239999999998</v>
      </c>
      <c r="AO76" s="987">
        <v>6881.3450000000003</v>
      </c>
      <c r="AP76" s="981">
        <v>7462.6959999999999</v>
      </c>
      <c r="AQ76" s="981">
        <v>8159</v>
      </c>
      <c r="AR76" s="888">
        <v>8790.2900000000009</v>
      </c>
    </row>
    <row r="77" spans="1:44" s="11" customFormat="1">
      <c r="A77" s="998" t="s">
        <v>102</v>
      </c>
      <c r="B77" s="999" t="s">
        <v>74</v>
      </c>
      <c r="C77" s="1"/>
      <c r="D77" s="1"/>
      <c r="E77" s="1"/>
      <c r="F77" s="1"/>
      <c r="G77" s="1"/>
      <c r="H77" s="1"/>
      <c r="I77" s="1"/>
      <c r="J77" s="1"/>
      <c r="K77" s="1"/>
      <c r="L77" s="1"/>
      <c r="M77" s="1"/>
      <c r="N77" s="1"/>
      <c r="O77" s="1"/>
      <c r="P77" s="1"/>
      <c r="Q77" s="1"/>
      <c r="R77" s="1"/>
      <c r="S77" s="1"/>
      <c r="T77" s="1"/>
      <c r="U77" s="1"/>
      <c r="V77" s="1"/>
      <c r="W77" s="4"/>
      <c r="X77" s="4"/>
      <c r="Y77" s="4"/>
      <c r="Z77" s="4"/>
      <c r="AA77" s="4"/>
      <c r="AB77" s="62"/>
      <c r="AC77" s="4"/>
      <c r="AD77" s="1000"/>
      <c r="AE77" s="62"/>
      <c r="AF77" s="62"/>
      <c r="AG77" s="62"/>
      <c r="AH77" s="994"/>
      <c r="AI77" s="62"/>
      <c r="AJ77" s="304"/>
      <c r="AK77" s="4"/>
      <c r="AL77" s="985"/>
      <c r="AM77" s="984"/>
      <c r="AN77" s="984"/>
      <c r="AO77" s="985"/>
      <c r="AP77" s="984"/>
      <c r="AQ77" s="984"/>
      <c r="AR77" s="1088"/>
    </row>
    <row r="78" spans="1:44" s="11" customFormat="1">
      <c r="A78" s="993" t="s">
        <v>108</v>
      </c>
      <c r="B78" s="4"/>
      <c r="C78" s="311">
        <v>100.5</v>
      </c>
      <c r="D78" s="311">
        <v>91.5</v>
      </c>
      <c r="E78" s="311">
        <v>98.1</v>
      </c>
      <c r="F78" s="311">
        <v>84.8</v>
      </c>
      <c r="G78" s="311">
        <v>85.6</v>
      </c>
      <c r="H78" s="311">
        <v>99.7</v>
      </c>
      <c r="I78" s="311">
        <v>101.6</v>
      </c>
      <c r="J78" s="311">
        <v>95.8</v>
      </c>
      <c r="K78" s="311">
        <v>94.5</v>
      </c>
      <c r="L78" s="311">
        <v>98.4</v>
      </c>
      <c r="M78" s="311">
        <v>102.1</v>
      </c>
      <c r="N78" s="311">
        <v>91.3</v>
      </c>
      <c r="O78" s="311">
        <v>117.2</v>
      </c>
      <c r="P78" s="311">
        <v>95.4</v>
      </c>
      <c r="Q78" s="311">
        <v>100.6</v>
      </c>
      <c r="R78" s="311">
        <v>101.2</v>
      </c>
      <c r="S78" s="311">
        <v>118.7</v>
      </c>
      <c r="T78" s="311">
        <v>113.2</v>
      </c>
      <c r="U78" s="311">
        <v>109.8</v>
      </c>
      <c r="V78" s="311">
        <v>109.9</v>
      </c>
      <c r="W78" s="311">
        <v>154.9</v>
      </c>
      <c r="X78" s="311">
        <v>110.4</v>
      </c>
      <c r="Y78" s="311">
        <v>94.1</v>
      </c>
      <c r="Z78" s="311">
        <v>115.7</v>
      </c>
      <c r="AA78" s="311">
        <v>89.6</v>
      </c>
      <c r="AB78" s="1001">
        <v>99.5</v>
      </c>
      <c r="AC78" s="4">
        <v>107.4</v>
      </c>
      <c r="AD78" s="985">
        <v>102.5</v>
      </c>
      <c r="AE78" s="1001">
        <v>95.2</v>
      </c>
      <c r="AF78" s="1001">
        <v>100.2</v>
      </c>
      <c r="AG78" s="1001">
        <v>115.2</v>
      </c>
      <c r="AH78" s="994" t="s">
        <v>325</v>
      </c>
      <c r="AI78" s="304">
        <v>95.4</v>
      </c>
      <c r="AJ78" s="1004">
        <v>96.7</v>
      </c>
      <c r="AK78" s="985">
        <v>105.4</v>
      </c>
      <c r="AL78" s="985">
        <v>102</v>
      </c>
      <c r="AM78" s="985">
        <v>103.5</v>
      </c>
      <c r="AN78" s="985">
        <v>101.5</v>
      </c>
      <c r="AO78" s="985">
        <v>102.8</v>
      </c>
      <c r="AP78" s="985">
        <v>99.2</v>
      </c>
      <c r="AQ78" s="985">
        <v>99.8</v>
      </c>
      <c r="AR78" s="774">
        <v>99.7</v>
      </c>
    </row>
    <row r="79" spans="1:44" s="11" customFormat="1">
      <c r="A79" s="995" t="s">
        <v>109</v>
      </c>
      <c r="B79" s="4"/>
      <c r="C79" s="311"/>
      <c r="D79" s="311"/>
      <c r="E79" s="311"/>
      <c r="F79" s="311"/>
      <c r="G79" s="311"/>
      <c r="H79" s="311"/>
      <c r="I79" s="311"/>
      <c r="J79" s="311"/>
      <c r="K79" s="311"/>
      <c r="L79" s="311"/>
      <c r="M79" s="311"/>
      <c r="N79" s="311"/>
      <c r="O79" s="311"/>
      <c r="P79" s="311"/>
      <c r="Q79" s="311" t="s">
        <v>1</v>
      </c>
      <c r="R79" s="311" t="s">
        <v>1</v>
      </c>
      <c r="S79" s="311" t="s">
        <v>1</v>
      </c>
      <c r="T79" s="311" t="s">
        <v>1</v>
      </c>
      <c r="U79" s="311" t="s">
        <v>1</v>
      </c>
      <c r="V79" s="311" t="s">
        <v>1</v>
      </c>
      <c r="W79" s="1003">
        <v>267.8</v>
      </c>
      <c r="X79" s="1003">
        <v>144.9</v>
      </c>
      <c r="Y79" s="1003">
        <v>83.4</v>
      </c>
      <c r="Z79" s="1003">
        <v>112.4</v>
      </c>
      <c r="AA79" s="1003">
        <v>92.4</v>
      </c>
      <c r="AB79" s="4">
        <v>49.9</v>
      </c>
      <c r="AC79" s="3">
        <v>169.2</v>
      </c>
      <c r="AD79" s="985">
        <v>103</v>
      </c>
      <c r="AE79" s="1001">
        <v>62.3</v>
      </c>
      <c r="AF79" s="1001">
        <v>110.1</v>
      </c>
      <c r="AG79" s="1001">
        <v>122.1</v>
      </c>
      <c r="AH79" s="994" t="s">
        <v>326</v>
      </c>
      <c r="AI79" s="304">
        <v>73.099999999999994</v>
      </c>
      <c r="AJ79" s="985">
        <v>97.4</v>
      </c>
      <c r="AK79" s="985">
        <v>109.4</v>
      </c>
      <c r="AL79" s="985">
        <v>92.1</v>
      </c>
      <c r="AM79" s="985">
        <v>94.8</v>
      </c>
      <c r="AN79" s="985">
        <v>95.4</v>
      </c>
      <c r="AO79" s="985">
        <v>101</v>
      </c>
      <c r="AP79" s="985">
        <v>98.4</v>
      </c>
      <c r="AQ79" s="985">
        <v>90.7</v>
      </c>
      <c r="AR79" s="774">
        <v>85.5</v>
      </c>
    </row>
    <row r="80" spans="1:44" s="11" customFormat="1">
      <c r="A80" s="995" t="s">
        <v>135</v>
      </c>
      <c r="B80" s="4"/>
      <c r="C80" s="311"/>
      <c r="D80" s="311"/>
      <c r="E80" s="311"/>
      <c r="F80" s="311"/>
      <c r="G80" s="311"/>
      <c r="H80" s="311"/>
      <c r="I80" s="311"/>
      <c r="J80" s="311"/>
      <c r="K80" s="311"/>
      <c r="L80" s="311"/>
      <c r="M80" s="311"/>
      <c r="N80" s="311"/>
      <c r="O80" s="311"/>
      <c r="P80" s="311"/>
      <c r="Q80" s="311" t="s">
        <v>1</v>
      </c>
      <c r="R80" s="311" t="s">
        <v>1</v>
      </c>
      <c r="S80" s="311" t="s">
        <v>1</v>
      </c>
      <c r="T80" s="311" t="s">
        <v>1</v>
      </c>
      <c r="U80" s="311" t="s">
        <v>1</v>
      </c>
      <c r="V80" s="311" t="s">
        <v>1</v>
      </c>
      <c r="W80" s="1003">
        <v>37.799999999999997</v>
      </c>
      <c r="X80" s="1003"/>
      <c r="Y80" s="1003"/>
      <c r="Z80" s="1003">
        <v>105.7</v>
      </c>
      <c r="AA80" s="1003">
        <v>108.7</v>
      </c>
      <c r="AB80" s="4">
        <v>100.5</v>
      </c>
      <c r="AC80" s="3">
        <v>99.3</v>
      </c>
      <c r="AD80" s="985">
        <v>104.3</v>
      </c>
      <c r="AE80" s="1001">
        <v>98.2</v>
      </c>
      <c r="AF80" s="1001">
        <v>99.1</v>
      </c>
      <c r="AG80" s="1001">
        <v>101.4</v>
      </c>
      <c r="AH80" s="994" t="s">
        <v>327</v>
      </c>
      <c r="AI80" s="304">
        <v>102.1</v>
      </c>
      <c r="AJ80" s="1004">
        <v>100.1</v>
      </c>
      <c r="AK80" s="985">
        <v>102.8</v>
      </c>
      <c r="AL80" s="985">
        <v>107.7</v>
      </c>
      <c r="AM80" s="985">
        <v>105.2</v>
      </c>
      <c r="AN80" s="985">
        <v>103.6</v>
      </c>
      <c r="AO80" s="985">
        <v>103.8</v>
      </c>
      <c r="AP80" s="985">
        <v>100.4</v>
      </c>
      <c r="AQ80" s="985">
        <v>101</v>
      </c>
      <c r="AR80" s="774">
        <v>100.9</v>
      </c>
    </row>
    <row r="81" spans="1:44" s="11" customFormat="1">
      <c r="A81" s="995" t="s">
        <v>110</v>
      </c>
      <c r="B81" s="4"/>
      <c r="C81" s="311"/>
      <c r="D81" s="311"/>
      <c r="E81" s="311"/>
      <c r="F81" s="311"/>
      <c r="G81" s="311"/>
      <c r="H81" s="311"/>
      <c r="I81" s="311"/>
      <c r="J81" s="311"/>
      <c r="K81" s="311"/>
      <c r="L81" s="311"/>
      <c r="M81" s="311"/>
      <c r="N81" s="311"/>
      <c r="O81" s="311"/>
      <c r="P81" s="311"/>
      <c r="Q81" s="311" t="s">
        <v>1</v>
      </c>
      <c r="R81" s="311" t="s">
        <v>1</v>
      </c>
      <c r="S81" s="311" t="s">
        <v>1</v>
      </c>
      <c r="T81" s="311" t="s">
        <v>1</v>
      </c>
      <c r="U81" s="311" t="s">
        <v>1</v>
      </c>
      <c r="V81" s="311" t="s">
        <v>1</v>
      </c>
      <c r="W81" s="1003">
        <v>205.8</v>
      </c>
      <c r="X81" s="1003">
        <v>55.3</v>
      </c>
      <c r="Y81" s="1003">
        <v>44.9</v>
      </c>
      <c r="Z81" s="1003">
        <v>176.1</v>
      </c>
      <c r="AA81" s="1003">
        <v>76.8</v>
      </c>
      <c r="AB81" s="3">
        <v>246</v>
      </c>
      <c r="AC81" s="3">
        <v>100.3</v>
      </c>
      <c r="AD81" s="985">
        <v>113.1</v>
      </c>
      <c r="AE81" s="1001">
        <v>123.7</v>
      </c>
      <c r="AF81" s="1001">
        <v>101.2</v>
      </c>
      <c r="AG81" s="1001">
        <v>130.4</v>
      </c>
      <c r="AH81" s="994" t="s">
        <v>328</v>
      </c>
      <c r="AI81" s="304">
        <v>90.5</v>
      </c>
      <c r="AJ81" s="985">
        <v>84.8</v>
      </c>
      <c r="AK81" s="985">
        <v>98.1</v>
      </c>
      <c r="AL81" s="985">
        <v>95.4</v>
      </c>
      <c r="AM81" s="985">
        <v>88.7</v>
      </c>
      <c r="AN81" s="985">
        <v>89.6</v>
      </c>
      <c r="AO81" s="985">
        <v>88.7</v>
      </c>
      <c r="AP81" s="985">
        <v>84.7</v>
      </c>
      <c r="AQ81" s="985">
        <v>92.7</v>
      </c>
      <c r="AR81" s="774">
        <v>91.8</v>
      </c>
    </row>
    <row r="82" spans="1:44" s="11" customFormat="1">
      <c r="A82" s="995" t="s">
        <v>111</v>
      </c>
      <c r="B82" s="4"/>
      <c r="C82" s="311"/>
      <c r="D82" s="311"/>
      <c r="E82" s="311"/>
      <c r="F82" s="311"/>
      <c r="G82" s="311"/>
      <c r="H82" s="311"/>
      <c r="I82" s="311"/>
      <c r="J82" s="311"/>
      <c r="K82" s="311"/>
      <c r="L82" s="311"/>
      <c r="M82" s="311"/>
      <c r="N82" s="311"/>
      <c r="O82" s="311"/>
      <c r="P82" s="311"/>
      <c r="Q82" s="311" t="s">
        <v>1</v>
      </c>
      <c r="R82" s="311" t="s">
        <v>1</v>
      </c>
      <c r="S82" s="311" t="s">
        <v>1</v>
      </c>
      <c r="T82" s="311" t="s">
        <v>1</v>
      </c>
      <c r="U82" s="311" t="s">
        <v>1</v>
      </c>
      <c r="V82" s="311" t="s">
        <v>1</v>
      </c>
      <c r="W82" s="1003">
        <v>325.60000000000002</v>
      </c>
      <c r="X82" s="1003">
        <v>67.599999999999994</v>
      </c>
      <c r="Y82" s="1003">
        <v>202.4</v>
      </c>
      <c r="Z82" s="1003">
        <v>123.2</v>
      </c>
      <c r="AA82" s="1003">
        <v>161.80000000000001</v>
      </c>
      <c r="AB82" s="4">
        <v>167.1</v>
      </c>
      <c r="AC82" s="3">
        <v>101.1</v>
      </c>
      <c r="AD82" s="985">
        <v>103.4</v>
      </c>
      <c r="AE82" s="1001">
        <v>112.7</v>
      </c>
      <c r="AF82" s="1001">
        <v>95.6</v>
      </c>
      <c r="AG82" s="1001">
        <v>119.6</v>
      </c>
      <c r="AH82" s="994" t="s">
        <v>329</v>
      </c>
      <c r="AI82" s="304">
        <v>101.9</v>
      </c>
      <c r="AJ82" s="1004">
        <v>100.7</v>
      </c>
      <c r="AK82" s="985">
        <v>101.9</v>
      </c>
      <c r="AL82" s="985">
        <v>100.7</v>
      </c>
      <c r="AM82" s="985">
        <v>99.9</v>
      </c>
      <c r="AN82" s="985">
        <v>102.9</v>
      </c>
      <c r="AO82" s="985">
        <v>108</v>
      </c>
      <c r="AP82" s="985">
        <v>103.1</v>
      </c>
      <c r="AQ82" s="985">
        <v>102.4</v>
      </c>
      <c r="AR82" s="774">
        <v>102.1</v>
      </c>
    </row>
    <row r="83" spans="1:44" s="11" customFormat="1">
      <c r="A83" s="995" t="s">
        <v>388</v>
      </c>
      <c r="B83" s="4"/>
      <c r="C83" s="311"/>
      <c r="D83" s="311"/>
      <c r="E83" s="311"/>
      <c r="F83" s="311"/>
      <c r="G83" s="311"/>
      <c r="H83" s="311"/>
      <c r="I83" s="311"/>
      <c r="J83" s="311"/>
      <c r="K83" s="311"/>
      <c r="L83" s="311"/>
      <c r="M83" s="311"/>
      <c r="N83" s="311"/>
      <c r="O83" s="311"/>
      <c r="P83" s="311"/>
      <c r="Q83" s="311" t="s">
        <v>1</v>
      </c>
      <c r="R83" s="311" t="s">
        <v>1</v>
      </c>
      <c r="S83" s="311" t="s">
        <v>1</v>
      </c>
      <c r="T83" s="311" t="s">
        <v>1</v>
      </c>
      <c r="U83" s="311" t="s">
        <v>1</v>
      </c>
      <c r="V83" s="311" t="s">
        <v>1</v>
      </c>
      <c r="W83" s="1003">
        <v>123.7</v>
      </c>
      <c r="X83" s="1003">
        <v>104.8</v>
      </c>
      <c r="Y83" s="1003">
        <v>199.7</v>
      </c>
      <c r="Z83" s="1003">
        <v>106.3</v>
      </c>
      <c r="AA83" s="1003">
        <v>57.3</v>
      </c>
      <c r="AB83" s="4">
        <v>105.1</v>
      </c>
      <c r="AC83" s="3">
        <v>96.6</v>
      </c>
      <c r="AD83" s="985">
        <v>98</v>
      </c>
      <c r="AE83" s="1001">
        <v>90.3</v>
      </c>
      <c r="AF83" s="1001">
        <v>117.1</v>
      </c>
      <c r="AG83" s="1001">
        <v>95.5</v>
      </c>
      <c r="AH83" s="994" t="s">
        <v>330</v>
      </c>
      <c r="AI83" s="304">
        <v>95.8</v>
      </c>
      <c r="AJ83" s="985">
        <v>104.3</v>
      </c>
      <c r="AK83" s="985">
        <v>109.2</v>
      </c>
      <c r="AL83" s="985">
        <v>97.7</v>
      </c>
      <c r="AM83" s="985">
        <v>93.1</v>
      </c>
      <c r="AN83" s="985">
        <v>93.3</v>
      </c>
      <c r="AO83" s="985">
        <v>89.3</v>
      </c>
      <c r="AP83" s="985">
        <v>104.6</v>
      </c>
      <c r="AQ83" s="985">
        <v>121.5</v>
      </c>
      <c r="AR83" s="774">
        <v>134.4</v>
      </c>
    </row>
    <row r="84" spans="1:44" s="11" customFormat="1">
      <c r="A84" s="995" t="s">
        <v>136</v>
      </c>
      <c r="B84" s="4"/>
      <c r="C84" s="311"/>
      <c r="D84" s="311"/>
      <c r="E84" s="311"/>
      <c r="F84" s="311"/>
      <c r="G84" s="311"/>
      <c r="H84" s="311"/>
      <c r="I84" s="311"/>
      <c r="J84" s="311"/>
      <c r="K84" s="311"/>
      <c r="L84" s="311"/>
      <c r="M84" s="311"/>
      <c r="N84" s="311"/>
      <c r="O84" s="311"/>
      <c r="P84" s="311"/>
      <c r="Q84" s="311" t="s">
        <v>1</v>
      </c>
      <c r="R84" s="311" t="s">
        <v>1</v>
      </c>
      <c r="S84" s="311" t="s">
        <v>1</v>
      </c>
      <c r="T84" s="311" t="s">
        <v>1</v>
      </c>
      <c r="U84" s="311" t="s">
        <v>1</v>
      </c>
      <c r="V84" s="311" t="s">
        <v>1</v>
      </c>
      <c r="W84" s="1003">
        <v>96.7</v>
      </c>
      <c r="X84" s="1003">
        <v>116.9</v>
      </c>
      <c r="Y84" s="1003">
        <v>143.9</v>
      </c>
      <c r="Z84" s="1003">
        <v>83.3</v>
      </c>
      <c r="AA84" s="1003">
        <v>52.9</v>
      </c>
      <c r="AB84" s="4">
        <v>181.5</v>
      </c>
      <c r="AC84" s="3">
        <v>94.5</v>
      </c>
      <c r="AD84" s="985">
        <v>96.3</v>
      </c>
      <c r="AE84" s="1001">
        <v>119.1</v>
      </c>
      <c r="AF84" s="1001">
        <v>89.4</v>
      </c>
      <c r="AG84" s="1001">
        <v>123.7</v>
      </c>
      <c r="AH84" s="994" t="s">
        <v>331</v>
      </c>
      <c r="AI84" s="304">
        <v>112.8</v>
      </c>
      <c r="AJ84" s="1004">
        <v>75.7</v>
      </c>
      <c r="AK84" s="985">
        <v>111.7</v>
      </c>
      <c r="AL84" s="985">
        <v>113.1</v>
      </c>
      <c r="AM84" s="985">
        <v>120.4</v>
      </c>
      <c r="AN84" s="985">
        <v>113.1</v>
      </c>
      <c r="AO84" s="985">
        <v>112.3</v>
      </c>
      <c r="AP84" s="985">
        <v>100.6</v>
      </c>
      <c r="AQ84" s="985">
        <v>104.9</v>
      </c>
      <c r="AR84" s="774">
        <v>102.5</v>
      </c>
    </row>
    <row r="85" spans="1:44" s="11" customFormat="1">
      <c r="A85" s="995" t="s">
        <v>112</v>
      </c>
      <c r="B85" s="4"/>
      <c r="C85" s="311"/>
      <c r="D85" s="311"/>
      <c r="E85" s="311"/>
      <c r="F85" s="311"/>
      <c r="G85" s="311"/>
      <c r="H85" s="311"/>
      <c r="I85" s="311"/>
      <c r="J85" s="311"/>
      <c r="K85" s="311"/>
      <c r="L85" s="311"/>
      <c r="M85" s="311"/>
      <c r="N85" s="311"/>
      <c r="O85" s="311"/>
      <c r="P85" s="311"/>
      <c r="Q85" s="311" t="s">
        <v>1</v>
      </c>
      <c r="R85" s="311" t="s">
        <v>1</v>
      </c>
      <c r="S85" s="311" t="s">
        <v>1</v>
      </c>
      <c r="T85" s="311" t="s">
        <v>1</v>
      </c>
      <c r="U85" s="311" t="s">
        <v>1</v>
      </c>
      <c r="V85" s="311" t="s">
        <v>1</v>
      </c>
      <c r="W85" s="1003"/>
      <c r="X85" s="1003"/>
      <c r="Y85" s="1003"/>
      <c r="Z85" s="1003">
        <v>117.5</v>
      </c>
      <c r="AA85" s="1003">
        <v>40</v>
      </c>
      <c r="AB85" s="4">
        <v>137.30000000000001</v>
      </c>
      <c r="AC85" s="3">
        <v>110.3</v>
      </c>
      <c r="AD85" s="985">
        <v>85.2</v>
      </c>
      <c r="AE85" s="1001">
        <v>163.5</v>
      </c>
      <c r="AF85" s="1001">
        <v>84.6</v>
      </c>
      <c r="AG85" s="1001">
        <v>122.8</v>
      </c>
      <c r="AH85" s="994" t="s">
        <v>332</v>
      </c>
      <c r="AI85" s="304">
        <v>106.6</v>
      </c>
      <c r="AJ85" s="985">
        <v>111.8</v>
      </c>
      <c r="AK85" s="985">
        <v>110</v>
      </c>
      <c r="AL85" s="985">
        <v>106.8</v>
      </c>
      <c r="AM85" s="985">
        <v>105.9</v>
      </c>
      <c r="AN85" s="985">
        <v>100.7</v>
      </c>
      <c r="AO85" s="985">
        <v>102.7</v>
      </c>
      <c r="AP85" s="985">
        <v>95.7</v>
      </c>
      <c r="AQ85" s="985">
        <v>102.3</v>
      </c>
      <c r="AR85" s="774">
        <v>101.6</v>
      </c>
    </row>
    <row r="86" spans="1:44" s="11" customFormat="1">
      <c r="A86" s="995" t="s">
        <v>113</v>
      </c>
      <c r="B86" s="4"/>
      <c r="C86" s="311"/>
      <c r="D86" s="311"/>
      <c r="E86" s="311"/>
      <c r="F86" s="311"/>
      <c r="G86" s="311"/>
      <c r="H86" s="311"/>
      <c r="I86" s="311"/>
      <c r="J86" s="311"/>
      <c r="K86" s="311"/>
      <c r="L86" s="311"/>
      <c r="M86" s="311"/>
      <c r="N86" s="311"/>
      <c r="O86" s="311"/>
      <c r="P86" s="311"/>
      <c r="Q86" s="311" t="s">
        <v>1</v>
      </c>
      <c r="R86" s="311" t="s">
        <v>1</v>
      </c>
      <c r="S86" s="311" t="s">
        <v>1</v>
      </c>
      <c r="T86" s="311" t="s">
        <v>1</v>
      </c>
      <c r="U86" s="311" t="s">
        <v>1</v>
      </c>
      <c r="V86" s="311" t="s">
        <v>1</v>
      </c>
      <c r="W86" s="1003">
        <v>30.7</v>
      </c>
      <c r="X86" s="1003">
        <v>133.19999999999999</v>
      </c>
      <c r="Y86" s="1003">
        <v>98</v>
      </c>
      <c r="Z86" s="1003">
        <v>105.7</v>
      </c>
      <c r="AA86" s="1003">
        <v>78.099999999999994</v>
      </c>
      <c r="AB86" s="4">
        <v>174.2</v>
      </c>
      <c r="AC86" s="3">
        <v>108.2</v>
      </c>
      <c r="AD86" s="985">
        <v>98.2</v>
      </c>
      <c r="AE86" s="1001">
        <v>100</v>
      </c>
      <c r="AF86" s="1001">
        <v>101.8</v>
      </c>
      <c r="AG86" s="1001">
        <v>105.8</v>
      </c>
      <c r="AH86" s="994" t="s">
        <v>333</v>
      </c>
      <c r="AI86" s="304">
        <v>67.900000000000006</v>
      </c>
      <c r="AJ86" s="1004">
        <v>103.2</v>
      </c>
      <c r="AK86" s="985">
        <v>117.1</v>
      </c>
      <c r="AL86" s="4">
        <v>90.7</v>
      </c>
      <c r="AM86" s="985">
        <v>96.2</v>
      </c>
      <c r="AN86" s="985">
        <v>95.7</v>
      </c>
      <c r="AO86" s="989">
        <v>94.1</v>
      </c>
      <c r="AP86" s="985">
        <v>87.5</v>
      </c>
      <c r="AQ86" s="985">
        <v>94.9</v>
      </c>
      <c r="AR86" s="774">
        <v>91.7</v>
      </c>
    </row>
    <row r="87" spans="1:44" s="11" customFormat="1" ht="25.5">
      <c r="A87" s="1023" t="s">
        <v>267</v>
      </c>
      <c r="B87" s="991" t="s">
        <v>214</v>
      </c>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62"/>
      <c r="AC87" s="4"/>
      <c r="AD87" s="1000"/>
      <c r="AE87" s="62"/>
      <c r="AF87" s="62"/>
      <c r="AH87" s="1015"/>
      <c r="AI87" s="4"/>
      <c r="AJ87" s="71"/>
      <c r="AK87" s="4"/>
      <c r="AL87" s="981"/>
      <c r="AM87" s="989"/>
      <c r="AN87" s="989"/>
      <c r="AO87" s="981"/>
      <c r="AP87" s="989"/>
      <c r="AQ87" s="989"/>
      <c r="AR87" s="1090"/>
    </row>
    <row r="88" spans="1:44" s="11" customFormat="1">
      <c r="A88" s="993" t="s">
        <v>108</v>
      </c>
      <c r="B88" s="4"/>
      <c r="C88" s="311">
        <f>134/1000</f>
        <v>0.13400000000000001</v>
      </c>
      <c r="D88" s="311">
        <f>2188/1000</f>
        <v>2.1880000000000002</v>
      </c>
      <c r="E88" s="311">
        <f>22275/1000</f>
        <v>22.274999999999999</v>
      </c>
      <c r="F88" s="311">
        <f>593149/1000</f>
        <v>593.149</v>
      </c>
      <c r="G88" s="311">
        <f>1073247/1000</f>
        <v>1073.2470000000001</v>
      </c>
      <c r="H88" s="311">
        <f>1491801/1000</f>
        <v>1491.8009999999999</v>
      </c>
      <c r="I88" s="311">
        <f>1806640/1000</f>
        <v>1806.64</v>
      </c>
      <c r="J88" s="311">
        <f>3585857/1000</f>
        <v>3585.857</v>
      </c>
      <c r="K88" s="311">
        <f>3535217/1000</f>
        <v>3535.2170000000001</v>
      </c>
      <c r="L88" s="311">
        <f>5975025/1000</f>
        <v>5975.0249999999996</v>
      </c>
      <c r="M88" s="311">
        <f>5340305/1000</f>
        <v>5340.3050000000003</v>
      </c>
      <c r="N88" s="311">
        <f>3317008/1000</f>
        <v>3317.0079999999998</v>
      </c>
      <c r="O88" s="311">
        <f>2619293/1000</f>
        <v>2619.2930000000001</v>
      </c>
      <c r="P88" s="311">
        <f>7021792/1000</f>
        <v>7021.7920000000004</v>
      </c>
      <c r="Q88" s="311">
        <f>8644505/1000</f>
        <v>8644.5049999999992</v>
      </c>
      <c r="R88" s="311">
        <f>10982418/1000</f>
        <v>10982.418</v>
      </c>
      <c r="S88" s="311">
        <f>13709261/1000</f>
        <v>13709.261</v>
      </c>
      <c r="T88" s="311">
        <f>12240363/1000</f>
        <v>12240.362999999999</v>
      </c>
      <c r="U88" s="311">
        <f>23629530/1000</f>
        <v>23629.53</v>
      </c>
      <c r="V88" s="311">
        <f>20603383/1000</f>
        <v>20603.383000000002</v>
      </c>
      <c r="W88" s="311">
        <f>26042937/1000</f>
        <v>26042.937000000002</v>
      </c>
      <c r="X88" s="311">
        <f>20479223/1000</f>
        <v>20479.223000000002</v>
      </c>
      <c r="Y88" s="311">
        <v>21261</v>
      </c>
      <c r="Z88" s="311">
        <v>21122</v>
      </c>
      <c r="AA88" s="311">
        <v>21957</v>
      </c>
      <c r="AB88" s="62">
        <v>23503</v>
      </c>
      <c r="AC88" s="71">
        <v>25410</v>
      </c>
      <c r="AD88" s="981">
        <v>23748</v>
      </c>
      <c r="AE88" s="62">
        <v>28135</v>
      </c>
      <c r="AF88" s="62">
        <v>23132</v>
      </c>
      <c r="AG88" s="62">
        <v>26656</v>
      </c>
      <c r="AH88" s="994" t="s">
        <v>334</v>
      </c>
      <c r="AI88" s="71">
        <v>35627</v>
      </c>
      <c r="AJ88" s="1010">
        <v>42132</v>
      </c>
      <c r="AK88" s="981">
        <v>51454.828999999998</v>
      </c>
      <c r="AL88" s="981">
        <v>4826.0600000000004</v>
      </c>
      <c r="AM88" s="981">
        <v>9137.8050000000003</v>
      </c>
      <c r="AN88" s="981">
        <v>13491.156999999999</v>
      </c>
      <c r="AO88" s="981">
        <v>17835.099999999999</v>
      </c>
      <c r="AP88" s="981">
        <v>22022.827000000001</v>
      </c>
      <c r="AQ88" s="981">
        <v>26295</v>
      </c>
      <c r="AR88" s="888">
        <v>30590.93</v>
      </c>
    </row>
    <row r="89" spans="1:44" s="11" customFormat="1">
      <c r="A89" s="995" t="s">
        <v>109</v>
      </c>
      <c r="B89" s="4"/>
      <c r="C89" s="311"/>
      <c r="D89" s="311"/>
      <c r="E89" s="311"/>
      <c r="F89" s="311"/>
      <c r="G89" s="311"/>
      <c r="H89" s="311"/>
      <c r="I89" s="311"/>
      <c r="J89" s="311"/>
      <c r="K89" s="311"/>
      <c r="L89" s="311"/>
      <c r="M89" s="311"/>
      <c r="N89" s="311"/>
      <c r="O89" s="311"/>
      <c r="P89" s="311"/>
      <c r="Q89" s="311" t="s">
        <v>1</v>
      </c>
      <c r="R89" s="311" t="s">
        <v>1</v>
      </c>
      <c r="S89" s="311" t="s">
        <v>1</v>
      </c>
      <c r="T89" s="311" t="s">
        <v>1</v>
      </c>
      <c r="U89" s="311" t="s">
        <v>1</v>
      </c>
      <c r="V89" s="311" t="s">
        <v>1</v>
      </c>
      <c r="W89" s="982">
        <v>4172</v>
      </c>
      <c r="X89" s="982">
        <v>3238</v>
      </c>
      <c r="Y89" s="982">
        <v>3665</v>
      </c>
      <c r="Z89" s="982">
        <v>3479</v>
      </c>
      <c r="AA89" s="982">
        <v>3067</v>
      </c>
      <c r="AB89" s="62">
        <v>3456</v>
      </c>
      <c r="AC89" s="71">
        <v>4724</v>
      </c>
      <c r="AD89" s="981">
        <v>4622</v>
      </c>
      <c r="AE89" s="62">
        <v>4937</v>
      </c>
      <c r="AF89" s="196">
        <v>3605</v>
      </c>
      <c r="AG89" s="62">
        <v>3717</v>
      </c>
      <c r="AH89" s="994" t="s">
        <v>335</v>
      </c>
      <c r="AI89" s="71">
        <v>3866</v>
      </c>
      <c r="AJ89" s="988">
        <v>4847</v>
      </c>
      <c r="AK89" s="981">
        <v>6020.317</v>
      </c>
      <c r="AL89" s="981">
        <v>658.21900000000005</v>
      </c>
      <c r="AM89" s="981">
        <v>1181.8399999999999</v>
      </c>
      <c r="AN89" s="981">
        <v>1744.779</v>
      </c>
      <c r="AO89" s="981">
        <v>2276.4340000000002</v>
      </c>
      <c r="AP89" s="981">
        <v>2776.5610000000001</v>
      </c>
      <c r="AQ89" s="981">
        <v>3288</v>
      </c>
      <c r="AR89" s="888">
        <v>3791.136</v>
      </c>
    </row>
    <row r="90" spans="1:44" s="11" customFormat="1">
      <c r="A90" s="995" t="s">
        <v>135</v>
      </c>
      <c r="B90" s="4"/>
      <c r="C90" s="311"/>
      <c r="D90" s="311"/>
      <c r="E90" s="311"/>
      <c r="F90" s="311"/>
      <c r="G90" s="311"/>
      <c r="H90" s="311"/>
      <c r="I90" s="311"/>
      <c r="J90" s="311"/>
      <c r="K90" s="311"/>
      <c r="L90" s="311"/>
      <c r="M90" s="311"/>
      <c r="N90" s="311"/>
      <c r="O90" s="311"/>
      <c r="P90" s="311"/>
      <c r="Q90" s="311" t="s">
        <v>1</v>
      </c>
      <c r="R90" s="311" t="s">
        <v>1</v>
      </c>
      <c r="S90" s="311" t="s">
        <v>1</v>
      </c>
      <c r="T90" s="311" t="s">
        <v>1</v>
      </c>
      <c r="U90" s="311" t="s">
        <v>1</v>
      </c>
      <c r="V90" s="311" t="s">
        <v>1</v>
      </c>
      <c r="W90" s="982">
        <v>533</v>
      </c>
      <c r="X90" s="982">
        <v>360</v>
      </c>
      <c r="Y90" s="982">
        <v>55</v>
      </c>
      <c r="Z90" s="982">
        <v>132</v>
      </c>
      <c r="AA90" s="982">
        <v>991</v>
      </c>
      <c r="AB90" s="62">
        <v>775</v>
      </c>
      <c r="AC90" s="4">
        <v>996</v>
      </c>
      <c r="AD90" s="981">
        <v>1880</v>
      </c>
      <c r="AE90" s="196">
        <v>3273</v>
      </c>
      <c r="AF90" s="62">
        <v>2783</v>
      </c>
      <c r="AG90" s="196">
        <v>3578</v>
      </c>
      <c r="AH90" s="994" t="s">
        <v>336</v>
      </c>
      <c r="AI90" s="71">
        <v>5956</v>
      </c>
      <c r="AJ90" s="1010">
        <v>6168</v>
      </c>
      <c r="AK90" s="981">
        <v>8745.2790000000005</v>
      </c>
      <c r="AL90" s="981">
        <v>759.52700000000004</v>
      </c>
      <c r="AM90" s="981">
        <v>1478.54</v>
      </c>
      <c r="AN90" s="981">
        <v>2240.2080000000001</v>
      </c>
      <c r="AO90" s="981">
        <v>3016.183</v>
      </c>
      <c r="AP90" s="981">
        <v>3778.732</v>
      </c>
      <c r="AQ90" s="981">
        <v>4561</v>
      </c>
      <c r="AR90" s="888">
        <v>5327.1980000000003</v>
      </c>
    </row>
    <row r="91" spans="1:44" s="11" customFormat="1">
      <c r="A91" s="995" t="s">
        <v>110</v>
      </c>
      <c r="B91" s="4"/>
      <c r="C91" s="311"/>
      <c r="D91" s="311"/>
      <c r="E91" s="311"/>
      <c r="F91" s="311"/>
      <c r="G91" s="311"/>
      <c r="H91" s="311"/>
      <c r="I91" s="311"/>
      <c r="J91" s="311"/>
      <c r="K91" s="311"/>
      <c r="L91" s="311"/>
      <c r="M91" s="311"/>
      <c r="N91" s="311"/>
      <c r="O91" s="311"/>
      <c r="P91" s="311"/>
      <c r="Q91" s="311" t="s">
        <v>1</v>
      </c>
      <c r="R91" s="311" t="s">
        <v>1</v>
      </c>
      <c r="S91" s="311" t="s">
        <v>1</v>
      </c>
      <c r="T91" s="311" t="s">
        <v>1</v>
      </c>
      <c r="U91" s="311" t="s">
        <v>1</v>
      </c>
      <c r="V91" s="311" t="s">
        <v>1</v>
      </c>
      <c r="W91" s="982">
        <v>6197</v>
      </c>
      <c r="X91" s="982">
        <v>6826</v>
      </c>
      <c r="Y91" s="982">
        <v>7588</v>
      </c>
      <c r="Z91" s="982">
        <v>8219</v>
      </c>
      <c r="AA91" s="982">
        <v>2993</v>
      </c>
      <c r="AB91" s="62">
        <v>2861</v>
      </c>
      <c r="AC91" s="71">
        <v>3270</v>
      </c>
      <c r="AD91" s="981">
        <v>3586</v>
      </c>
      <c r="AE91" s="62">
        <v>4117</v>
      </c>
      <c r="AF91" s="62">
        <v>3196</v>
      </c>
      <c r="AG91" s="62">
        <v>3635</v>
      </c>
      <c r="AH91" s="994" t="s">
        <v>337</v>
      </c>
      <c r="AI91" s="71">
        <v>3868</v>
      </c>
      <c r="AJ91" s="988">
        <v>5687</v>
      </c>
      <c r="AK91" s="981">
        <v>6500.3310000000001</v>
      </c>
      <c r="AL91" s="981">
        <v>621.56399999999996</v>
      </c>
      <c r="AM91" s="981">
        <v>1157.316</v>
      </c>
      <c r="AN91" s="981">
        <v>1689.9590000000001</v>
      </c>
      <c r="AO91" s="981">
        <v>2225.9059999999999</v>
      </c>
      <c r="AP91" s="981">
        <v>2742.2240000000002</v>
      </c>
      <c r="AQ91" s="981">
        <v>3263</v>
      </c>
      <c r="AR91" s="888">
        <v>3792.6979999999999</v>
      </c>
    </row>
    <row r="92" spans="1:44" s="11" customFormat="1">
      <c r="A92" s="995" t="s">
        <v>111</v>
      </c>
      <c r="B92" s="4"/>
      <c r="C92" s="311"/>
      <c r="D92" s="311"/>
      <c r="E92" s="311"/>
      <c r="F92" s="311"/>
      <c r="G92" s="311"/>
      <c r="H92" s="311"/>
      <c r="I92" s="311"/>
      <c r="J92" s="311"/>
      <c r="K92" s="311"/>
      <c r="L92" s="311"/>
      <c r="M92" s="311"/>
      <c r="N92" s="311"/>
      <c r="O92" s="311"/>
      <c r="P92" s="311"/>
      <c r="Q92" s="311" t="s">
        <v>1</v>
      </c>
      <c r="R92" s="311" t="s">
        <v>1</v>
      </c>
      <c r="S92" s="311" t="s">
        <v>1</v>
      </c>
      <c r="T92" s="311" t="s">
        <v>1</v>
      </c>
      <c r="U92" s="311" t="s">
        <v>1</v>
      </c>
      <c r="V92" s="311" t="s">
        <v>1</v>
      </c>
      <c r="W92" s="982">
        <v>4761</v>
      </c>
      <c r="X92" s="982">
        <v>57</v>
      </c>
      <c r="Y92" s="982">
        <v>130</v>
      </c>
      <c r="Z92" s="982">
        <v>121</v>
      </c>
      <c r="AA92" s="982">
        <v>5857</v>
      </c>
      <c r="AB92" s="62">
        <v>6499</v>
      </c>
      <c r="AC92" s="71">
        <v>6203</v>
      </c>
      <c r="AD92" s="981">
        <v>4224</v>
      </c>
      <c r="AE92" s="62">
        <v>4924</v>
      </c>
      <c r="AF92" s="62">
        <v>3903</v>
      </c>
      <c r="AG92" s="62">
        <v>4421</v>
      </c>
      <c r="AH92" s="994" t="s">
        <v>338</v>
      </c>
      <c r="AI92" s="71">
        <v>5703</v>
      </c>
      <c r="AJ92" s="1010">
        <v>7204</v>
      </c>
      <c r="AK92" s="981">
        <v>8597.7009999999991</v>
      </c>
      <c r="AL92" s="981">
        <v>833.88199999999995</v>
      </c>
      <c r="AM92" s="981">
        <v>1588.6980000000001</v>
      </c>
      <c r="AN92" s="981">
        <v>2333.6640000000002</v>
      </c>
      <c r="AO92" s="981">
        <v>3058.0259999999998</v>
      </c>
      <c r="AP92" s="981">
        <v>3746.7910000000002</v>
      </c>
      <c r="AQ92" s="981">
        <v>4441</v>
      </c>
      <c r="AR92" s="888">
        <v>5167.2250000000004</v>
      </c>
    </row>
    <row r="93" spans="1:44" s="11" customFormat="1">
      <c r="A93" s="995" t="s">
        <v>388</v>
      </c>
      <c r="B93" s="4"/>
      <c r="C93" s="311"/>
      <c r="D93" s="311"/>
      <c r="E93" s="311"/>
      <c r="F93" s="311"/>
      <c r="G93" s="311"/>
      <c r="H93" s="311"/>
      <c r="I93" s="311"/>
      <c r="J93" s="311"/>
      <c r="K93" s="311"/>
      <c r="L93" s="311"/>
      <c r="M93" s="311"/>
      <c r="N93" s="311"/>
      <c r="O93" s="311"/>
      <c r="P93" s="311"/>
      <c r="Q93" s="311" t="s">
        <v>1</v>
      </c>
      <c r="R93" s="311" t="s">
        <v>1</v>
      </c>
      <c r="S93" s="311" t="s">
        <v>1</v>
      </c>
      <c r="T93" s="311" t="s">
        <v>1</v>
      </c>
      <c r="U93" s="311" t="s">
        <v>1</v>
      </c>
      <c r="V93" s="311" t="s">
        <v>1</v>
      </c>
      <c r="W93" s="982">
        <v>4623</v>
      </c>
      <c r="X93" s="982">
        <v>3434</v>
      </c>
      <c r="Y93" s="982">
        <v>4343</v>
      </c>
      <c r="Z93" s="982">
        <v>4359</v>
      </c>
      <c r="AA93" s="982">
        <v>1918</v>
      </c>
      <c r="AB93" s="62">
        <v>2543</v>
      </c>
      <c r="AC93" s="71">
        <v>2615</v>
      </c>
      <c r="AD93" s="981">
        <v>2247</v>
      </c>
      <c r="AE93" s="62">
        <v>2263</v>
      </c>
      <c r="AF93" s="62">
        <v>1582</v>
      </c>
      <c r="AG93" s="62">
        <v>2027</v>
      </c>
      <c r="AH93" s="994" t="s">
        <v>339</v>
      </c>
      <c r="AI93" s="71">
        <v>2475</v>
      </c>
      <c r="AJ93" s="988">
        <v>3328</v>
      </c>
      <c r="AK93" s="981">
        <v>4204.5780000000004</v>
      </c>
      <c r="AL93" s="981">
        <v>381.90300000000002</v>
      </c>
      <c r="AM93" s="981">
        <v>711.66</v>
      </c>
      <c r="AN93" s="981">
        <v>1055.729</v>
      </c>
      <c r="AO93" s="981">
        <v>1397.3789999999999</v>
      </c>
      <c r="AP93" s="981">
        <v>1725.569</v>
      </c>
      <c r="AQ93" s="981">
        <v>2061</v>
      </c>
      <c r="AR93" s="888">
        <v>2397.165</v>
      </c>
    </row>
    <row r="94" spans="1:44" s="11" customFormat="1">
      <c r="A94" s="995" t="s">
        <v>136</v>
      </c>
      <c r="B94" s="4"/>
      <c r="C94" s="311"/>
      <c r="D94" s="311"/>
      <c r="E94" s="311"/>
      <c r="F94" s="311"/>
      <c r="G94" s="311"/>
      <c r="H94" s="311"/>
      <c r="I94" s="311"/>
      <c r="J94" s="311"/>
      <c r="K94" s="311"/>
      <c r="L94" s="311"/>
      <c r="M94" s="311"/>
      <c r="N94" s="311"/>
      <c r="O94" s="311"/>
      <c r="P94" s="311"/>
      <c r="Q94" s="311" t="s">
        <v>1</v>
      </c>
      <c r="R94" s="311" t="s">
        <v>1</v>
      </c>
      <c r="S94" s="311" t="s">
        <v>1</v>
      </c>
      <c r="T94" s="311" t="s">
        <v>1</v>
      </c>
      <c r="U94" s="311" t="s">
        <v>1</v>
      </c>
      <c r="V94" s="311" t="s">
        <v>1</v>
      </c>
      <c r="W94" s="982">
        <v>587</v>
      </c>
      <c r="X94" s="982">
        <v>839</v>
      </c>
      <c r="Y94" s="982">
        <v>332</v>
      </c>
      <c r="Z94" s="982">
        <v>178</v>
      </c>
      <c r="AA94" s="982">
        <v>3480</v>
      </c>
      <c r="AB94" s="62">
        <v>4398</v>
      </c>
      <c r="AC94" s="71">
        <v>4217</v>
      </c>
      <c r="AD94" s="981">
        <v>3862</v>
      </c>
      <c r="AE94" s="62">
        <v>4385</v>
      </c>
      <c r="AF94" s="62">
        <v>4072</v>
      </c>
      <c r="AG94" s="62">
        <v>4607</v>
      </c>
      <c r="AH94" s="994" t="s">
        <v>340</v>
      </c>
      <c r="AI94" s="71">
        <v>8254</v>
      </c>
      <c r="AJ94" s="1010">
        <v>8364</v>
      </c>
      <c r="AK94" s="981">
        <v>9309.0159999999996</v>
      </c>
      <c r="AL94" s="981">
        <v>851.05100000000004</v>
      </c>
      <c r="AM94" s="981">
        <v>1598.444</v>
      </c>
      <c r="AN94" s="981">
        <v>2341.6930000000002</v>
      </c>
      <c r="AO94" s="981">
        <v>3086.6419999999998</v>
      </c>
      <c r="AP94" s="981">
        <v>3778.8049999999998</v>
      </c>
      <c r="AQ94" s="981">
        <v>4517</v>
      </c>
      <c r="AR94" s="888">
        <v>5211.9030000000002</v>
      </c>
    </row>
    <row r="95" spans="1:44" s="11" customFormat="1">
      <c r="A95" s="995" t="s">
        <v>112</v>
      </c>
      <c r="B95" s="4"/>
      <c r="C95" s="311"/>
      <c r="D95" s="311"/>
      <c r="E95" s="311"/>
      <c r="F95" s="311"/>
      <c r="G95" s="311"/>
      <c r="H95" s="311"/>
      <c r="I95" s="311"/>
      <c r="J95" s="311"/>
      <c r="K95" s="311"/>
      <c r="L95" s="311"/>
      <c r="M95" s="311"/>
      <c r="N95" s="311"/>
      <c r="O95" s="311"/>
      <c r="P95" s="311"/>
      <c r="Q95" s="311" t="s">
        <v>1</v>
      </c>
      <c r="R95" s="311" t="s">
        <v>1</v>
      </c>
      <c r="S95" s="311" t="s">
        <v>1</v>
      </c>
      <c r="T95" s="311" t="s">
        <v>1</v>
      </c>
      <c r="U95" s="311" t="s">
        <v>1</v>
      </c>
      <c r="V95" s="311" t="s">
        <v>1</v>
      </c>
      <c r="W95" s="982"/>
      <c r="X95" s="982"/>
      <c r="Y95" s="982"/>
      <c r="Z95" s="982">
        <v>29</v>
      </c>
      <c r="AA95" s="982">
        <v>461</v>
      </c>
      <c r="AB95" s="62">
        <v>331</v>
      </c>
      <c r="AC95" s="4">
        <v>469</v>
      </c>
      <c r="AD95" s="981">
        <v>603</v>
      </c>
      <c r="AE95" s="62">
        <v>1020</v>
      </c>
      <c r="AF95" s="62">
        <v>952</v>
      </c>
      <c r="AG95" s="62">
        <v>1065</v>
      </c>
      <c r="AH95" s="994" t="s">
        <v>341</v>
      </c>
      <c r="AI95" s="71">
        <v>1088</v>
      </c>
      <c r="AJ95" s="988">
        <v>1663</v>
      </c>
      <c r="AK95" s="981">
        <v>2544.5949999999998</v>
      </c>
      <c r="AL95" s="981">
        <v>199.28299999999999</v>
      </c>
      <c r="AM95" s="981">
        <v>394.10700000000003</v>
      </c>
      <c r="AN95" s="981">
        <v>582.58299999999997</v>
      </c>
      <c r="AO95" s="981">
        <v>782.15700000000004</v>
      </c>
      <c r="AP95" s="981">
        <v>994.80799999999999</v>
      </c>
      <c r="AQ95" s="981">
        <v>1209</v>
      </c>
      <c r="AR95" s="888">
        <v>1429.3969999999999</v>
      </c>
    </row>
    <row r="96" spans="1:44" s="11" customFormat="1">
      <c r="A96" s="995" t="s">
        <v>113</v>
      </c>
      <c r="B96" s="4"/>
      <c r="C96" s="311"/>
      <c r="D96" s="311"/>
      <c r="E96" s="311"/>
      <c r="F96" s="311"/>
      <c r="G96" s="311"/>
      <c r="H96" s="311"/>
      <c r="I96" s="311"/>
      <c r="J96" s="311"/>
      <c r="K96" s="311"/>
      <c r="L96" s="311"/>
      <c r="M96" s="311"/>
      <c r="N96" s="311"/>
      <c r="O96" s="311"/>
      <c r="P96" s="311"/>
      <c r="Q96" s="311" t="s">
        <v>1</v>
      </c>
      <c r="R96" s="311" t="s">
        <v>1</v>
      </c>
      <c r="S96" s="311" t="s">
        <v>1</v>
      </c>
      <c r="T96" s="311" t="s">
        <v>1</v>
      </c>
      <c r="U96" s="311" t="s">
        <v>1</v>
      </c>
      <c r="V96" s="311" t="s">
        <v>1</v>
      </c>
      <c r="W96" s="982">
        <v>5168</v>
      </c>
      <c r="X96" s="982">
        <v>5724</v>
      </c>
      <c r="Y96" s="982">
        <v>5148</v>
      </c>
      <c r="Z96" s="982">
        <v>4604</v>
      </c>
      <c r="AA96" s="982">
        <v>3190</v>
      </c>
      <c r="AB96" s="62">
        <v>2640</v>
      </c>
      <c r="AC96" s="71">
        <v>2914</v>
      </c>
      <c r="AD96" s="981">
        <v>2726</v>
      </c>
      <c r="AE96" s="62">
        <v>3216</v>
      </c>
      <c r="AF96" s="62">
        <v>3030</v>
      </c>
      <c r="AG96" s="62">
        <v>3605</v>
      </c>
      <c r="AH96" s="994" t="s">
        <v>342</v>
      </c>
      <c r="AI96" s="71">
        <v>4417</v>
      </c>
      <c r="AJ96" s="1010">
        <v>4872</v>
      </c>
      <c r="AK96" s="981">
        <v>5533.0119999999997</v>
      </c>
      <c r="AL96" s="1020">
        <v>520.63099999999997</v>
      </c>
      <c r="AM96" s="981">
        <v>1027.1990000000001</v>
      </c>
      <c r="AN96" s="981">
        <v>1502.54</v>
      </c>
      <c r="AO96" s="987">
        <v>1992.373</v>
      </c>
      <c r="AP96" s="981">
        <v>2479.3359999999998</v>
      </c>
      <c r="AQ96" s="981">
        <v>2956</v>
      </c>
      <c r="AR96" s="888">
        <v>3474.21</v>
      </c>
    </row>
    <row r="97" spans="1:215" s="11" customFormat="1">
      <c r="A97" s="998" t="s">
        <v>102</v>
      </c>
      <c r="B97" s="999" t="s">
        <v>74</v>
      </c>
      <c r="C97" s="311"/>
      <c r="D97" s="311"/>
      <c r="E97" s="311"/>
      <c r="F97" s="311"/>
      <c r="G97" s="311"/>
      <c r="H97" s="311"/>
      <c r="I97" s="311"/>
      <c r="J97" s="311"/>
      <c r="K97" s="311"/>
      <c r="L97" s="311"/>
      <c r="M97" s="311"/>
      <c r="N97" s="311"/>
      <c r="O97" s="311"/>
      <c r="P97" s="311"/>
      <c r="Q97" s="311"/>
      <c r="R97" s="311"/>
      <c r="S97" s="311"/>
      <c r="T97" s="311"/>
      <c r="U97" s="311"/>
      <c r="V97" s="311"/>
      <c r="W97" s="982"/>
      <c r="X97" s="982"/>
      <c r="Y97" s="982"/>
      <c r="Z97" s="982"/>
      <c r="AA97" s="982"/>
      <c r="AB97" s="62"/>
      <c r="AC97" s="4"/>
      <c r="AD97" s="1000"/>
      <c r="AE97" s="62"/>
      <c r="AF97" s="62"/>
      <c r="AG97" s="62"/>
      <c r="AH97" s="994"/>
      <c r="AI97" s="62"/>
      <c r="AJ97" s="304"/>
      <c r="AK97" s="4"/>
      <c r="AL97" s="985"/>
      <c r="AM97" s="984"/>
      <c r="AN97" s="984"/>
      <c r="AO97" s="985"/>
      <c r="AP97" s="984"/>
      <c r="AQ97" s="984"/>
      <c r="AR97" s="1088"/>
    </row>
    <row r="98" spans="1:215" s="11" customFormat="1">
      <c r="A98" s="993" t="s">
        <v>108</v>
      </c>
      <c r="B98" s="4"/>
      <c r="C98" s="311">
        <v>101.8</v>
      </c>
      <c r="D98" s="311">
        <v>96.8</v>
      </c>
      <c r="E98" s="311">
        <v>91.3</v>
      </c>
      <c r="F98" s="311">
        <v>103.9</v>
      </c>
      <c r="G98" s="311">
        <v>97.4</v>
      </c>
      <c r="H98" s="311">
        <v>90.8</v>
      </c>
      <c r="I98" s="311">
        <v>106.7</v>
      </c>
      <c r="J98" s="311">
        <v>93.2</v>
      </c>
      <c r="K98" s="311">
        <v>71.599999999999994</v>
      </c>
      <c r="L98" s="311">
        <v>91.4</v>
      </c>
      <c r="M98" s="311">
        <v>110.8</v>
      </c>
      <c r="N98" s="311">
        <v>80.8</v>
      </c>
      <c r="O98" s="311">
        <v>164.4</v>
      </c>
      <c r="P98" s="311">
        <v>110.1</v>
      </c>
      <c r="Q98" s="311">
        <v>115.1</v>
      </c>
      <c r="R98" s="311">
        <v>101.3</v>
      </c>
      <c r="S98" s="311">
        <v>115</v>
      </c>
      <c r="T98" s="311">
        <v>94</v>
      </c>
      <c r="U98" s="311">
        <v>88.9</v>
      </c>
      <c r="V98" s="311">
        <v>125</v>
      </c>
      <c r="W98" s="311">
        <v>102.8</v>
      </c>
      <c r="X98" s="311">
        <v>76.5</v>
      </c>
      <c r="Y98" s="311">
        <v>106.5</v>
      </c>
      <c r="Z98" s="311">
        <v>94.4</v>
      </c>
      <c r="AA98" s="311">
        <v>105.4</v>
      </c>
      <c r="AB98" s="1006">
        <v>104.5</v>
      </c>
      <c r="AC98" s="3">
        <v>96.5</v>
      </c>
      <c r="AD98" s="985">
        <v>92.1</v>
      </c>
      <c r="AE98" s="1001">
        <v>131</v>
      </c>
      <c r="AF98" s="1001">
        <v>78.7</v>
      </c>
      <c r="AG98" s="1001">
        <v>114.3</v>
      </c>
      <c r="AH98" s="994" t="s">
        <v>343</v>
      </c>
      <c r="AI98" s="304">
        <v>103.9</v>
      </c>
      <c r="AJ98" s="985">
        <v>95.6</v>
      </c>
      <c r="AK98" s="985">
        <v>106.5</v>
      </c>
      <c r="AL98" s="985">
        <v>107.5</v>
      </c>
      <c r="AM98" s="985">
        <v>116.3</v>
      </c>
      <c r="AN98" s="985">
        <v>115.3</v>
      </c>
      <c r="AO98" s="985">
        <v>113.4</v>
      </c>
      <c r="AP98" s="985">
        <v>110.7</v>
      </c>
      <c r="AQ98" s="985">
        <v>109</v>
      </c>
      <c r="AR98" s="774">
        <v>106.8</v>
      </c>
    </row>
    <row r="99" spans="1:215" s="11" customFormat="1">
      <c r="A99" s="995" t="s">
        <v>109</v>
      </c>
      <c r="B99" s="4"/>
      <c r="C99" s="311"/>
      <c r="D99" s="311"/>
      <c r="E99" s="311"/>
      <c r="F99" s="311"/>
      <c r="G99" s="311"/>
      <c r="H99" s="311"/>
      <c r="I99" s="311"/>
      <c r="J99" s="311"/>
      <c r="K99" s="311"/>
      <c r="L99" s="311"/>
      <c r="M99" s="311"/>
      <c r="N99" s="311"/>
      <c r="O99" s="311"/>
      <c r="P99" s="311"/>
      <c r="Q99" s="311" t="s">
        <v>1</v>
      </c>
      <c r="R99" s="311" t="s">
        <v>1</v>
      </c>
      <c r="S99" s="311" t="s">
        <v>1</v>
      </c>
      <c r="T99" s="311" t="s">
        <v>1</v>
      </c>
      <c r="U99" s="311" t="s">
        <v>1</v>
      </c>
      <c r="V99" s="311" t="s">
        <v>1</v>
      </c>
      <c r="W99" s="1003">
        <v>163</v>
      </c>
      <c r="X99" s="1003">
        <v>73.099999999999994</v>
      </c>
      <c r="Y99" s="1003">
        <v>105.3</v>
      </c>
      <c r="Z99" s="1003">
        <v>95</v>
      </c>
      <c r="AA99" s="311">
        <v>85.5</v>
      </c>
      <c r="AB99" s="1001">
        <v>109.2</v>
      </c>
      <c r="AC99" s="3">
        <v>123.8</v>
      </c>
      <c r="AD99" s="985">
        <v>90.4</v>
      </c>
      <c r="AE99" s="1001">
        <v>126.4</v>
      </c>
      <c r="AF99" s="1001">
        <v>69.900000000000006</v>
      </c>
      <c r="AG99" s="1001">
        <v>100.8</v>
      </c>
      <c r="AH99" s="994" t="s">
        <v>344</v>
      </c>
      <c r="AI99" s="304">
        <v>107.7</v>
      </c>
      <c r="AJ99" s="985">
        <v>101.4</v>
      </c>
      <c r="AK99" s="985">
        <v>106.7</v>
      </c>
      <c r="AL99" s="985">
        <v>95.1</v>
      </c>
      <c r="AM99" s="985">
        <v>117.1</v>
      </c>
      <c r="AN99" s="985">
        <v>119.6</v>
      </c>
      <c r="AO99" s="985">
        <v>116.7</v>
      </c>
      <c r="AP99" s="985">
        <v>113.9</v>
      </c>
      <c r="AQ99" s="985">
        <v>112.3</v>
      </c>
      <c r="AR99" s="774">
        <v>110.4</v>
      </c>
    </row>
    <row r="100" spans="1:215" s="11" customFormat="1">
      <c r="A100" s="995" t="s">
        <v>135</v>
      </c>
      <c r="B100" s="4"/>
      <c r="C100" s="311"/>
      <c r="D100" s="311"/>
      <c r="E100" s="311"/>
      <c r="F100" s="311"/>
      <c r="G100" s="311"/>
      <c r="H100" s="311"/>
      <c r="I100" s="311"/>
      <c r="J100" s="311"/>
      <c r="K100" s="311"/>
      <c r="L100" s="311"/>
      <c r="M100" s="311"/>
      <c r="N100" s="311"/>
      <c r="O100" s="311"/>
      <c r="P100" s="311"/>
      <c r="Q100" s="311" t="s">
        <v>1</v>
      </c>
      <c r="R100" s="311" t="s">
        <v>1</v>
      </c>
      <c r="S100" s="311" t="s">
        <v>1</v>
      </c>
      <c r="T100" s="311" t="s">
        <v>1</v>
      </c>
      <c r="U100" s="311" t="s">
        <v>1</v>
      </c>
      <c r="V100" s="311" t="s">
        <v>1</v>
      </c>
      <c r="W100" s="1003">
        <v>146.19999999999999</v>
      </c>
      <c r="X100" s="1003">
        <v>57.7</v>
      </c>
      <c r="Y100" s="1003">
        <v>14.7</v>
      </c>
      <c r="Z100" s="1003">
        <v>162.80000000000001</v>
      </c>
      <c r="AA100" s="311">
        <v>669.2</v>
      </c>
      <c r="AB100" s="1001">
        <v>68.400000000000006</v>
      </c>
      <c r="AC100" s="3">
        <v>113.2</v>
      </c>
      <c r="AD100" s="985">
        <v>192.6</v>
      </c>
      <c r="AE100" s="1001">
        <v>184.9</v>
      </c>
      <c r="AF100" s="1001">
        <v>83.3</v>
      </c>
      <c r="AG100" s="1001">
        <v>127.7</v>
      </c>
      <c r="AH100" s="994" t="s">
        <v>345</v>
      </c>
      <c r="AI100" s="304">
        <v>96.6</v>
      </c>
      <c r="AJ100" s="1024">
        <v>78</v>
      </c>
      <c r="AK100" s="985">
        <v>127.8</v>
      </c>
      <c r="AL100" s="985">
        <v>109.9</v>
      </c>
      <c r="AM100" s="985">
        <v>127.1</v>
      </c>
      <c r="AN100" s="985">
        <v>128.19999999999999</v>
      </c>
      <c r="AO100" s="985">
        <v>124</v>
      </c>
      <c r="AP100" s="985">
        <v>120.6</v>
      </c>
      <c r="AQ100" s="985">
        <v>118</v>
      </c>
      <c r="AR100" s="774">
        <v>114.6</v>
      </c>
    </row>
    <row r="101" spans="1:215" s="11" customFormat="1">
      <c r="A101" s="995" t="s">
        <v>110</v>
      </c>
      <c r="B101" s="4"/>
      <c r="C101" s="311"/>
      <c r="D101" s="311"/>
      <c r="E101" s="311"/>
      <c r="F101" s="311"/>
      <c r="G101" s="311"/>
      <c r="H101" s="311"/>
      <c r="I101" s="311"/>
      <c r="J101" s="311"/>
      <c r="K101" s="311"/>
      <c r="L101" s="311"/>
      <c r="M101" s="311"/>
      <c r="N101" s="311"/>
      <c r="O101" s="311"/>
      <c r="P101" s="311"/>
      <c r="Q101" s="311" t="s">
        <v>1</v>
      </c>
      <c r="R101" s="311" t="s">
        <v>1</v>
      </c>
      <c r="S101" s="311" t="s">
        <v>1</v>
      </c>
      <c r="T101" s="311" t="s">
        <v>1</v>
      </c>
      <c r="U101" s="311" t="s">
        <v>1</v>
      </c>
      <c r="V101" s="311" t="s">
        <v>1</v>
      </c>
      <c r="W101" s="1003">
        <v>53.4</v>
      </c>
      <c r="X101" s="1003">
        <v>142.5</v>
      </c>
      <c r="Y101" s="1003">
        <v>107.9</v>
      </c>
      <c r="Z101" s="1003">
        <v>98.8</v>
      </c>
      <c r="AA101" s="311">
        <v>36.299999999999997</v>
      </c>
      <c r="AB101" s="1001">
        <v>91.4</v>
      </c>
      <c r="AC101" s="3">
        <v>109.7</v>
      </c>
      <c r="AD101" s="985">
        <v>106.8</v>
      </c>
      <c r="AE101" s="1001">
        <v>120.8</v>
      </c>
      <c r="AF101" s="1001">
        <v>72.8</v>
      </c>
      <c r="AG101" s="1001">
        <v>112.1</v>
      </c>
      <c r="AH101" s="994" t="s">
        <v>346</v>
      </c>
      <c r="AI101" s="304">
        <v>106.2</v>
      </c>
      <c r="AJ101" s="985">
        <v>117.1</v>
      </c>
      <c r="AK101" s="985">
        <v>99.7</v>
      </c>
      <c r="AL101" s="985">
        <v>83.3</v>
      </c>
      <c r="AM101" s="985">
        <v>104.3</v>
      </c>
      <c r="AN101" s="985">
        <v>103.1</v>
      </c>
      <c r="AO101" s="985">
        <v>102.8</v>
      </c>
      <c r="AP101" s="985">
        <v>101.9</v>
      </c>
      <c r="AQ101" s="985">
        <v>101.2</v>
      </c>
      <c r="AR101" s="774">
        <v>100.2</v>
      </c>
    </row>
    <row r="102" spans="1:215" s="11" customFormat="1">
      <c r="A102" s="995" t="s">
        <v>111</v>
      </c>
      <c r="B102" s="4"/>
      <c r="C102" s="311"/>
      <c r="D102" s="311"/>
      <c r="E102" s="311"/>
      <c r="F102" s="311"/>
      <c r="G102" s="311"/>
      <c r="H102" s="311"/>
      <c r="I102" s="311"/>
      <c r="J102" s="311"/>
      <c r="K102" s="311"/>
      <c r="L102" s="311"/>
      <c r="M102" s="311"/>
      <c r="N102" s="311"/>
      <c r="O102" s="311"/>
      <c r="P102" s="311"/>
      <c r="Q102" s="311" t="s">
        <v>1</v>
      </c>
      <c r="R102" s="311" t="s">
        <v>1</v>
      </c>
      <c r="S102" s="311" t="s">
        <v>1</v>
      </c>
      <c r="T102" s="311" t="s">
        <v>1</v>
      </c>
      <c r="U102" s="311" t="s">
        <v>1</v>
      </c>
      <c r="V102" s="311" t="s">
        <v>1</v>
      </c>
      <c r="W102" s="1003">
        <v>84.1</v>
      </c>
      <c r="X102" s="1003">
        <v>1.1000000000000001</v>
      </c>
      <c r="Y102" s="1003">
        <v>95.7</v>
      </c>
      <c r="Z102" s="1003">
        <v>32.299999999999997</v>
      </c>
      <c r="AA102" s="311">
        <v>6916.4</v>
      </c>
      <c r="AB102" s="1001">
        <v>110.8</v>
      </c>
      <c r="AC102" s="3">
        <v>77.3</v>
      </c>
      <c r="AD102" s="985">
        <v>68.3</v>
      </c>
      <c r="AE102" s="1001">
        <v>140.1</v>
      </c>
      <c r="AF102" s="1001">
        <v>76.400000000000006</v>
      </c>
      <c r="AG102" s="1001">
        <v>110.3</v>
      </c>
      <c r="AH102" s="994" t="s">
        <v>347</v>
      </c>
      <c r="AI102" s="304">
        <v>104.4</v>
      </c>
      <c r="AJ102" s="1004">
        <v>102.4</v>
      </c>
      <c r="AK102" s="985">
        <v>101.7</v>
      </c>
      <c r="AL102" s="985">
        <v>90</v>
      </c>
      <c r="AM102" s="985">
        <v>111.9</v>
      </c>
      <c r="AN102" s="985">
        <v>112.9</v>
      </c>
      <c r="AO102" s="985">
        <v>110.8</v>
      </c>
      <c r="AP102" s="985">
        <v>108.5</v>
      </c>
      <c r="AQ102" s="985">
        <v>106.5</v>
      </c>
      <c r="AR102" s="774">
        <v>105.2</v>
      </c>
    </row>
    <row r="103" spans="1:215" s="11" customFormat="1">
      <c r="A103" s="995" t="s">
        <v>388</v>
      </c>
      <c r="B103" s="4"/>
      <c r="C103" s="311"/>
      <c r="D103" s="311"/>
      <c r="E103" s="311"/>
      <c r="F103" s="311"/>
      <c r="G103" s="311"/>
      <c r="H103" s="311"/>
      <c r="I103" s="311"/>
      <c r="J103" s="311"/>
      <c r="K103" s="311"/>
      <c r="L103" s="311"/>
      <c r="M103" s="311"/>
      <c r="N103" s="311"/>
      <c r="O103" s="311"/>
      <c r="P103" s="311"/>
      <c r="Q103" s="311" t="s">
        <v>1</v>
      </c>
      <c r="R103" s="311" t="s">
        <v>1</v>
      </c>
      <c r="S103" s="311" t="s">
        <v>1</v>
      </c>
      <c r="T103" s="311" t="s">
        <v>1</v>
      </c>
      <c r="U103" s="311" t="s">
        <v>1</v>
      </c>
      <c r="V103" s="311" t="s">
        <v>1</v>
      </c>
      <c r="W103" s="1003">
        <v>102.9</v>
      </c>
      <c r="X103" s="1003">
        <v>71.5</v>
      </c>
      <c r="Y103" s="1003">
        <v>123.1</v>
      </c>
      <c r="Z103" s="1003">
        <v>103.7</v>
      </c>
      <c r="AA103" s="311">
        <v>45.1</v>
      </c>
      <c r="AB103" s="1001">
        <v>134.30000000000001</v>
      </c>
      <c r="AC103" s="3">
        <v>102.9</v>
      </c>
      <c r="AD103" s="985">
        <v>78.400000000000006</v>
      </c>
      <c r="AE103" s="1001">
        <v>108.5</v>
      </c>
      <c r="AF103" s="1001">
        <v>67.2</v>
      </c>
      <c r="AG103" s="1001">
        <v>124.7</v>
      </c>
      <c r="AH103" s="994" t="s">
        <v>348</v>
      </c>
      <c r="AI103" s="304">
        <v>125.5</v>
      </c>
      <c r="AJ103" s="985">
        <v>108</v>
      </c>
      <c r="AK103" s="985">
        <v>107</v>
      </c>
      <c r="AL103" s="985">
        <v>95.6</v>
      </c>
      <c r="AM103" s="985">
        <v>112.3</v>
      </c>
      <c r="AN103" s="985">
        <v>114.2</v>
      </c>
      <c r="AO103" s="985">
        <v>113.1</v>
      </c>
      <c r="AP103" s="985">
        <v>111.4</v>
      </c>
      <c r="AQ103" s="985">
        <v>110</v>
      </c>
      <c r="AR103" s="774">
        <v>106.7</v>
      </c>
    </row>
    <row r="104" spans="1:215" s="11" customFormat="1">
      <c r="A104" s="995" t="s">
        <v>136</v>
      </c>
      <c r="B104" s="4"/>
      <c r="C104" s="311"/>
      <c r="D104" s="311"/>
      <c r="E104" s="311"/>
      <c r="F104" s="311"/>
      <c r="G104" s="311"/>
      <c r="H104" s="311"/>
      <c r="I104" s="311"/>
      <c r="J104" s="311"/>
      <c r="K104" s="311"/>
      <c r="L104" s="311"/>
      <c r="M104" s="311"/>
      <c r="N104" s="311"/>
      <c r="O104" s="311"/>
      <c r="P104" s="311"/>
      <c r="Q104" s="311" t="s">
        <v>1</v>
      </c>
      <c r="R104" s="311" t="s">
        <v>1</v>
      </c>
      <c r="S104" s="311" t="s">
        <v>1</v>
      </c>
      <c r="T104" s="311" t="s">
        <v>1</v>
      </c>
      <c r="U104" s="311" t="s">
        <v>1</v>
      </c>
      <c r="V104" s="311" t="s">
        <v>1</v>
      </c>
      <c r="W104" s="1003">
        <v>122.9</v>
      </c>
      <c r="X104" s="1003">
        <v>24.5</v>
      </c>
      <c r="Y104" s="1003">
        <v>105</v>
      </c>
      <c r="Z104" s="1003">
        <v>77</v>
      </c>
      <c r="AA104" s="311">
        <v>4063.5</v>
      </c>
      <c r="AB104" s="1001">
        <v>123.4</v>
      </c>
      <c r="AC104" s="3">
        <v>84.1</v>
      </c>
      <c r="AD104" s="985">
        <v>90.7</v>
      </c>
      <c r="AE104" s="1001">
        <v>128.1</v>
      </c>
      <c r="AF104" s="1001">
        <v>85.4</v>
      </c>
      <c r="AG104" s="1001">
        <v>110</v>
      </c>
      <c r="AH104" s="994" t="s">
        <v>349</v>
      </c>
      <c r="AI104" s="304">
        <v>112.3</v>
      </c>
      <c r="AJ104" s="1004">
        <v>86.6</v>
      </c>
      <c r="AK104" s="985">
        <v>98.6</v>
      </c>
      <c r="AL104" s="985">
        <v>90.8</v>
      </c>
      <c r="AM104" s="985">
        <v>109.1</v>
      </c>
      <c r="AN104" s="985">
        <v>116.9</v>
      </c>
      <c r="AO104" s="985">
        <v>115.2</v>
      </c>
      <c r="AP104" s="985">
        <v>111.4</v>
      </c>
      <c r="AQ104" s="985">
        <v>108.8</v>
      </c>
      <c r="AR104" s="774">
        <v>105.8</v>
      </c>
    </row>
    <row r="105" spans="1:215" s="11" customFormat="1">
      <c r="A105" s="995" t="s">
        <v>112</v>
      </c>
      <c r="B105" s="4"/>
      <c r="C105" s="311"/>
      <c r="D105" s="311"/>
      <c r="E105" s="311"/>
      <c r="F105" s="311"/>
      <c r="G105" s="311"/>
      <c r="H105" s="311"/>
      <c r="I105" s="311"/>
      <c r="J105" s="311"/>
      <c r="K105" s="311"/>
      <c r="L105" s="311"/>
      <c r="M105" s="311"/>
      <c r="N105" s="311"/>
      <c r="O105" s="311"/>
      <c r="P105" s="311"/>
      <c r="Q105" s="311" t="s">
        <v>1</v>
      </c>
      <c r="R105" s="311" t="s">
        <v>1</v>
      </c>
      <c r="S105" s="311" t="s">
        <v>1</v>
      </c>
      <c r="T105" s="311" t="s">
        <v>1</v>
      </c>
      <c r="U105" s="311" t="s">
        <v>1</v>
      </c>
      <c r="V105" s="311" t="s">
        <v>1</v>
      </c>
      <c r="W105" s="1003"/>
      <c r="X105" s="1003"/>
      <c r="Y105" s="1003"/>
      <c r="Z105" s="1003">
        <v>134.1</v>
      </c>
      <c r="AA105" s="311">
        <v>1805.7</v>
      </c>
      <c r="AB105" s="1001">
        <v>68.8</v>
      </c>
      <c r="AC105" s="3">
        <v>128.9</v>
      </c>
      <c r="AD105" s="985">
        <v>125.9</v>
      </c>
      <c r="AE105" s="1001">
        <v>186</v>
      </c>
      <c r="AF105" s="1001">
        <v>90.1</v>
      </c>
      <c r="AG105" s="1001">
        <v>109</v>
      </c>
      <c r="AH105" s="994" t="s">
        <v>350</v>
      </c>
      <c r="AI105" s="304">
        <v>111.8</v>
      </c>
      <c r="AJ105" s="985">
        <v>125.1</v>
      </c>
      <c r="AK105" s="985">
        <v>133.30000000000001</v>
      </c>
      <c r="AL105" s="985">
        <v>96.9</v>
      </c>
      <c r="AM105" s="985">
        <v>131</v>
      </c>
      <c r="AN105" s="985">
        <v>143.19999999999999</v>
      </c>
      <c r="AO105" s="985">
        <v>136.69999999999999</v>
      </c>
      <c r="AP105" s="985">
        <v>133.5</v>
      </c>
      <c r="AQ105" s="985">
        <v>129.5</v>
      </c>
      <c r="AR105" s="774">
        <v>123.8</v>
      </c>
    </row>
    <row r="106" spans="1:215" s="11" customFormat="1">
      <c r="A106" s="995" t="s">
        <v>113</v>
      </c>
      <c r="B106" s="4"/>
      <c r="C106" s="311"/>
      <c r="D106" s="311"/>
      <c r="E106" s="311"/>
      <c r="F106" s="311"/>
      <c r="G106" s="311"/>
      <c r="H106" s="311"/>
      <c r="I106" s="311"/>
      <c r="J106" s="311"/>
      <c r="K106" s="311"/>
      <c r="L106" s="311"/>
      <c r="M106" s="311"/>
      <c r="N106" s="311"/>
      <c r="O106" s="311"/>
      <c r="P106" s="311"/>
      <c r="Q106" s="311" t="s">
        <v>1</v>
      </c>
      <c r="R106" s="311" t="s">
        <v>1</v>
      </c>
      <c r="S106" s="311" t="s">
        <v>1</v>
      </c>
      <c r="T106" s="311" t="s">
        <v>1</v>
      </c>
      <c r="U106" s="311" t="s">
        <v>1</v>
      </c>
      <c r="V106" s="311" t="s">
        <v>1</v>
      </c>
      <c r="W106" s="1003">
        <v>202.5</v>
      </c>
      <c r="X106" s="1003">
        <v>77.599999999999994</v>
      </c>
      <c r="Y106" s="1003">
        <v>107.6</v>
      </c>
      <c r="Z106" s="1003">
        <v>83.8</v>
      </c>
      <c r="AA106" s="311">
        <v>78.5</v>
      </c>
      <c r="AB106" s="1001">
        <v>77.2</v>
      </c>
      <c r="AC106" s="3">
        <v>99.6</v>
      </c>
      <c r="AD106" s="985">
        <v>97.8</v>
      </c>
      <c r="AE106" s="1001">
        <v>112.3</v>
      </c>
      <c r="AF106" s="1001">
        <v>95.3</v>
      </c>
      <c r="AG106" s="1001">
        <v>154.1</v>
      </c>
      <c r="AH106" s="994" t="s">
        <v>351</v>
      </c>
      <c r="AI106" s="304">
        <v>101.1</v>
      </c>
      <c r="AJ106" s="985">
        <v>91.9</v>
      </c>
      <c r="AK106" s="985">
        <v>97.5</v>
      </c>
      <c r="AL106" s="985">
        <v>102.7</v>
      </c>
      <c r="AM106" s="985">
        <v>123.8</v>
      </c>
      <c r="AN106" s="985">
        <v>121.7</v>
      </c>
      <c r="AO106" s="4">
        <v>119.7</v>
      </c>
      <c r="AP106" s="985">
        <v>116.4</v>
      </c>
      <c r="AQ106" s="985">
        <v>113.8</v>
      </c>
      <c r="AR106" s="774">
        <v>112.5</v>
      </c>
    </row>
    <row r="107" spans="1:215" s="11" customFormat="1" ht="35.25" customHeight="1">
      <c r="A107" s="1025" t="s">
        <v>433</v>
      </c>
      <c r="B107" s="1025"/>
      <c r="C107" s="1025"/>
      <c r="D107" s="1025"/>
      <c r="E107" s="1025"/>
      <c r="F107" s="1025"/>
      <c r="G107" s="1025"/>
      <c r="H107" s="1025"/>
      <c r="I107" s="1025"/>
      <c r="J107" s="1025"/>
      <c r="K107" s="1025"/>
      <c r="L107" s="1025"/>
      <c r="M107" s="1025"/>
      <c r="N107" s="1025"/>
      <c r="O107" s="1025"/>
      <c r="P107" s="1025"/>
      <c r="Q107" s="1025"/>
      <c r="R107" s="1025"/>
      <c r="S107" s="1025"/>
      <c r="T107" s="1025"/>
      <c r="U107" s="1025"/>
      <c r="V107" s="1025"/>
      <c r="W107" s="1025"/>
      <c r="X107" s="1025"/>
      <c r="Y107" s="1025"/>
      <c r="Z107" s="1025"/>
      <c r="AA107" s="1025"/>
      <c r="AB107" s="1025"/>
      <c r="AC107" s="1025"/>
      <c r="AD107" s="1025"/>
      <c r="AE107" s="1025"/>
      <c r="AF107" s="1001"/>
      <c r="AG107" s="1026"/>
      <c r="AH107" s="1001"/>
      <c r="AI107" s="1001"/>
      <c r="AJ107" s="1001"/>
      <c r="AK107" s="4"/>
      <c r="AL107" s="4"/>
      <c r="AM107" s="4"/>
      <c r="AN107" s="4"/>
      <c r="AO107" s="4"/>
      <c r="AP107" s="4"/>
      <c r="AQ107" s="4"/>
      <c r="AR107" s="811"/>
    </row>
    <row r="108" spans="1:215" s="11" customFormat="1" ht="62.25" customHeight="1">
      <c r="A108" s="1027" t="s">
        <v>434</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9"/>
      <c r="AE108" s="1025"/>
      <c r="AF108" s="4"/>
      <c r="AG108" s="1030"/>
      <c r="AH108" s="4"/>
      <c r="AI108" s="4"/>
      <c r="AJ108" s="4"/>
      <c r="AK108" s="4"/>
      <c r="AL108" s="4"/>
      <c r="AM108" s="4"/>
      <c r="AN108" s="4"/>
      <c r="AO108" s="4"/>
      <c r="AP108" s="4"/>
      <c r="AQ108" s="4"/>
      <c r="AR108" s="811"/>
      <c r="EF108" s="1031"/>
      <c r="EG108" s="1031"/>
      <c r="EH108" s="1031"/>
      <c r="EI108" s="1031"/>
      <c r="EJ108" s="1031"/>
      <c r="EK108" s="1031"/>
      <c r="EL108" s="1032"/>
      <c r="EM108" s="1031"/>
      <c r="EN108" s="1031"/>
      <c r="EO108" s="1031"/>
      <c r="EP108" s="1031"/>
      <c r="EQ108" s="1031"/>
      <c r="ER108" s="1031"/>
      <c r="ES108" s="1031"/>
      <c r="ET108" s="1031"/>
      <c r="EU108" s="1031"/>
      <c r="EV108" s="1031"/>
      <c r="EW108" s="1031"/>
      <c r="EX108" s="1031"/>
      <c r="EY108" s="1031"/>
      <c r="EZ108" s="1031"/>
      <c r="FA108" s="1031"/>
      <c r="FB108" s="1031"/>
      <c r="FC108" s="1031"/>
      <c r="FD108" s="1031"/>
      <c r="FE108" s="1031"/>
      <c r="FF108" s="1031"/>
      <c r="FG108" s="1031"/>
      <c r="FH108" s="1031"/>
      <c r="FI108" s="1031"/>
      <c r="FJ108" s="1031"/>
      <c r="FK108" s="1031"/>
      <c r="FL108" s="1032"/>
      <c r="FM108" s="1031"/>
      <c r="FN108" s="1031"/>
      <c r="FO108" s="1031"/>
      <c r="FP108" s="1031"/>
      <c r="FQ108" s="1031"/>
      <c r="FR108" s="1031"/>
      <c r="FS108" s="1031"/>
      <c r="FT108" s="1031"/>
      <c r="FU108" s="1031"/>
      <c r="FV108" s="1031"/>
      <c r="FW108" s="1031"/>
      <c r="FX108" s="1031"/>
      <c r="FY108" s="1031"/>
      <c r="FZ108" s="1031"/>
      <c r="GA108" s="1031"/>
      <c r="GB108" s="1031"/>
      <c r="GC108" s="1031"/>
      <c r="GD108" s="1031"/>
      <c r="GE108" s="1031"/>
      <c r="GF108" s="1031"/>
      <c r="GG108" s="1031"/>
      <c r="GH108" s="1031"/>
      <c r="GI108" s="1031"/>
      <c r="GJ108" s="1031"/>
      <c r="GK108" s="1031"/>
      <c r="GL108" s="1032"/>
      <c r="GM108" s="1031"/>
      <c r="GN108" s="1031"/>
      <c r="GO108" s="1031"/>
      <c r="GP108" s="1031"/>
      <c r="GQ108" s="1031"/>
      <c r="GR108" s="1031"/>
      <c r="GS108" s="1031"/>
      <c r="GT108" s="1031"/>
      <c r="GU108" s="1031"/>
      <c r="GV108" s="1031"/>
      <c r="GW108" s="1031"/>
      <c r="GX108" s="1031"/>
      <c r="GY108" s="1031"/>
      <c r="GZ108" s="1031"/>
      <c r="HA108" s="1031"/>
      <c r="HB108" s="1031"/>
      <c r="HC108" s="1031"/>
      <c r="HD108" s="1031"/>
      <c r="HE108" s="1031"/>
      <c r="HF108" s="1031"/>
      <c r="HG108" s="103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EQ135"/>
  <sheetViews>
    <sheetView workbookViewId="0">
      <pane xSplit="1" topLeftCell="AH1" activePane="topRight" state="frozen"/>
      <selection pane="topRight" activeCell="AS26" sqref="AS26"/>
    </sheetView>
  </sheetViews>
  <sheetFormatPr defaultColWidth="49.85546875" defaultRowHeight="12.75"/>
  <cols>
    <col min="1" max="1" width="49.85546875" style="15"/>
    <col min="2" max="2" width="23.42578125" style="15" bestFit="1" customWidth="1"/>
    <col min="3" max="37" width="11.42578125" style="15" customWidth="1"/>
    <col min="38" max="44" width="13.140625" style="15" customWidth="1"/>
    <col min="45" max="46" width="15.5703125" style="15" customWidth="1"/>
    <col min="47" max="16384" width="49.85546875" style="15"/>
  </cols>
  <sheetData>
    <row r="1" spans="1:44" ht="25.5">
      <c r="A1" s="979" t="s">
        <v>352</v>
      </c>
      <c r="B1" s="327" t="s">
        <v>217</v>
      </c>
      <c r="C1" s="327">
        <v>1991</v>
      </c>
      <c r="D1" s="327">
        <v>1992</v>
      </c>
      <c r="E1" s="327">
        <v>1993</v>
      </c>
      <c r="F1" s="327">
        <v>1994</v>
      </c>
      <c r="G1" s="327">
        <v>1995</v>
      </c>
      <c r="H1" s="327">
        <v>1996</v>
      </c>
      <c r="I1" s="327">
        <v>1997</v>
      </c>
      <c r="J1" s="327">
        <v>1998</v>
      </c>
      <c r="K1" s="327">
        <v>1999</v>
      </c>
      <c r="L1" s="327">
        <v>2000</v>
      </c>
      <c r="M1" s="327">
        <v>2001</v>
      </c>
      <c r="N1" s="327">
        <v>2002</v>
      </c>
      <c r="O1" s="327">
        <v>2003</v>
      </c>
      <c r="P1" s="327">
        <v>2004</v>
      </c>
      <c r="Q1" s="327">
        <v>2005</v>
      </c>
      <c r="R1" s="327">
        <v>2006</v>
      </c>
      <c r="S1" s="327">
        <v>2007</v>
      </c>
      <c r="T1" s="327">
        <v>2008</v>
      </c>
      <c r="U1" s="327">
        <v>2009</v>
      </c>
      <c r="V1" s="327">
        <v>2010</v>
      </c>
      <c r="W1" s="327">
        <v>2011</v>
      </c>
      <c r="X1" s="327">
        <v>2012</v>
      </c>
      <c r="Y1" s="327">
        <v>2013</v>
      </c>
      <c r="Z1" s="327">
        <v>2014</v>
      </c>
      <c r="AA1" s="327">
        <v>2015</v>
      </c>
      <c r="AB1" s="1033">
        <v>2016</v>
      </c>
      <c r="AC1" s="1034">
        <v>2017</v>
      </c>
      <c r="AD1" s="327">
        <v>2018</v>
      </c>
      <c r="AE1" s="327">
        <v>2019</v>
      </c>
      <c r="AF1" s="327">
        <v>2020</v>
      </c>
      <c r="AG1" s="327">
        <v>2021</v>
      </c>
      <c r="AH1" s="295">
        <v>2022</v>
      </c>
      <c r="AI1" s="295">
        <v>2023</v>
      </c>
      <c r="AJ1" s="1035" t="s">
        <v>448</v>
      </c>
      <c r="AK1" s="1035" t="s">
        <v>480</v>
      </c>
      <c r="AL1" s="1035" t="s">
        <v>463</v>
      </c>
      <c r="AM1" s="1035" t="s">
        <v>471</v>
      </c>
      <c r="AN1" s="1035" t="s">
        <v>481</v>
      </c>
      <c r="AO1" s="1035" t="s">
        <v>488</v>
      </c>
      <c r="AP1" s="1035" t="s">
        <v>497</v>
      </c>
      <c r="AQ1" s="1035" t="s">
        <v>519</v>
      </c>
      <c r="AR1" s="1091" t="s">
        <v>537</v>
      </c>
    </row>
    <row r="2" spans="1:44" s="11" customFormat="1" ht="15">
      <c r="A2" s="1023" t="s">
        <v>435</v>
      </c>
      <c r="B2" s="991" t="s">
        <v>214</v>
      </c>
      <c r="C2" s="311">
        <v>0.50372001405304789</v>
      </c>
      <c r="D2" s="311">
        <v>10.3917591726903</v>
      </c>
      <c r="E2" s="311">
        <v>43.857296506095857</v>
      </c>
      <c r="F2" s="311">
        <v>236.98513370440998</v>
      </c>
      <c r="G2" s="311">
        <v>371.92501030291203</v>
      </c>
      <c r="H2" s="311">
        <v>557.16367411580393</v>
      </c>
      <c r="I2" s="311">
        <v>1030.5945186702299</v>
      </c>
      <c r="J2" s="311">
        <v>1111.5999999999999</v>
      </c>
      <c r="K2" s="311">
        <v>974.84700000000021</v>
      </c>
      <c r="L2" s="311">
        <v>1911.0736298828924</v>
      </c>
      <c r="M2" s="311">
        <v>755.97299999999996</v>
      </c>
      <c r="N2" s="311">
        <v>631.28899999999999</v>
      </c>
      <c r="O2" s="311">
        <v>815.55700000000002</v>
      </c>
      <c r="P2" s="311">
        <v>1044.7840000000001</v>
      </c>
      <c r="Q2" s="311">
        <v>1035.2440000000001</v>
      </c>
      <c r="R2" s="311">
        <v>1153.3</v>
      </c>
      <c r="S2" s="311">
        <v>1622.2</v>
      </c>
      <c r="T2" s="311">
        <v>1466.2</v>
      </c>
      <c r="U2" s="311">
        <v>1339</v>
      </c>
      <c r="V2" s="311">
        <v>2667.4</v>
      </c>
      <c r="W2" s="311">
        <v>2738</v>
      </c>
      <c r="X2" s="311">
        <v>2078.8000000000002</v>
      </c>
      <c r="Y2" s="311">
        <v>4552.3</v>
      </c>
      <c r="Z2" s="311">
        <v>4925.1000000000004</v>
      </c>
      <c r="AA2" s="311">
        <v>3426.1</v>
      </c>
      <c r="AB2" s="311">
        <v>4242.2</v>
      </c>
      <c r="AC2" s="311">
        <v>5740</v>
      </c>
      <c r="AD2" s="311">
        <v>6594.5</v>
      </c>
      <c r="AE2" s="1036">
        <v>6799.4</v>
      </c>
      <c r="AF2" s="1037">
        <v>7812</v>
      </c>
      <c r="AG2" s="1037">
        <v>8059.5</v>
      </c>
      <c r="AH2" s="1037">
        <v>5063.3</v>
      </c>
      <c r="AI2" s="311">
        <v>5053.6000000000004</v>
      </c>
      <c r="AJ2" s="6">
        <v>7521.6</v>
      </c>
      <c r="AK2" s="6">
        <v>8806.7999999999993</v>
      </c>
      <c r="AL2" s="6">
        <v>382.3</v>
      </c>
      <c r="AM2" s="6">
        <v>759.9</v>
      </c>
      <c r="AN2" s="6">
        <v>1183.8</v>
      </c>
      <c r="AO2" s="6">
        <v>1494</v>
      </c>
      <c r="AP2" s="312">
        <v>1710.5</v>
      </c>
      <c r="AQ2" s="6">
        <v>1958.7</v>
      </c>
      <c r="AR2" s="782">
        <v>2674.1</v>
      </c>
    </row>
    <row r="3" spans="1:44" s="11" customFormat="1">
      <c r="A3" s="998" t="s">
        <v>102</v>
      </c>
      <c r="B3" s="999" t="s">
        <v>74</v>
      </c>
      <c r="C3" s="311">
        <v>147.54390158927515</v>
      </c>
      <c r="D3" s="311" t="s">
        <v>528</v>
      </c>
      <c r="E3" s="311">
        <v>74.182394797729089</v>
      </c>
      <c r="F3" s="311">
        <v>77.708867054195295</v>
      </c>
      <c r="G3" s="311">
        <v>61.631660569837287</v>
      </c>
      <c r="H3" s="311">
        <v>111.76675336518441</v>
      </c>
      <c r="I3" s="311">
        <v>177.29113669306011</v>
      </c>
      <c r="J3" s="311">
        <v>124.97179466683615</v>
      </c>
      <c r="K3" s="311">
        <v>78.814089113809331</v>
      </c>
      <c r="L3" s="311" t="s">
        <v>529</v>
      </c>
      <c r="M3" s="311">
        <v>33.813827932113256</v>
      </c>
      <c r="N3" s="311">
        <v>84.151383483502514</v>
      </c>
      <c r="O3" s="311">
        <v>130.81156174113599</v>
      </c>
      <c r="P3" s="311">
        <v>122.3773445632862</v>
      </c>
      <c r="Q3" s="311">
        <v>72.959961102007682</v>
      </c>
      <c r="R3" s="311">
        <v>104.9</v>
      </c>
      <c r="S3" s="311">
        <v>115.4</v>
      </c>
      <c r="T3" s="311">
        <v>73.099999999999994</v>
      </c>
      <c r="U3" s="311">
        <v>87.5</v>
      </c>
      <c r="V3" s="311">
        <v>98.7</v>
      </c>
      <c r="W3" s="311">
        <v>94.192096689107672</v>
      </c>
      <c r="X3" s="311">
        <v>68.823849705345253</v>
      </c>
      <c r="Y3" s="311">
        <v>89.271145579999654</v>
      </c>
      <c r="Z3" s="311">
        <v>94.234826206629336</v>
      </c>
      <c r="AA3" s="311">
        <v>67.477479180744638</v>
      </c>
      <c r="AB3" s="311">
        <v>113.85060536652858</v>
      </c>
      <c r="AC3" s="311">
        <v>134.69999999999999</v>
      </c>
      <c r="AD3" s="311">
        <v>104.3</v>
      </c>
      <c r="AE3" s="1036">
        <v>101.4</v>
      </c>
      <c r="AF3" s="1037">
        <v>88.3</v>
      </c>
      <c r="AG3" s="1037">
        <v>92.8</v>
      </c>
      <c r="AH3" s="4">
        <v>56.7</v>
      </c>
      <c r="AI3" s="311">
        <v>88.8</v>
      </c>
      <c r="AJ3" s="3">
        <v>144.6</v>
      </c>
      <c r="AK3" s="3">
        <v>105.7</v>
      </c>
      <c r="AL3" s="3">
        <v>100.9</v>
      </c>
      <c r="AM3" s="3">
        <v>100.1</v>
      </c>
      <c r="AN3" s="3">
        <v>101.4</v>
      </c>
      <c r="AO3" s="3">
        <v>122.8</v>
      </c>
      <c r="AP3" s="1064">
        <v>118.3</v>
      </c>
      <c r="AQ3" s="3">
        <v>113</v>
      </c>
      <c r="AR3" s="817">
        <v>121.2</v>
      </c>
    </row>
    <row r="4" spans="1:44" s="11" customFormat="1">
      <c r="A4" s="1023" t="s">
        <v>353</v>
      </c>
      <c r="B4" s="4"/>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4"/>
      <c r="AF4" s="1006"/>
      <c r="AG4" s="4"/>
      <c r="AH4" s="4"/>
      <c r="AI4" s="4"/>
      <c r="AJ4" s="4"/>
      <c r="AK4" s="4"/>
      <c r="AL4" s="4"/>
      <c r="AM4" s="4"/>
      <c r="AN4" s="4"/>
      <c r="AO4" s="4"/>
      <c r="AP4" s="242"/>
      <c r="AQ4" s="4"/>
      <c r="AR4" s="811"/>
    </row>
    <row r="5" spans="1:44" s="11" customFormat="1" ht="15">
      <c r="A5" s="1023" t="s">
        <v>436</v>
      </c>
      <c r="B5" s="991" t="s">
        <v>214</v>
      </c>
      <c r="C5" s="311">
        <v>0.50365979999999999</v>
      </c>
      <c r="D5" s="311">
        <v>10.383937767385554</v>
      </c>
      <c r="E5" s="311">
        <v>43.335545400000001</v>
      </c>
      <c r="F5" s="311">
        <v>223.95979668486601</v>
      </c>
      <c r="G5" s="311">
        <v>320.22789626615076</v>
      </c>
      <c r="H5" s="311">
        <v>477.01359782915898</v>
      </c>
      <c r="I5" s="311">
        <v>924.27709999363617</v>
      </c>
      <c r="J5" s="311">
        <v>950.4</v>
      </c>
      <c r="K5" s="311">
        <v>833.80000000000018</v>
      </c>
      <c r="L5" s="311">
        <v>1628.2000000000003</v>
      </c>
      <c r="M5" s="311">
        <v>408.79999999999995</v>
      </c>
      <c r="N5" s="311">
        <v>143.9</v>
      </c>
      <c r="O5" s="311">
        <v>229.8</v>
      </c>
      <c r="P5" s="311">
        <v>269.2</v>
      </c>
      <c r="Q5" s="311">
        <v>286.71600000000007</v>
      </c>
      <c r="R5" s="311">
        <v>403.4</v>
      </c>
      <c r="S5" s="311">
        <v>626.70000000000005</v>
      </c>
      <c r="T5" s="311">
        <v>517.20000000000005</v>
      </c>
      <c r="U5" s="311">
        <v>459.79999999999995</v>
      </c>
      <c r="V5" s="1038">
        <v>1485.2588658363438</v>
      </c>
      <c r="W5" s="311">
        <v>1606.9</v>
      </c>
      <c r="X5" s="311">
        <v>1857</v>
      </c>
      <c r="Y5" s="311">
        <v>1622.2</v>
      </c>
      <c r="Z5" s="311">
        <v>2111.4</v>
      </c>
      <c r="AA5" s="311">
        <v>2242.8000000000002</v>
      </c>
      <c r="AB5" s="311">
        <v>2970.1</v>
      </c>
      <c r="AC5" s="311">
        <v>4299.8</v>
      </c>
      <c r="AD5" s="311">
        <v>5022.8999999999996</v>
      </c>
      <c r="AE5" s="1036">
        <v>5172.5</v>
      </c>
      <c r="AF5" s="1037">
        <v>662.9</v>
      </c>
      <c r="AG5" s="1037">
        <v>7077.6</v>
      </c>
      <c r="AH5" s="6">
        <v>4338.8</v>
      </c>
      <c r="AI5" s="311">
        <v>4718.3999999999996</v>
      </c>
      <c r="AJ5" s="6">
        <v>7188.8</v>
      </c>
      <c r="AK5" s="6">
        <v>8434.7000000000007</v>
      </c>
      <c r="AL5" s="6">
        <v>359.7</v>
      </c>
      <c r="AM5" s="6">
        <v>718.7</v>
      </c>
      <c r="AN5" s="6">
        <v>1111.7</v>
      </c>
      <c r="AO5" s="6">
        <v>1400.9</v>
      </c>
      <c r="AP5" s="312">
        <v>1596.3</v>
      </c>
      <c r="AQ5" s="6">
        <v>1786.1</v>
      </c>
      <c r="AR5" s="782">
        <v>2489.3000000000002</v>
      </c>
    </row>
    <row r="6" spans="1:44" s="11" customFormat="1">
      <c r="A6" s="998" t="s">
        <v>102</v>
      </c>
      <c r="B6" s="999" t="s">
        <v>74</v>
      </c>
      <c r="C6" s="311">
        <v>147.33253298792113</v>
      </c>
      <c r="D6" s="311" t="s">
        <v>530</v>
      </c>
      <c r="E6" s="311">
        <v>73.659162557999224</v>
      </c>
      <c r="F6" s="311">
        <v>77.088089307859477</v>
      </c>
      <c r="G6" s="311">
        <v>57.700273849521814</v>
      </c>
      <c r="H6" s="311">
        <v>113.48238267699863</v>
      </c>
      <c r="I6" s="311">
        <v>189.06966260324566</v>
      </c>
      <c r="J6" s="311">
        <v>123.45558801255005</v>
      </c>
      <c r="K6" s="311">
        <v>87.731481481481495</v>
      </c>
      <c r="L6" s="311" t="s">
        <v>529</v>
      </c>
      <c r="M6" s="311">
        <v>21.109200343938088</v>
      </c>
      <c r="N6" s="311">
        <v>38.772015655577313</v>
      </c>
      <c r="O6" s="311">
        <v>150.45170257123004</v>
      </c>
      <c r="P6" s="311">
        <v>123.32463011314188</v>
      </c>
      <c r="Q6" s="311">
        <v>67.496285289747405</v>
      </c>
      <c r="R6" s="311">
        <v>136.4</v>
      </c>
      <c r="S6" s="311">
        <v>126.4</v>
      </c>
      <c r="T6" s="311">
        <v>55.3</v>
      </c>
      <c r="U6" s="311">
        <v>85</v>
      </c>
      <c r="V6" s="311">
        <v>96.4</v>
      </c>
      <c r="W6" s="311">
        <v>98.777193973459063</v>
      </c>
      <c r="X6" s="311">
        <v>104.58237372687167</v>
      </c>
      <c r="Y6" s="311">
        <v>91.496466746448675</v>
      </c>
      <c r="Z6" s="311">
        <v>100.70049409070809</v>
      </c>
      <c r="AA6" s="311">
        <v>108.83731200635181</v>
      </c>
      <c r="AB6" s="311">
        <v>122.68351734302495</v>
      </c>
      <c r="AC6" s="311">
        <v>148.1</v>
      </c>
      <c r="AD6" s="311">
        <v>104.9</v>
      </c>
      <c r="AE6" s="1036">
        <v>101.7</v>
      </c>
      <c r="AF6" s="1037">
        <v>100.8</v>
      </c>
      <c r="AG6" s="1037">
        <v>95.5</v>
      </c>
      <c r="AH6" s="4">
        <v>56.7</v>
      </c>
      <c r="AI6" s="311">
        <v>96.6</v>
      </c>
      <c r="AJ6" s="1017" t="s">
        <v>454</v>
      </c>
      <c r="AK6" s="1039">
        <v>106</v>
      </c>
      <c r="AL6" s="1017" t="s">
        <v>386</v>
      </c>
      <c r="AM6" s="1017" t="s">
        <v>386</v>
      </c>
      <c r="AN6" s="1017" t="s">
        <v>386</v>
      </c>
      <c r="AO6" s="1017" t="s">
        <v>496</v>
      </c>
      <c r="AP6" s="1065" t="s">
        <v>534</v>
      </c>
      <c r="AQ6" s="1017" t="s">
        <v>523</v>
      </c>
      <c r="AR6" s="1092" t="s">
        <v>540</v>
      </c>
    </row>
    <row r="7" spans="1:44" s="11" customFormat="1" ht="15">
      <c r="A7" s="1023" t="s">
        <v>437</v>
      </c>
      <c r="B7" s="991" t="s">
        <v>214</v>
      </c>
      <c r="C7" s="311" t="s">
        <v>1</v>
      </c>
      <c r="D7" s="311">
        <v>1.8E-3</v>
      </c>
      <c r="E7" s="311">
        <v>0.40132300000000004</v>
      </c>
      <c r="F7" s="311">
        <v>10.959994999999999</v>
      </c>
      <c r="G7" s="311">
        <v>42.574685000000002</v>
      </c>
      <c r="H7" s="311">
        <v>71.425059999999988</v>
      </c>
      <c r="I7" s="311">
        <v>98.284863999999999</v>
      </c>
      <c r="J7" s="311">
        <v>161.20000000000002</v>
      </c>
      <c r="K7" s="311">
        <v>140.4</v>
      </c>
      <c r="L7" s="311">
        <v>143.79999999999998</v>
      </c>
      <c r="M7" s="311">
        <v>192</v>
      </c>
      <c r="N7" s="311">
        <v>259.89999999999998</v>
      </c>
      <c r="O7" s="311">
        <v>240.1</v>
      </c>
      <c r="P7" s="311">
        <v>298</v>
      </c>
      <c r="Q7" s="311">
        <v>344.8</v>
      </c>
      <c r="R7" s="311">
        <v>366.7</v>
      </c>
      <c r="S7" s="311">
        <v>431.79999999999995</v>
      </c>
      <c r="T7" s="311">
        <v>402.6</v>
      </c>
      <c r="U7" s="311">
        <v>347.20000000000005</v>
      </c>
      <c r="V7" s="1038">
        <v>386.86349160092158</v>
      </c>
      <c r="W7" s="311">
        <v>272.39999999999998</v>
      </c>
      <c r="X7" s="311">
        <v>221.8</v>
      </c>
      <c r="Y7" s="311">
        <v>2930.1</v>
      </c>
      <c r="Z7" s="311">
        <v>2813.7</v>
      </c>
      <c r="AA7" s="311">
        <v>1183.3</v>
      </c>
      <c r="AB7" s="311">
        <v>1272.0999999999999</v>
      </c>
      <c r="AC7" s="311">
        <v>1440.2</v>
      </c>
      <c r="AD7" s="311">
        <v>1571.6</v>
      </c>
      <c r="AE7" s="1036">
        <v>1626.9</v>
      </c>
      <c r="AF7" s="1037">
        <v>826.3</v>
      </c>
      <c r="AG7" s="1037">
        <v>658</v>
      </c>
      <c r="AH7" s="4">
        <v>705.4</v>
      </c>
      <c r="AI7" s="311">
        <v>333.8</v>
      </c>
      <c r="AJ7" s="3">
        <v>316.60000000000002</v>
      </c>
      <c r="AK7" s="4">
        <v>348.1</v>
      </c>
      <c r="AL7" s="4">
        <v>22.5</v>
      </c>
      <c r="AM7" s="4">
        <v>41.2</v>
      </c>
      <c r="AN7" s="4">
        <v>72.099999999999994</v>
      </c>
      <c r="AO7" s="4">
        <v>93.2</v>
      </c>
      <c r="AP7" s="242">
        <v>114.2</v>
      </c>
      <c r="AQ7" s="4">
        <v>172.2</v>
      </c>
      <c r="AR7" s="811">
        <v>183.1</v>
      </c>
    </row>
    <row r="8" spans="1:44" s="11" customFormat="1">
      <c r="A8" s="998" t="s">
        <v>102</v>
      </c>
      <c r="B8" s="1040" t="s">
        <v>74</v>
      </c>
      <c r="C8" s="311" t="s">
        <v>1</v>
      </c>
      <c r="D8" s="311" t="s">
        <v>1</v>
      </c>
      <c r="E8" s="311" t="s">
        <v>535</v>
      </c>
      <c r="F8" s="311">
        <v>141.05321648647097</v>
      </c>
      <c r="G8" s="311">
        <v>118.30949740396781</v>
      </c>
      <c r="H8" s="311">
        <v>110.30813263797488</v>
      </c>
      <c r="I8" s="311">
        <v>107.74084053972096</v>
      </c>
      <c r="J8" s="311">
        <v>149.44048830111905</v>
      </c>
      <c r="K8" s="311">
        <v>25.868486352357316</v>
      </c>
      <c r="L8" s="311">
        <v>94.943019943019948</v>
      </c>
      <c r="M8" s="311">
        <v>119.6105702364395</v>
      </c>
      <c r="N8" s="311">
        <v>130.41666666666669</v>
      </c>
      <c r="O8" s="311">
        <v>89.303578299345901</v>
      </c>
      <c r="P8" s="311">
        <v>109.62557267805082</v>
      </c>
      <c r="Q8" s="311">
        <v>102.48221476510066</v>
      </c>
      <c r="R8" s="311">
        <v>97.3</v>
      </c>
      <c r="S8" s="311">
        <v>103.2</v>
      </c>
      <c r="T8" s="311">
        <v>75.400000000000006</v>
      </c>
      <c r="U8" s="311">
        <v>81.900000000000006</v>
      </c>
      <c r="V8" s="311">
        <v>65</v>
      </c>
      <c r="W8" s="311">
        <v>66.390988608858251</v>
      </c>
      <c r="X8" s="311">
        <v>74.831154989515198</v>
      </c>
      <c r="Y8" s="311">
        <v>70.64052965584294</v>
      </c>
      <c r="Z8" s="311">
        <v>90.655255637465999</v>
      </c>
      <c r="AA8" s="311">
        <v>36.440482606269128</v>
      </c>
      <c r="AB8" s="311">
        <v>97.10818907516915</v>
      </c>
      <c r="AC8" s="311">
        <v>103.4</v>
      </c>
      <c r="AD8" s="311">
        <v>102.4</v>
      </c>
      <c r="AE8" s="1036">
        <v>100.7</v>
      </c>
      <c r="AF8" s="1037">
        <v>48.6</v>
      </c>
      <c r="AG8" s="1037">
        <v>71.400000000000006</v>
      </c>
      <c r="AH8" s="4">
        <v>82.6</v>
      </c>
      <c r="AI8" s="311">
        <v>40.9</v>
      </c>
      <c r="AJ8" s="3">
        <v>89.1</v>
      </c>
      <c r="AK8" s="3">
        <v>100.3</v>
      </c>
      <c r="AL8" s="3">
        <v>115.3</v>
      </c>
      <c r="AM8" s="3">
        <v>102.1</v>
      </c>
      <c r="AN8" s="3">
        <v>124.7</v>
      </c>
      <c r="AO8" s="3">
        <v>122.6</v>
      </c>
      <c r="AP8" s="1064">
        <v>119.4</v>
      </c>
      <c r="AQ8" s="3">
        <v>91.3</v>
      </c>
      <c r="AR8" s="817">
        <v>64.7</v>
      </c>
    </row>
    <row r="9" spans="1:44" s="11" customFormat="1">
      <c r="A9" s="998" t="s">
        <v>354</v>
      </c>
      <c r="B9" s="991" t="s">
        <v>214</v>
      </c>
      <c r="C9" s="1041">
        <v>6.0214053047929171E-5</v>
      </c>
      <c r="D9" s="1041">
        <v>6.0214053047929206E-3</v>
      </c>
      <c r="E9" s="1041">
        <v>0.12042810609585852</v>
      </c>
      <c r="F9" s="1041">
        <v>2.0653420195439693</v>
      </c>
      <c r="G9" s="1041">
        <v>9.1224290367612753</v>
      </c>
      <c r="H9" s="1041">
        <v>8.7250162866449443</v>
      </c>
      <c r="I9" s="1041">
        <v>8.0325546765937617</v>
      </c>
      <c r="J9" s="1041" t="s">
        <v>531</v>
      </c>
      <c r="K9" s="1041">
        <v>0.64700000000000002</v>
      </c>
      <c r="L9" s="1041">
        <v>139.07362988289208</v>
      </c>
      <c r="M9" s="1041">
        <v>155.173</v>
      </c>
      <c r="N9" s="1041">
        <v>227.489</v>
      </c>
      <c r="O9" s="1041">
        <v>345.65700000000004</v>
      </c>
      <c r="P9" s="1041">
        <v>477.584</v>
      </c>
      <c r="Q9" s="1041">
        <v>403.72800000000001</v>
      </c>
      <c r="R9" s="1041">
        <v>383.2</v>
      </c>
      <c r="S9" s="1041">
        <v>563.70000000000005</v>
      </c>
      <c r="T9" s="1041">
        <v>546.4</v>
      </c>
      <c r="U9" s="1042">
        <v>532</v>
      </c>
      <c r="V9" s="1038">
        <v>795.24199999999996</v>
      </c>
      <c r="W9" s="1043">
        <v>858.68400000000008</v>
      </c>
      <c r="X9" s="1043" t="s">
        <v>1</v>
      </c>
      <c r="Y9" s="1043" t="s">
        <v>1</v>
      </c>
      <c r="Z9" s="952" t="s">
        <v>1</v>
      </c>
      <c r="AA9" s="952" t="s">
        <v>1</v>
      </c>
      <c r="AB9" s="1044" t="s">
        <v>1</v>
      </c>
      <c r="AC9" s="1044" t="s">
        <v>1</v>
      </c>
      <c r="AD9" s="1044" t="s">
        <v>1</v>
      </c>
      <c r="AE9" s="1037">
        <v>0</v>
      </c>
      <c r="AF9" s="1037">
        <v>322.8</v>
      </c>
      <c r="AG9" s="1037">
        <v>323.89999999999998</v>
      </c>
      <c r="AH9" s="3">
        <v>19</v>
      </c>
      <c r="AI9" s="311">
        <v>1.5</v>
      </c>
      <c r="AJ9" s="3">
        <v>16.2</v>
      </c>
      <c r="AK9" s="3">
        <v>24</v>
      </c>
      <c r="AL9" s="3">
        <v>0</v>
      </c>
      <c r="AM9" s="3">
        <v>0</v>
      </c>
      <c r="AN9" s="3">
        <v>0</v>
      </c>
      <c r="AO9" s="3">
        <v>0</v>
      </c>
      <c r="AP9" s="1064">
        <v>0</v>
      </c>
      <c r="AQ9" s="3">
        <v>0.4</v>
      </c>
      <c r="AR9" s="817">
        <v>1.7</v>
      </c>
    </row>
    <row r="10" spans="1:44" s="11" customFormat="1">
      <c r="A10" s="998" t="s">
        <v>102</v>
      </c>
      <c r="B10" s="1040" t="s">
        <v>74</v>
      </c>
      <c r="C10" s="1041" t="s">
        <v>1</v>
      </c>
      <c r="D10" s="1041" t="s">
        <v>532</v>
      </c>
      <c r="E10" s="1041" t="s">
        <v>533</v>
      </c>
      <c r="F10" s="1041">
        <v>90.000000000000057</v>
      </c>
      <c r="G10" s="1041">
        <v>187.17201166180763</v>
      </c>
      <c r="H10" s="1041">
        <v>58.34983498349839</v>
      </c>
      <c r="I10" s="1041">
        <v>102.69151138716339</v>
      </c>
      <c r="J10" s="1041" t="s">
        <v>531</v>
      </c>
      <c r="K10" s="1041" t="s">
        <v>531</v>
      </c>
      <c r="L10" s="1041" t="s">
        <v>531</v>
      </c>
      <c r="M10" s="1041">
        <v>93.840326864615932</v>
      </c>
      <c r="N10" s="1041">
        <v>146.45701137552166</v>
      </c>
      <c r="O10" s="1041">
        <v>165.8097754177125</v>
      </c>
      <c r="P10" s="1041">
        <v>130.60519532368789</v>
      </c>
      <c r="Q10" s="1041">
        <v>57.618555060471046</v>
      </c>
      <c r="R10" s="1041">
        <v>89.2</v>
      </c>
      <c r="S10" s="1041">
        <v>115.4</v>
      </c>
      <c r="T10" s="1041">
        <v>91</v>
      </c>
      <c r="U10" s="1042">
        <v>93.9</v>
      </c>
      <c r="V10" s="1038">
        <v>142.77937806598345</v>
      </c>
      <c r="W10" s="1043">
        <v>99.153073787896233</v>
      </c>
      <c r="X10" s="1043" t="s">
        <v>1</v>
      </c>
      <c r="Y10" s="1043" t="s">
        <v>1</v>
      </c>
      <c r="Z10" s="1043" t="s">
        <v>1</v>
      </c>
      <c r="AA10" s="1043" t="s">
        <v>1</v>
      </c>
      <c r="AB10" s="1043" t="s">
        <v>1</v>
      </c>
      <c r="AC10" s="1043" t="s">
        <v>1</v>
      </c>
      <c r="AD10" s="1045" t="s">
        <v>1</v>
      </c>
      <c r="AE10" s="1039" t="s">
        <v>1</v>
      </c>
      <c r="AF10" s="1037" t="s">
        <v>1</v>
      </c>
      <c r="AG10" s="1037">
        <v>90.2</v>
      </c>
      <c r="AH10" s="3">
        <v>100</v>
      </c>
      <c r="AI10" s="311">
        <v>100</v>
      </c>
      <c r="AJ10" s="3">
        <v>100</v>
      </c>
      <c r="AK10" s="3">
        <v>100</v>
      </c>
      <c r="AL10" s="3">
        <v>100</v>
      </c>
      <c r="AM10" s="3">
        <v>100</v>
      </c>
      <c r="AN10" s="3">
        <v>100</v>
      </c>
      <c r="AO10" s="3">
        <v>100</v>
      </c>
      <c r="AP10" s="1064">
        <v>100</v>
      </c>
      <c r="AQ10" s="3">
        <v>100</v>
      </c>
      <c r="AR10" s="817">
        <v>100</v>
      </c>
    </row>
    <row r="11" spans="1:44" s="11" customFormat="1" ht="15">
      <c r="A11" s="1023" t="s">
        <v>438</v>
      </c>
      <c r="B11" s="1046" t="s">
        <v>268</v>
      </c>
      <c r="C11" s="311"/>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1"/>
      <c r="AC11" s="1"/>
      <c r="AD11" s="311"/>
      <c r="AE11" s="1"/>
      <c r="AF11" s="1037"/>
      <c r="AG11" s="4"/>
      <c r="AH11" s="4"/>
      <c r="AI11" s="4"/>
      <c r="AJ11" s="4"/>
      <c r="AK11" s="4"/>
      <c r="AL11" s="4"/>
      <c r="AM11" s="4"/>
      <c r="AN11" s="4"/>
      <c r="AO11" s="4"/>
      <c r="AP11" s="242"/>
      <c r="AQ11" s="4"/>
      <c r="AR11" s="811"/>
    </row>
    <row r="12" spans="1:44" s="11" customFormat="1">
      <c r="A12" s="1023" t="s">
        <v>355</v>
      </c>
      <c r="B12" s="4"/>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1"/>
      <c r="AC12" s="1"/>
      <c r="AD12" s="1047"/>
      <c r="AE12" s="1"/>
      <c r="AF12" s="1037"/>
      <c r="AG12" s="4"/>
      <c r="AH12" s="4"/>
      <c r="AI12" s="4"/>
      <c r="AJ12" s="4"/>
      <c r="AK12" s="4"/>
      <c r="AL12" s="4"/>
      <c r="AM12" s="4"/>
      <c r="AN12" s="4"/>
      <c r="AO12" s="4"/>
      <c r="AP12" s="242"/>
      <c r="AQ12" s="4"/>
      <c r="AR12" s="811"/>
    </row>
    <row r="13" spans="1:44" s="11" customFormat="1">
      <c r="A13" s="993" t="s">
        <v>108</v>
      </c>
      <c r="B13" s="4"/>
      <c r="C13" s="311" t="s">
        <v>1</v>
      </c>
      <c r="D13" s="311" t="s">
        <v>1</v>
      </c>
      <c r="E13" s="311" t="s">
        <v>1</v>
      </c>
      <c r="F13" s="311" t="s">
        <v>1</v>
      </c>
      <c r="G13" s="311" t="s">
        <v>1</v>
      </c>
      <c r="H13" s="311" t="s">
        <v>1</v>
      </c>
      <c r="I13" s="311" t="s">
        <v>1</v>
      </c>
      <c r="J13" s="311" t="s">
        <v>1</v>
      </c>
      <c r="K13" s="311">
        <v>0.6</v>
      </c>
      <c r="L13" s="311">
        <v>0.7</v>
      </c>
      <c r="M13" s="311">
        <v>2.6</v>
      </c>
      <c r="N13" s="311">
        <v>0.2</v>
      </c>
      <c r="O13" s="311">
        <v>0.2</v>
      </c>
      <c r="P13" s="311">
        <v>0.3</v>
      </c>
      <c r="Q13" s="311">
        <v>0.5</v>
      </c>
      <c r="R13" s="311">
        <v>0.2</v>
      </c>
      <c r="S13" s="311">
        <v>0.3</v>
      </c>
      <c r="T13" s="311">
        <v>0.1</v>
      </c>
      <c r="U13" s="311">
        <v>0.3</v>
      </c>
      <c r="V13" s="311">
        <v>0.3</v>
      </c>
      <c r="W13" s="311">
        <v>0.3</v>
      </c>
      <c r="X13" s="311">
        <v>0.1</v>
      </c>
      <c r="Y13" s="311" t="s">
        <v>1</v>
      </c>
      <c r="Z13" s="311">
        <v>0.1</v>
      </c>
      <c r="AA13" s="311">
        <v>0.1</v>
      </c>
      <c r="AB13" s="311">
        <v>0.7</v>
      </c>
      <c r="AC13" s="311">
        <v>220</v>
      </c>
      <c r="AD13" s="1048">
        <v>0.2606</v>
      </c>
      <c r="AE13" s="311">
        <v>1.8</v>
      </c>
      <c r="AF13" s="311">
        <v>0.1</v>
      </c>
      <c r="AG13" s="311" t="s">
        <v>1</v>
      </c>
      <c r="AH13" s="1036" t="s">
        <v>1</v>
      </c>
      <c r="AI13" s="311" t="s">
        <v>1</v>
      </c>
      <c r="AJ13" s="311">
        <v>0.2</v>
      </c>
      <c r="AK13" s="311">
        <v>0.2</v>
      </c>
      <c r="AL13" s="311" t="s">
        <v>1</v>
      </c>
      <c r="AM13" s="311" t="s">
        <v>1</v>
      </c>
      <c r="AN13" s="311" t="s">
        <v>1</v>
      </c>
      <c r="AO13" s="311" t="s">
        <v>1</v>
      </c>
      <c r="AP13" s="311" t="s">
        <v>1</v>
      </c>
      <c r="AQ13" s="311" t="s">
        <v>1</v>
      </c>
      <c r="AR13" s="1093" t="s">
        <v>1</v>
      </c>
    </row>
    <row r="14" spans="1:44" s="11" customFormat="1">
      <c r="A14" s="995" t="s">
        <v>109</v>
      </c>
      <c r="B14" s="4"/>
      <c r="C14" s="311" t="s">
        <v>1</v>
      </c>
      <c r="D14" s="311" t="s">
        <v>1</v>
      </c>
      <c r="E14" s="311" t="s">
        <v>1</v>
      </c>
      <c r="F14" s="311" t="s">
        <v>1</v>
      </c>
      <c r="G14" s="311" t="s">
        <v>1</v>
      </c>
      <c r="H14" s="311" t="s">
        <v>1</v>
      </c>
      <c r="I14" s="311" t="s">
        <v>1</v>
      </c>
      <c r="J14" s="311" t="s">
        <v>1</v>
      </c>
      <c r="K14" s="311" t="s">
        <v>1</v>
      </c>
      <c r="L14" s="311" t="s">
        <v>1</v>
      </c>
      <c r="M14" s="311" t="s">
        <v>1</v>
      </c>
      <c r="N14" s="311" t="s">
        <v>1</v>
      </c>
      <c r="O14" s="311" t="s">
        <v>1</v>
      </c>
      <c r="P14" s="311" t="s">
        <v>1</v>
      </c>
      <c r="Q14" s="311" t="s">
        <v>1</v>
      </c>
      <c r="R14" s="311" t="s">
        <v>1</v>
      </c>
      <c r="S14" s="311" t="s">
        <v>1</v>
      </c>
      <c r="T14" s="311" t="s">
        <v>1</v>
      </c>
      <c r="U14" s="311" t="s">
        <v>1</v>
      </c>
      <c r="V14" s="311" t="s">
        <v>1</v>
      </c>
      <c r="W14" s="311" t="s">
        <v>1</v>
      </c>
      <c r="X14" s="311" t="s">
        <v>1</v>
      </c>
      <c r="Y14" s="311" t="s">
        <v>1</v>
      </c>
      <c r="Z14" s="311" t="s">
        <v>1</v>
      </c>
      <c r="AA14" s="311" t="s">
        <v>1</v>
      </c>
      <c r="AB14" s="311" t="s">
        <v>1</v>
      </c>
      <c r="AC14" s="311" t="s">
        <v>1</v>
      </c>
      <c r="AD14" s="1048" t="s">
        <v>1</v>
      </c>
      <c r="AE14" s="311" t="s">
        <v>1</v>
      </c>
      <c r="AF14" s="311" t="s">
        <v>1</v>
      </c>
      <c r="AG14" s="311" t="s">
        <v>1</v>
      </c>
      <c r="AH14" s="1036" t="s">
        <v>1</v>
      </c>
      <c r="AI14" s="311" t="s">
        <v>1</v>
      </c>
      <c r="AJ14" s="311" t="s">
        <v>1</v>
      </c>
      <c r="AK14" s="311" t="s">
        <v>1</v>
      </c>
      <c r="AL14" s="311" t="s">
        <v>1</v>
      </c>
      <c r="AM14" s="311" t="s">
        <v>1</v>
      </c>
      <c r="AN14" s="311" t="s">
        <v>1</v>
      </c>
      <c r="AO14" s="311" t="s">
        <v>1</v>
      </c>
      <c r="AP14" s="311" t="s">
        <v>1</v>
      </c>
      <c r="AQ14" s="311" t="s">
        <v>1</v>
      </c>
      <c r="AR14" s="1093" t="s">
        <v>1</v>
      </c>
    </row>
    <row r="15" spans="1:44" s="11" customFormat="1">
      <c r="A15" s="995" t="s">
        <v>135</v>
      </c>
      <c r="B15" s="4"/>
      <c r="C15" s="311" t="s">
        <v>1</v>
      </c>
      <c r="D15" s="311" t="s">
        <v>1</v>
      </c>
      <c r="E15" s="311" t="s">
        <v>1</v>
      </c>
      <c r="F15" s="311" t="s">
        <v>1</v>
      </c>
      <c r="G15" s="311" t="s">
        <v>1</v>
      </c>
      <c r="H15" s="311" t="s">
        <v>1</v>
      </c>
      <c r="I15" s="311" t="s">
        <v>1</v>
      </c>
      <c r="J15" s="311" t="s">
        <v>1</v>
      </c>
      <c r="K15" s="311" t="s">
        <v>1</v>
      </c>
      <c r="L15" s="311" t="s">
        <v>1</v>
      </c>
      <c r="M15" s="311" t="s">
        <v>1</v>
      </c>
      <c r="N15" s="311" t="s">
        <v>1</v>
      </c>
      <c r="O15" s="311" t="s">
        <v>1</v>
      </c>
      <c r="P15" s="311" t="s">
        <v>1</v>
      </c>
      <c r="Q15" s="311" t="s">
        <v>1</v>
      </c>
      <c r="R15" s="311" t="s">
        <v>1</v>
      </c>
      <c r="S15" s="311" t="s">
        <v>1</v>
      </c>
      <c r="T15" s="311" t="s">
        <v>1</v>
      </c>
      <c r="U15" s="311">
        <v>0.25</v>
      </c>
      <c r="V15" s="311" t="s">
        <v>1</v>
      </c>
      <c r="W15" s="311" t="s">
        <v>1</v>
      </c>
      <c r="X15" s="311" t="s">
        <v>1</v>
      </c>
      <c r="Y15" s="311" t="s">
        <v>1</v>
      </c>
      <c r="Z15" s="311" t="s">
        <v>1</v>
      </c>
      <c r="AA15" s="311" t="s">
        <v>1</v>
      </c>
      <c r="AB15" s="311">
        <v>0.7</v>
      </c>
      <c r="AC15" s="311" t="s">
        <v>1</v>
      </c>
      <c r="AD15" s="1048">
        <v>0.2</v>
      </c>
      <c r="AE15" s="311">
        <v>1.5</v>
      </c>
      <c r="AF15" s="311">
        <v>0.1</v>
      </c>
      <c r="AG15" s="311" t="s">
        <v>1</v>
      </c>
      <c r="AH15" s="1036" t="s">
        <v>1</v>
      </c>
      <c r="AI15" s="311" t="s">
        <v>1</v>
      </c>
      <c r="AJ15" s="311">
        <v>0.2</v>
      </c>
      <c r="AK15" s="311">
        <v>0.2</v>
      </c>
      <c r="AL15" s="311" t="s">
        <v>1</v>
      </c>
      <c r="AM15" s="311" t="s">
        <v>1</v>
      </c>
      <c r="AN15" s="311" t="s">
        <v>1</v>
      </c>
      <c r="AO15" s="311" t="s">
        <v>1</v>
      </c>
      <c r="AP15" s="311" t="s">
        <v>1</v>
      </c>
      <c r="AQ15" s="311" t="s">
        <v>1</v>
      </c>
      <c r="AR15" s="1093" t="s">
        <v>1</v>
      </c>
    </row>
    <row r="16" spans="1:44" s="11" customFormat="1">
      <c r="A16" s="995" t="s">
        <v>110</v>
      </c>
      <c r="B16" s="4"/>
      <c r="C16" s="311" t="s">
        <v>1</v>
      </c>
      <c r="D16" s="311" t="s">
        <v>1</v>
      </c>
      <c r="E16" s="311" t="s">
        <v>1</v>
      </c>
      <c r="F16" s="311" t="s">
        <v>1</v>
      </c>
      <c r="G16" s="311" t="s">
        <v>1</v>
      </c>
      <c r="H16" s="311" t="s">
        <v>1</v>
      </c>
      <c r="I16" s="311" t="s">
        <v>1</v>
      </c>
      <c r="J16" s="311" t="s">
        <v>1</v>
      </c>
      <c r="K16" s="311" t="s">
        <v>1</v>
      </c>
      <c r="L16" s="311" t="s">
        <v>1</v>
      </c>
      <c r="M16" s="311" t="s">
        <v>1</v>
      </c>
      <c r="N16" s="311" t="s">
        <v>1</v>
      </c>
      <c r="O16" s="311" t="s">
        <v>1</v>
      </c>
      <c r="P16" s="311">
        <v>0.34100000000000003</v>
      </c>
      <c r="Q16" s="311">
        <v>0.46100000000000002</v>
      </c>
      <c r="R16" s="311">
        <v>0.14199999999999999</v>
      </c>
      <c r="S16" s="311">
        <v>0.22500000000000001</v>
      </c>
      <c r="T16" s="311">
        <v>6.3E-2</v>
      </c>
      <c r="U16" s="311" t="s">
        <v>1</v>
      </c>
      <c r="V16" s="311">
        <v>0.26</v>
      </c>
      <c r="W16" s="311">
        <v>0.31</v>
      </c>
      <c r="X16" s="311">
        <v>0.15</v>
      </c>
      <c r="Y16" s="311" t="s">
        <v>1</v>
      </c>
      <c r="Z16" s="311" t="s">
        <v>1</v>
      </c>
      <c r="AA16" s="311" t="s">
        <v>1</v>
      </c>
      <c r="AB16" s="311" t="s">
        <v>1</v>
      </c>
      <c r="AC16" s="311" t="s">
        <v>1</v>
      </c>
      <c r="AD16" s="1048" t="s">
        <v>1</v>
      </c>
      <c r="AE16" s="311" t="s">
        <v>1</v>
      </c>
      <c r="AF16" s="311" t="s">
        <v>1</v>
      </c>
      <c r="AG16" s="311" t="s">
        <v>1</v>
      </c>
      <c r="AH16" s="1036" t="s">
        <v>1</v>
      </c>
      <c r="AI16" s="311" t="s">
        <v>1</v>
      </c>
      <c r="AJ16" s="311" t="s">
        <v>1</v>
      </c>
      <c r="AK16" s="311" t="s">
        <v>1</v>
      </c>
      <c r="AL16" s="311" t="s">
        <v>1</v>
      </c>
      <c r="AM16" s="311" t="s">
        <v>1</v>
      </c>
      <c r="AN16" s="311" t="s">
        <v>1</v>
      </c>
      <c r="AO16" s="311" t="s">
        <v>1</v>
      </c>
      <c r="AP16" s="311" t="s">
        <v>1</v>
      </c>
      <c r="AQ16" s="311" t="s">
        <v>1</v>
      </c>
      <c r="AR16" s="1093" t="s">
        <v>1</v>
      </c>
    </row>
    <row r="17" spans="1:44" s="11" customFormat="1">
      <c r="A17" s="995" t="s">
        <v>111</v>
      </c>
      <c r="B17" s="4"/>
      <c r="C17" s="311" t="s">
        <v>1</v>
      </c>
      <c r="D17" s="311" t="s">
        <v>1</v>
      </c>
      <c r="E17" s="311" t="s">
        <v>1</v>
      </c>
      <c r="F17" s="311" t="s">
        <v>1</v>
      </c>
      <c r="G17" s="311" t="s">
        <v>1</v>
      </c>
      <c r="H17" s="311" t="s">
        <v>1</v>
      </c>
      <c r="I17" s="311" t="s">
        <v>1</v>
      </c>
      <c r="J17" s="311" t="s">
        <v>1</v>
      </c>
      <c r="K17" s="311" t="s">
        <v>1</v>
      </c>
      <c r="L17" s="311" t="s">
        <v>1</v>
      </c>
      <c r="M17" s="311" t="s">
        <v>1</v>
      </c>
      <c r="N17" s="311" t="s">
        <v>1</v>
      </c>
      <c r="O17" s="311" t="s">
        <v>1</v>
      </c>
      <c r="P17" s="311" t="s">
        <v>1</v>
      </c>
      <c r="Q17" s="311" t="s">
        <v>1</v>
      </c>
      <c r="R17" s="311" t="s">
        <v>1</v>
      </c>
      <c r="S17" s="311" t="s">
        <v>1</v>
      </c>
      <c r="T17" s="311" t="s">
        <v>1</v>
      </c>
      <c r="U17" s="311" t="s">
        <v>1</v>
      </c>
      <c r="V17" s="311" t="s">
        <v>1</v>
      </c>
      <c r="W17" s="311" t="s">
        <v>1</v>
      </c>
      <c r="X17" s="311" t="s">
        <v>1</v>
      </c>
      <c r="Y17" s="311" t="s">
        <v>1</v>
      </c>
      <c r="Z17" s="311">
        <v>0.11159999999999999</v>
      </c>
      <c r="AA17" s="311">
        <v>0.12898000000000001</v>
      </c>
      <c r="AB17" s="311">
        <v>0</v>
      </c>
      <c r="AC17" s="311">
        <v>220</v>
      </c>
      <c r="AD17" s="1048" t="s">
        <v>1</v>
      </c>
      <c r="AE17" s="311" t="s">
        <v>1</v>
      </c>
      <c r="AF17" s="311" t="s">
        <v>1</v>
      </c>
      <c r="AG17" s="311" t="s">
        <v>1</v>
      </c>
      <c r="AH17" s="1036" t="s">
        <v>1</v>
      </c>
      <c r="AI17" s="311" t="s">
        <v>1</v>
      </c>
      <c r="AJ17" s="311" t="s">
        <v>1</v>
      </c>
      <c r="AK17" s="311" t="s">
        <v>1</v>
      </c>
      <c r="AL17" s="311" t="s">
        <v>1</v>
      </c>
      <c r="AM17" s="311" t="s">
        <v>1</v>
      </c>
      <c r="AN17" s="311" t="s">
        <v>1</v>
      </c>
      <c r="AO17" s="311" t="s">
        <v>1</v>
      </c>
      <c r="AP17" s="311" t="s">
        <v>1</v>
      </c>
      <c r="AQ17" s="311" t="s">
        <v>1</v>
      </c>
      <c r="AR17" s="1093" t="s">
        <v>1</v>
      </c>
    </row>
    <row r="18" spans="1:44" s="11" customFormat="1">
      <c r="A18" s="995" t="s">
        <v>388</v>
      </c>
      <c r="B18" s="4"/>
      <c r="C18" s="311" t="s">
        <v>1</v>
      </c>
      <c r="D18" s="311" t="s">
        <v>1</v>
      </c>
      <c r="E18" s="311" t="s">
        <v>1</v>
      </c>
      <c r="F18" s="311" t="s">
        <v>1</v>
      </c>
      <c r="G18" s="311" t="s">
        <v>1</v>
      </c>
      <c r="H18" s="311" t="s">
        <v>1</v>
      </c>
      <c r="I18" s="311" t="s">
        <v>1</v>
      </c>
      <c r="J18" s="311" t="s">
        <v>1</v>
      </c>
      <c r="K18" s="311" t="s">
        <v>1</v>
      </c>
      <c r="L18" s="311" t="s">
        <v>1</v>
      </c>
      <c r="M18" s="311" t="s">
        <v>1</v>
      </c>
      <c r="N18" s="311" t="s">
        <v>1</v>
      </c>
      <c r="O18" s="311" t="s">
        <v>1</v>
      </c>
      <c r="P18" s="311" t="s">
        <v>1</v>
      </c>
      <c r="Q18" s="311">
        <v>4.7999999999999996E-3</v>
      </c>
      <c r="R18" s="311">
        <v>3.0499999999999999E-2</v>
      </c>
      <c r="S18" s="311">
        <v>2.3E-2</v>
      </c>
      <c r="T18" s="311">
        <v>2.3E-2</v>
      </c>
      <c r="U18" s="311">
        <v>2.3E-2</v>
      </c>
      <c r="V18" s="311" t="s">
        <v>1</v>
      </c>
      <c r="W18" s="311" t="s">
        <v>1</v>
      </c>
      <c r="X18" s="311" t="s">
        <v>1</v>
      </c>
      <c r="Y18" s="311" t="s">
        <v>1</v>
      </c>
      <c r="Z18" s="311" t="s">
        <v>1</v>
      </c>
      <c r="AA18" s="311" t="s">
        <v>1</v>
      </c>
      <c r="AB18" s="311" t="s">
        <v>1</v>
      </c>
      <c r="AC18" s="311" t="s">
        <v>1</v>
      </c>
      <c r="AD18" s="1048" t="s">
        <v>1</v>
      </c>
      <c r="AE18" s="311" t="s">
        <v>1</v>
      </c>
      <c r="AF18" s="311" t="s">
        <v>1</v>
      </c>
      <c r="AG18" s="311" t="s">
        <v>1</v>
      </c>
      <c r="AH18" s="1036" t="s">
        <v>1</v>
      </c>
      <c r="AI18" s="311" t="s">
        <v>1</v>
      </c>
      <c r="AJ18" s="311" t="s">
        <v>1</v>
      </c>
      <c r="AK18" s="311" t="s">
        <v>1</v>
      </c>
      <c r="AL18" s="311" t="s">
        <v>1</v>
      </c>
      <c r="AM18" s="311" t="s">
        <v>1</v>
      </c>
      <c r="AN18" s="311" t="s">
        <v>1</v>
      </c>
      <c r="AO18" s="311" t="s">
        <v>1</v>
      </c>
      <c r="AP18" s="311" t="s">
        <v>1</v>
      </c>
      <c r="AQ18" s="311" t="s">
        <v>1</v>
      </c>
      <c r="AR18" s="1093" t="s">
        <v>1</v>
      </c>
    </row>
    <row r="19" spans="1:44" s="11" customFormat="1">
      <c r="A19" s="995" t="s">
        <v>136</v>
      </c>
      <c r="B19" s="4"/>
      <c r="C19" s="311" t="s">
        <v>1</v>
      </c>
      <c r="D19" s="311" t="s">
        <v>1</v>
      </c>
      <c r="E19" s="311" t="s">
        <v>1</v>
      </c>
      <c r="F19" s="311" t="s">
        <v>1</v>
      </c>
      <c r="G19" s="311" t="s">
        <v>1</v>
      </c>
      <c r="H19" s="311" t="s">
        <v>1</v>
      </c>
      <c r="I19" s="311" t="s">
        <v>1</v>
      </c>
      <c r="J19" s="311" t="s">
        <v>1</v>
      </c>
      <c r="K19" s="311" t="s">
        <v>1</v>
      </c>
      <c r="L19" s="311" t="s">
        <v>1</v>
      </c>
      <c r="M19" s="311" t="s">
        <v>1</v>
      </c>
      <c r="N19" s="311" t="s">
        <v>1</v>
      </c>
      <c r="O19" s="311" t="s">
        <v>1</v>
      </c>
      <c r="P19" s="311" t="s">
        <v>1</v>
      </c>
      <c r="Q19" s="311" t="s">
        <v>1</v>
      </c>
      <c r="R19" s="311">
        <v>1.29E-2</v>
      </c>
      <c r="S19" s="311">
        <v>2.24E-2</v>
      </c>
      <c r="T19" s="311">
        <v>7.0000000000000001E-3</v>
      </c>
      <c r="U19" s="311">
        <v>0.03</v>
      </c>
      <c r="V19" s="311">
        <v>2.1999999999999999E-2</v>
      </c>
      <c r="W19" s="311">
        <v>0.02</v>
      </c>
      <c r="X19" s="311">
        <v>1.4999999999999999E-2</v>
      </c>
      <c r="Y19" s="311" t="s">
        <v>1</v>
      </c>
      <c r="Z19" s="311" t="s">
        <v>1</v>
      </c>
      <c r="AA19" s="311" t="s">
        <v>1</v>
      </c>
      <c r="AB19" s="311" t="s">
        <v>1</v>
      </c>
      <c r="AC19" s="311" t="s">
        <v>1</v>
      </c>
      <c r="AD19" s="1048" t="s">
        <v>1</v>
      </c>
      <c r="AE19" s="311">
        <v>0.3</v>
      </c>
      <c r="AF19" s="311">
        <v>0</v>
      </c>
      <c r="AG19" s="311" t="s">
        <v>1</v>
      </c>
      <c r="AH19" s="1036" t="s">
        <v>1</v>
      </c>
      <c r="AI19" s="311" t="s">
        <v>1</v>
      </c>
      <c r="AJ19" s="311" t="s">
        <v>1</v>
      </c>
      <c r="AK19" s="311" t="s">
        <v>1</v>
      </c>
      <c r="AL19" s="311" t="s">
        <v>1</v>
      </c>
      <c r="AM19" s="311" t="s">
        <v>1</v>
      </c>
      <c r="AN19" s="311" t="s">
        <v>1</v>
      </c>
      <c r="AO19" s="311" t="s">
        <v>1</v>
      </c>
      <c r="AP19" s="311" t="s">
        <v>1</v>
      </c>
      <c r="AQ19" s="311" t="s">
        <v>1</v>
      </c>
      <c r="AR19" s="1093" t="s">
        <v>1</v>
      </c>
    </row>
    <row r="20" spans="1:44" s="11" customFormat="1">
      <c r="A20" s="995" t="s">
        <v>112</v>
      </c>
      <c r="B20" s="4"/>
      <c r="C20" s="311" t="s">
        <v>1</v>
      </c>
      <c r="D20" s="311" t="s">
        <v>1</v>
      </c>
      <c r="E20" s="311" t="s">
        <v>1</v>
      </c>
      <c r="F20" s="311" t="s">
        <v>1</v>
      </c>
      <c r="G20" s="311" t="s">
        <v>1</v>
      </c>
      <c r="H20" s="311" t="s">
        <v>1</v>
      </c>
      <c r="I20" s="311" t="s">
        <v>1</v>
      </c>
      <c r="J20" s="311" t="s">
        <v>1</v>
      </c>
      <c r="K20" s="311" t="s">
        <v>1</v>
      </c>
      <c r="L20" s="311" t="s">
        <v>1</v>
      </c>
      <c r="M20" s="311" t="s">
        <v>1</v>
      </c>
      <c r="N20" s="311" t="s">
        <v>1</v>
      </c>
      <c r="O20" s="311" t="s">
        <v>1</v>
      </c>
      <c r="P20" s="311" t="s">
        <v>1</v>
      </c>
      <c r="Q20" s="311" t="s">
        <v>1</v>
      </c>
      <c r="R20" s="311" t="s">
        <v>1</v>
      </c>
      <c r="S20" s="311" t="s">
        <v>1</v>
      </c>
      <c r="T20" s="311" t="s">
        <v>1</v>
      </c>
      <c r="U20" s="311" t="s">
        <v>1</v>
      </c>
      <c r="V20" s="311" t="s">
        <v>1</v>
      </c>
      <c r="W20" s="311" t="s">
        <v>1</v>
      </c>
      <c r="X20" s="311" t="s">
        <v>1</v>
      </c>
      <c r="Y20" s="311" t="s">
        <v>1</v>
      </c>
      <c r="Z20" s="311" t="s">
        <v>1</v>
      </c>
      <c r="AA20" s="311" t="s">
        <v>1</v>
      </c>
      <c r="AB20" s="311" t="s">
        <v>1</v>
      </c>
      <c r="AC20" s="311" t="s">
        <v>1</v>
      </c>
      <c r="AD20" s="1048">
        <v>0.1</v>
      </c>
      <c r="AE20" s="1036" t="s">
        <v>1</v>
      </c>
      <c r="AF20" s="311" t="s">
        <v>1</v>
      </c>
      <c r="AG20" s="311" t="s">
        <v>1</v>
      </c>
      <c r="AH20" s="1036" t="s">
        <v>1</v>
      </c>
      <c r="AI20" s="311" t="s">
        <v>1</v>
      </c>
      <c r="AJ20" s="311">
        <v>0</v>
      </c>
      <c r="AK20" s="311" t="s">
        <v>1</v>
      </c>
      <c r="AL20" s="311" t="s">
        <v>1</v>
      </c>
      <c r="AM20" s="311" t="s">
        <v>1</v>
      </c>
      <c r="AN20" s="311" t="s">
        <v>1</v>
      </c>
      <c r="AO20" s="311" t="s">
        <v>1</v>
      </c>
      <c r="AP20" s="311" t="s">
        <v>1</v>
      </c>
      <c r="AQ20" s="311" t="s">
        <v>1</v>
      </c>
      <c r="AR20" s="1093" t="s">
        <v>1</v>
      </c>
    </row>
    <row r="21" spans="1:44" s="11" customFormat="1">
      <c r="A21" s="995" t="s">
        <v>113</v>
      </c>
      <c r="B21" s="4"/>
      <c r="C21" s="311" t="s">
        <v>1</v>
      </c>
      <c r="D21" s="311" t="s">
        <v>1</v>
      </c>
      <c r="E21" s="311" t="s">
        <v>1</v>
      </c>
      <c r="F21" s="311" t="s">
        <v>1</v>
      </c>
      <c r="G21" s="311" t="s">
        <v>1</v>
      </c>
      <c r="H21" s="311" t="s">
        <v>1</v>
      </c>
      <c r="I21" s="311" t="s">
        <v>1</v>
      </c>
      <c r="J21" s="311" t="s">
        <v>1</v>
      </c>
      <c r="K21" s="311" t="s">
        <v>1</v>
      </c>
      <c r="L21" s="311" t="s">
        <v>1</v>
      </c>
      <c r="M21" s="311" t="s">
        <v>1</v>
      </c>
      <c r="N21" s="311" t="s">
        <v>1</v>
      </c>
      <c r="O21" s="311" t="s">
        <v>1</v>
      </c>
      <c r="P21" s="311">
        <v>5.0000000000000001E-4</v>
      </c>
      <c r="Q21" s="311">
        <v>5.0000000000000001E-4</v>
      </c>
      <c r="R21" s="311" t="s">
        <v>1</v>
      </c>
      <c r="S21" s="311" t="s">
        <v>1</v>
      </c>
      <c r="T21" s="311" t="s">
        <v>1</v>
      </c>
      <c r="U21" s="311" t="s">
        <v>1</v>
      </c>
      <c r="V21" s="311" t="s">
        <v>1</v>
      </c>
      <c r="W21" s="311" t="s">
        <v>1</v>
      </c>
      <c r="X21" s="311" t="s">
        <v>1</v>
      </c>
      <c r="Y21" s="311" t="s">
        <v>1</v>
      </c>
      <c r="Z21" s="311" t="s">
        <v>1</v>
      </c>
      <c r="AA21" s="311" t="s">
        <v>1</v>
      </c>
      <c r="AB21" s="311" t="s">
        <v>1</v>
      </c>
      <c r="AC21" s="311" t="s">
        <v>1</v>
      </c>
      <c r="AD21" s="1048" t="s">
        <v>1</v>
      </c>
      <c r="AE21" s="1036" t="s">
        <v>1</v>
      </c>
      <c r="AF21" s="311" t="s">
        <v>1</v>
      </c>
      <c r="AG21" s="311" t="s">
        <v>1</v>
      </c>
      <c r="AH21" s="1036" t="s">
        <v>1</v>
      </c>
      <c r="AI21" s="311" t="s">
        <v>1</v>
      </c>
      <c r="AJ21" s="311" t="s">
        <v>1</v>
      </c>
      <c r="AK21" s="311" t="s">
        <v>1</v>
      </c>
      <c r="AL21" s="311" t="s">
        <v>1</v>
      </c>
      <c r="AM21" s="311" t="s">
        <v>1</v>
      </c>
      <c r="AN21" s="311" t="s">
        <v>1</v>
      </c>
      <c r="AO21" s="311" t="s">
        <v>1</v>
      </c>
      <c r="AP21" s="311" t="s">
        <v>1</v>
      </c>
      <c r="AQ21" s="311" t="s">
        <v>1</v>
      </c>
      <c r="AR21" s="1093" t="s">
        <v>1</v>
      </c>
    </row>
    <row r="22" spans="1:44" s="11" customFormat="1">
      <c r="A22" s="993" t="s">
        <v>356</v>
      </c>
      <c r="B22" s="4"/>
      <c r="C22" s="311" t="s">
        <v>1</v>
      </c>
      <c r="D22" s="311" t="s">
        <v>1</v>
      </c>
      <c r="E22" s="311" t="s">
        <v>1</v>
      </c>
      <c r="F22" s="311" t="s">
        <v>1</v>
      </c>
      <c r="G22" s="311" t="s">
        <v>1</v>
      </c>
      <c r="H22" s="311" t="s">
        <v>1</v>
      </c>
      <c r="I22" s="311" t="s">
        <v>1</v>
      </c>
      <c r="J22" s="311" t="s">
        <v>1</v>
      </c>
      <c r="K22" s="311" t="s">
        <v>1</v>
      </c>
      <c r="L22" s="311" t="s">
        <v>1</v>
      </c>
      <c r="M22" s="311" t="s">
        <v>1</v>
      </c>
      <c r="N22" s="311" t="s">
        <v>1</v>
      </c>
      <c r="O22" s="311" t="s">
        <v>1</v>
      </c>
      <c r="P22" s="311" t="s">
        <v>1</v>
      </c>
      <c r="Q22" s="311" t="s">
        <v>1</v>
      </c>
      <c r="R22" s="311" t="s">
        <v>1</v>
      </c>
      <c r="S22" s="311" t="s">
        <v>1</v>
      </c>
      <c r="T22" s="311" t="s">
        <v>1</v>
      </c>
      <c r="U22" s="311" t="s">
        <v>1</v>
      </c>
      <c r="V22" s="311" t="s">
        <v>1</v>
      </c>
      <c r="W22" s="311">
        <v>0</v>
      </c>
      <c r="X22" s="311" t="s">
        <v>1</v>
      </c>
      <c r="Y22" s="311" t="s">
        <v>1</v>
      </c>
      <c r="Z22" s="311" t="s">
        <v>1</v>
      </c>
      <c r="AA22" s="311" t="s">
        <v>1</v>
      </c>
      <c r="AB22" s="311" t="s">
        <v>1</v>
      </c>
      <c r="AC22" s="311" t="s">
        <v>1</v>
      </c>
      <c r="AD22" s="311" t="s">
        <v>1</v>
      </c>
      <c r="AE22" s="1036" t="s">
        <v>1</v>
      </c>
      <c r="AF22" s="311" t="s">
        <v>1</v>
      </c>
      <c r="AG22" s="311" t="s">
        <v>1</v>
      </c>
      <c r="AH22" s="1036" t="s">
        <v>1</v>
      </c>
      <c r="AI22" s="311" t="s">
        <v>1</v>
      </c>
      <c r="AJ22" s="311" t="s">
        <v>1</v>
      </c>
      <c r="AK22" s="311" t="s">
        <v>1</v>
      </c>
      <c r="AL22" s="311" t="s">
        <v>1</v>
      </c>
      <c r="AM22" s="311" t="s">
        <v>1</v>
      </c>
      <c r="AN22" s="311" t="s">
        <v>1</v>
      </c>
      <c r="AO22" s="311" t="s">
        <v>1</v>
      </c>
      <c r="AP22" s="311" t="s">
        <v>1</v>
      </c>
      <c r="AQ22" s="311" t="s">
        <v>1</v>
      </c>
      <c r="AR22" s="1093" t="s">
        <v>1</v>
      </c>
    </row>
    <row r="23" spans="1:44" s="11" customFormat="1">
      <c r="A23" s="993" t="s">
        <v>357</v>
      </c>
      <c r="B23" s="4"/>
      <c r="C23" s="311" t="s">
        <v>1</v>
      </c>
      <c r="D23" s="311" t="s">
        <v>1</v>
      </c>
      <c r="E23" s="311" t="s">
        <v>1</v>
      </c>
      <c r="F23" s="311" t="s">
        <v>1</v>
      </c>
      <c r="G23" s="311" t="s">
        <v>1</v>
      </c>
      <c r="H23" s="311" t="s">
        <v>1</v>
      </c>
      <c r="I23" s="311" t="s">
        <v>1</v>
      </c>
      <c r="J23" s="311" t="s">
        <v>1</v>
      </c>
      <c r="K23" s="311" t="s">
        <v>1</v>
      </c>
      <c r="L23" s="311" t="s">
        <v>1</v>
      </c>
      <c r="M23" s="311" t="s">
        <v>1</v>
      </c>
      <c r="N23" s="311" t="s">
        <v>1</v>
      </c>
      <c r="O23" s="311" t="s">
        <v>1</v>
      </c>
      <c r="P23" s="311" t="s">
        <v>1</v>
      </c>
      <c r="Q23" s="311" t="s">
        <v>1</v>
      </c>
      <c r="R23" s="311" t="s">
        <v>1</v>
      </c>
      <c r="S23" s="311" t="s">
        <v>1</v>
      </c>
      <c r="T23" s="311" t="s">
        <v>1</v>
      </c>
      <c r="U23" s="311" t="s">
        <v>1</v>
      </c>
      <c r="V23" s="311" t="s">
        <v>1</v>
      </c>
      <c r="W23" s="311" t="s">
        <v>1</v>
      </c>
      <c r="X23" s="311" t="s">
        <v>1</v>
      </c>
      <c r="Y23" s="311" t="s">
        <v>1</v>
      </c>
      <c r="Z23" s="311" t="s">
        <v>1</v>
      </c>
      <c r="AA23" s="311" t="s">
        <v>1</v>
      </c>
      <c r="AB23" s="311" t="s">
        <v>1</v>
      </c>
      <c r="AC23" s="311" t="s">
        <v>1</v>
      </c>
      <c r="AD23" s="311" t="s">
        <v>1</v>
      </c>
      <c r="AE23" s="1036" t="s">
        <v>1</v>
      </c>
      <c r="AF23" s="311" t="s">
        <v>1</v>
      </c>
      <c r="AG23" s="311" t="s">
        <v>1</v>
      </c>
      <c r="AH23" s="1036" t="s">
        <v>1</v>
      </c>
      <c r="AI23" s="311" t="s">
        <v>1</v>
      </c>
      <c r="AJ23" s="311" t="s">
        <v>1</v>
      </c>
      <c r="AK23" s="311" t="s">
        <v>1</v>
      </c>
      <c r="AL23" s="311" t="s">
        <v>1</v>
      </c>
      <c r="AM23" s="311" t="s">
        <v>1</v>
      </c>
      <c r="AN23" s="311" t="s">
        <v>1</v>
      </c>
      <c r="AO23" s="311" t="s">
        <v>1</v>
      </c>
      <c r="AP23" s="311" t="s">
        <v>1</v>
      </c>
      <c r="AQ23" s="311" t="s">
        <v>1</v>
      </c>
      <c r="AR23" s="1093" t="s">
        <v>1</v>
      </c>
    </row>
    <row r="24" spans="1:44" s="11" customFormat="1">
      <c r="A24" s="993" t="s">
        <v>358</v>
      </c>
      <c r="B24" s="4"/>
      <c r="C24" s="311" t="s">
        <v>1</v>
      </c>
      <c r="D24" s="311" t="s">
        <v>1</v>
      </c>
      <c r="E24" s="311" t="s">
        <v>1</v>
      </c>
      <c r="F24" s="311" t="s">
        <v>1</v>
      </c>
      <c r="G24" s="311" t="s">
        <v>1</v>
      </c>
      <c r="H24" s="311" t="s">
        <v>1</v>
      </c>
      <c r="I24" s="311" t="s">
        <v>1</v>
      </c>
      <c r="J24" s="311" t="s">
        <v>1</v>
      </c>
      <c r="K24" s="311" t="s">
        <v>1</v>
      </c>
      <c r="L24" s="311" t="s">
        <v>1</v>
      </c>
      <c r="M24" s="311" t="s">
        <v>1</v>
      </c>
      <c r="N24" s="311" t="s">
        <v>1</v>
      </c>
      <c r="O24" s="311" t="s">
        <v>1</v>
      </c>
      <c r="P24" s="311" t="s">
        <v>1</v>
      </c>
      <c r="Q24" s="311" t="s">
        <v>1</v>
      </c>
      <c r="R24" s="311" t="s">
        <v>1</v>
      </c>
      <c r="S24" s="311" t="s">
        <v>1</v>
      </c>
      <c r="T24" s="311" t="s">
        <v>1</v>
      </c>
      <c r="U24" s="311" t="s">
        <v>1</v>
      </c>
      <c r="V24" s="311" t="s">
        <v>1</v>
      </c>
      <c r="W24" s="311" t="s">
        <v>1</v>
      </c>
      <c r="X24" s="311" t="s">
        <v>1</v>
      </c>
      <c r="Y24" s="311" t="s">
        <v>1</v>
      </c>
      <c r="Z24" s="311" t="s">
        <v>1</v>
      </c>
      <c r="AA24" s="311" t="s">
        <v>1</v>
      </c>
      <c r="AB24" s="311" t="s">
        <v>1</v>
      </c>
      <c r="AC24" s="311" t="s">
        <v>1</v>
      </c>
      <c r="AD24" s="311" t="s">
        <v>1</v>
      </c>
      <c r="AE24" s="1036" t="s">
        <v>1</v>
      </c>
      <c r="AF24" s="311" t="s">
        <v>1</v>
      </c>
      <c r="AG24" s="311" t="s">
        <v>1</v>
      </c>
      <c r="AH24" s="1036" t="s">
        <v>1</v>
      </c>
      <c r="AI24" s="311" t="s">
        <v>1</v>
      </c>
      <c r="AJ24" s="311" t="s">
        <v>1</v>
      </c>
      <c r="AK24" s="311" t="s">
        <v>1</v>
      </c>
      <c r="AL24" s="311" t="s">
        <v>1</v>
      </c>
      <c r="AM24" s="311" t="s">
        <v>1</v>
      </c>
      <c r="AN24" s="311" t="s">
        <v>1</v>
      </c>
      <c r="AO24" s="311" t="s">
        <v>1</v>
      </c>
      <c r="AP24" s="311" t="s">
        <v>1</v>
      </c>
      <c r="AQ24" s="311" t="s">
        <v>1</v>
      </c>
      <c r="AR24" s="1093" t="s">
        <v>1</v>
      </c>
    </row>
    <row r="25" spans="1:44" s="11" customFormat="1">
      <c r="A25" s="993" t="s">
        <v>359</v>
      </c>
      <c r="B25" s="4"/>
      <c r="C25" s="311" t="s">
        <v>1</v>
      </c>
      <c r="D25" s="311" t="s">
        <v>1</v>
      </c>
      <c r="E25" s="311" t="s">
        <v>1</v>
      </c>
      <c r="F25" s="311" t="s">
        <v>1</v>
      </c>
      <c r="G25" s="311" t="s">
        <v>1</v>
      </c>
      <c r="H25" s="311" t="s">
        <v>1</v>
      </c>
      <c r="I25" s="311" t="s">
        <v>1</v>
      </c>
      <c r="J25" s="311" t="s">
        <v>1</v>
      </c>
      <c r="K25" s="311" t="s">
        <v>1</v>
      </c>
      <c r="L25" s="311" t="s">
        <v>1</v>
      </c>
      <c r="M25" s="311" t="s">
        <v>1</v>
      </c>
      <c r="N25" s="311" t="s">
        <v>1</v>
      </c>
      <c r="O25" s="311" t="s">
        <v>1</v>
      </c>
      <c r="P25" s="311" t="s">
        <v>1</v>
      </c>
      <c r="Q25" s="311" t="s">
        <v>1</v>
      </c>
      <c r="R25" s="311" t="s">
        <v>1</v>
      </c>
      <c r="S25" s="311" t="s">
        <v>1</v>
      </c>
      <c r="T25" s="311" t="s">
        <v>1</v>
      </c>
      <c r="U25" s="311" t="s">
        <v>1</v>
      </c>
      <c r="V25" s="311" t="s">
        <v>1</v>
      </c>
      <c r="W25" s="311" t="s">
        <v>1</v>
      </c>
      <c r="X25" s="311" t="s">
        <v>1</v>
      </c>
      <c r="Y25" s="311" t="s">
        <v>1</v>
      </c>
      <c r="Z25" s="311" t="s">
        <v>1</v>
      </c>
      <c r="AA25" s="311" t="s">
        <v>1</v>
      </c>
      <c r="AB25" s="311" t="s">
        <v>1</v>
      </c>
      <c r="AC25" s="311" t="s">
        <v>1</v>
      </c>
      <c r="AD25" s="311" t="s">
        <v>1</v>
      </c>
      <c r="AE25" s="1036" t="s">
        <v>1</v>
      </c>
      <c r="AF25" s="311" t="s">
        <v>1</v>
      </c>
      <c r="AG25" s="311" t="s">
        <v>1</v>
      </c>
      <c r="AH25" s="1036" t="s">
        <v>1</v>
      </c>
      <c r="AI25" s="311" t="s">
        <v>1</v>
      </c>
      <c r="AJ25" s="311" t="s">
        <v>1</v>
      </c>
      <c r="AK25" s="311" t="s">
        <v>1</v>
      </c>
      <c r="AL25" s="311" t="s">
        <v>1</v>
      </c>
      <c r="AM25" s="311" t="s">
        <v>1</v>
      </c>
      <c r="AN25" s="311" t="s">
        <v>1</v>
      </c>
      <c r="AO25" s="311" t="s">
        <v>1</v>
      </c>
      <c r="AP25" s="311" t="s">
        <v>1</v>
      </c>
      <c r="AQ25" s="311" t="s">
        <v>1</v>
      </c>
      <c r="AR25" s="1093" t="s">
        <v>1</v>
      </c>
    </row>
    <row r="26" spans="1:44" s="11" customFormat="1">
      <c r="A26" s="993" t="s">
        <v>360</v>
      </c>
      <c r="B26" s="4"/>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t="s">
        <v>1</v>
      </c>
      <c r="AB26" s="311" t="s">
        <v>1</v>
      </c>
      <c r="AC26" s="311" t="s">
        <v>1</v>
      </c>
      <c r="AD26" s="311" t="s">
        <v>1</v>
      </c>
      <c r="AE26" s="1036"/>
      <c r="AF26" s="311"/>
      <c r="AG26" s="311"/>
      <c r="AH26" s="1036" t="s">
        <v>1</v>
      </c>
      <c r="AI26" s="311" t="s">
        <v>1</v>
      </c>
      <c r="AJ26" s="311" t="s">
        <v>1</v>
      </c>
      <c r="AK26" s="311" t="s">
        <v>1</v>
      </c>
      <c r="AL26" s="311" t="s">
        <v>1</v>
      </c>
      <c r="AM26" s="311" t="s">
        <v>1</v>
      </c>
      <c r="AN26" s="311" t="s">
        <v>1</v>
      </c>
      <c r="AO26" s="311" t="s">
        <v>1</v>
      </c>
      <c r="AP26" s="311" t="s">
        <v>1</v>
      </c>
      <c r="AQ26" s="311" t="s">
        <v>1</v>
      </c>
      <c r="AR26" s="1093" t="s">
        <v>1</v>
      </c>
    </row>
    <row r="27" spans="1:44" s="11" customFormat="1">
      <c r="A27" s="993" t="s">
        <v>108</v>
      </c>
      <c r="B27" s="4"/>
      <c r="C27" s="311" t="s">
        <v>1</v>
      </c>
      <c r="D27" s="311" t="s">
        <v>1</v>
      </c>
      <c r="E27" s="311" t="s">
        <v>1</v>
      </c>
      <c r="F27" s="311">
        <v>0.7</v>
      </c>
      <c r="G27" s="311">
        <v>0.5</v>
      </c>
      <c r="H27" s="311">
        <v>0.5</v>
      </c>
      <c r="I27" s="311">
        <v>5.0999999999999996</v>
      </c>
      <c r="J27" s="311">
        <v>5.3</v>
      </c>
      <c r="K27" s="311">
        <v>12.8</v>
      </c>
      <c r="L27" s="311">
        <v>0.1</v>
      </c>
      <c r="M27" s="311">
        <v>2.2999999999999998</v>
      </c>
      <c r="N27" s="311">
        <v>1.6</v>
      </c>
      <c r="O27" s="311">
        <v>2.4</v>
      </c>
      <c r="P27" s="311">
        <v>1.5</v>
      </c>
      <c r="Q27" s="311">
        <v>1.3</v>
      </c>
      <c r="R27" s="311">
        <v>1.5</v>
      </c>
      <c r="S27" s="311">
        <v>1.1000000000000001</v>
      </c>
      <c r="T27" s="311">
        <v>1.1000000000000001</v>
      </c>
      <c r="U27" s="311">
        <v>1.1000000000000001</v>
      </c>
      <c r="V27" s="311">
        <v>1.1000000000000001</v>
      </c>
      <c r="W27" s="311">
        <v>1.1000000000000001</v>
      </c>
      <c r="X27" s="311">
        <v>1.1000000000000001</v>
      </c>
      <c r="Y27" s="311">
        <v>1.1000000000000001</v>
      </c>
      <c r="Z27" s="311">
        <v>1.1000000000000001</v>
      </c>
      <c r="AA27" s="311">
        <v>1.1000000000000001</v>
      </c>
      <c r="AB27" s="311">
        <v>1.4</v>
      </c>
      <c r="AC27" s="311">
        <v>1.3990070000000001</v>
      </c>
      <c r="AD27" s="1048">
        <v>1.4</v>
      </c>
      <c r="AE27" s="1036">
        <v>1.7</v>
      </c>
      <c r="AF27" s="311">
        <v>1.5</v>
      </c>
      <c r="AG27" s="311">
        <v>1.5</v>
      </c>
      <c r="AH27" s="3">
        <v>1.516</v>
      </c>
      <c r="AI27" s="3">
        <v>1.516</v>
      </c>
      <c r="AJ27" s="311">
        <v>2</v>
      </c>
      <c r="AK27" s="311">
        <v>2</v>
      </c>
      <c r="AL27" s="311" t="s">
        <v>1</v>
      </c>
      <c r="AM27" s="311" t="s">
        <v>1</v>
      </c>
      <c r="AN27" s="311" t="s">
        <v>1</v>
      </c>
      <c r="AO27" s="311" t="s">
        <v>1</v>
      </c>
      <c r="AP27" s="311" t="s">
        <v>1</v>
      </c>
      <c r="AQ27" s="311" t="s">
        <v>1</v>
      </c>
      <c r="AR27" s="1093" t="s">
        <v>1</v>
      </c>
    </row>
    <row r="28" spans="1:44" s="11" customFormat="1">
      <c r="A28" s="995" t="s">
        <v>109</v>
      </c>
      <c r="B28" s="4"/>
      <c r="C28" s="311" t="s">
        <v>1</v>
      </c>
      <c r="D28" s="311" t="s">
        <v>1</v>
      </c>
      <c r="E28" s="311" t="s">
        <v>1</v>
      </c>
      <c r="F28" s="311" t="s">
        <v>1</v>
      </c>
      <c r="G28" s="311" t="s">
        <v>1</v>
      </c>
      <c r="H28" s="311" t="s">
        <v>1</v>
      </c>
      <c r="I28" s="311" t="s">
        <v>1</v>
      </c>
      <c r="J28" s="311" t="s">
        <v>1</v>
      </c>
      <c r="K28" s="311" t="s">
        <v>1</v>
      </c>
      <c r="L28" s="311" t="s">
        <v>1</v>
      </c>
      <c r="M28" s="311" t="s">
        <v>1</v>
      </c>
      <c r="N28" s="311" t="s">
        <v>1</v>
      </c>
      <c r="O28" s="311" t="s">
        <v>1</v>
      </c>
      <c r="P28" s="311">
        <v>6.6900000000000001E-2</v>
      </c>
      <c r="Q28" s="311">
        <v>6.0999999999999999E-2</v>
      </c>
      <c r="R28" s="311">
        <v>2.8000000000000001E-2</v>
      </c>
      <c r="S28" s="311">
        <v>1.9E-3</v>
      </c>
      <c r="T28" s="311">
        <v>1.8699999999999998E-2</v>
      </c>
      <c r="U28" s="311">
        <v>1.8800000000000001E-2</v>
      </c>
      <c r="V28" s="311">
        <v>1.6399999999999998E-2</v>
      </c>
      <c r="W28" s="311">
        <v>0.16319999999999998</v>
      </c>
      <c r="X28" s="311">
        <v>1.7000000000000001E-2</v>
      </c>
      <c r="Y28" s="311">
        <v>1.66E-2</v>
      </c>
      <c r="Z28" s="311">
        <v>1.67E-2</v>
      </c>
      <c r="AA28" s="311">
        <v>1.6639999999999999E-2</v>
      </c>
      <c r="AB28" s="311">
        <v>1.6E-2</v>
      </c>
      <c r="AC28" s="311">
        <v>1.5556999999999998E-2</v>
      </c>
      <c r="AD28" s="1048">
        <v>1.5559999999999999E-2</v>
      </c>
      <c r="AE28" s="1036">
        <v>0</v>
      </c>
      <c r="AF28" s="311">
        <v>0</v>
      </c>
      <c r="AG28" s="311">
        <v>0</v>
      </c>
      <c r="AH28" s="3">
        <v>1.4999999999999999E-2</v>
      </c>
      <c r="AI28" s="3">
        <v>1.4999999999999999E-2</v>
      </c>
      <c r="AJ28" s="311">
        <v>0.02</v>
      </c>
      <c r="AK28" s="311">
        <v>0</v>
      </c>
      <c r="AL28" s="311" t="s">
        <v>1</v>
      </c>
      <c r="AM28" s="311" t="s">
        <v>1</v>
      </c>
      <c r="AN28" s="311" t="s">
        <v>1</v>
      </c>
      <c r="AO28" s="311" t="s">
        <v>1</v>
      </c>
      <c r="AP28" s="311" t="s">
        <v>1</v>
      </c>
      <c r="AQ28" s="311" t="s">
        <v>1</v>
      </c>
      <c r="AR28" s="1093" t="s">
        <v>1</v>
      </c>
    </row>
    <row r="29" spans="1:44" s="11" customFormat="1">
      <c r="A29" s="995" t="s">
        <v>135</v>
      </c>
      <c r="B29" s="4"/>
      <c r="C29" s="311" t="s">
        <v>1</v>
      </c>
      <c r="D29" s="311" t="s">
        <v>1</v>
      </c>
      <c r="E29" s="311" t="s">
        <v>1</v>
      </c>
      <c r="F29" s="311" t="s">
        <v>1</v>
      </c>
      <c r="G29" s="311" t="s">
        <v>1</v>
      </c>
      <c r="H29" s="311" t="s">
        <v>1</v>
      </c>
      <c r="I29" s="311" t="s">
        <v>1</v>
      </c>
      <c r="J29" s="311" t="s">
        <v>1</v>
      </c>
      <c r="K29" s="311" t="s">
        <v>1</v>
      </c>
      <c r="L29" s="311" t="s">
        <v>1</v>
      </c>
      <c r="M29" s="311" t="s">
        <v>1</v>
      </c>
      <c r="N29" s="311" t="s">
        <v>1</v>
      </c>
      <c r="O29" s="311" t="s">
        <v>1</v>
      </c>
      <c r="P29" s="311" t="s">
        <v>1</v>
      </c>
      <c r="Q29" s="311" t="s">
        <v>1</v>
      </c>
      <c r="R29" s="311" t="s">
        <v>1</v>
      </c>
      <c r="S29" s="311" t="s">
        <v>1</v>
      </c>
      <c r="T29" s="311" t="s">
        <v>1</v>
      </c>
      <c r="U29" s="311">
        <v>0.1157</v>
      </c>
      <c r="V29" s="311">
        <v>0.1158</v>
      </c>
      <c r="W29" s="311">
        <v>1.1617999999999999</v>
      </c>
      <c r="X29" s="311">
        <v>0.1217</v>
      </c>
      <c r="Y29" s="311">
        <v>0.1196</v>
      </c>
      <c r="Z29" s="311">
        <v>0.1196</v>
      </c>
      <c r="AA29" s="311">
        <v>0.119628</v>
      </c>
      <c r="AB29" s="311">
        <v>0.13019700000000001</v>
      </c>
      <c r="AC29" s="311">
        <v>0.118059</v>
      </c>
      <c r="AD29" s="1048">
        <v>0.11806</v>
      </c>
      <c r="AE29" s="1036">
        <v>0.4</v>
      </c>
      <c r="AF29" s="311">
        <v>0.2</v>
      </c>
      <c r="AG29" s="311">
        <v>0.1</v>
      </c>
      <c r="AH29" s="3">
        <v>0.17699999999999999</v>
      </c>
      <c r="AI29" s="3">
        <v>0.17699999999999999</v>
      </c>
      <c r="AJ29" s="311">
        <v>0.46</v>
      </c>
      <c r="AK29" s="311">
        <v>0.5</v>
      </c>
      <c r="AL29" s="311" t="s">
        <v>1</v>
      </c>
      <c r="AM29" s="311" t="s">
        <v>1</v>
      </c>
      <c r="AN29" s="311" t="s">
        <v>1</v>
      </c>
      <c r="AO29" s="311" t="s">
        <v>1</v>
      </c>
      <c r="AP29" s="311" t="s">
        <v>1</v>
      </c>
      <c r="AQ29" s="311" t="s">
        <v>1</v>
      </c>
      <c r="AR29" s="1093" t="s">
        <v>1</v>
      </c>
    </row>
    <row r="30" spans="1:44" s="11" customFormat="1">
      <c r="A30" s="995" t="s">
        <v>110</v>
      </c>
      <c r="B30" s="4"/>
      <c r="C30" s="311" t="s">
        <v>1</v>
      </c>
      <c r="D30" s="311" t="s">
        <v>1</v>
      </c>
      <c r="E30" s="311" t="s">
        <v>1</v>
      </c>
      <c r="F30" s="311" t="s">
        <v>1</v>
      </c>
      <c r="G30" s="311" t="s">
        <v>1</v>
      </c>
      <c r="H30" s="311" t="s">
        <v>1</v>
      </c>
      <c r="I30" s="311" t="s">
        <v>1</v>
      </c>
      <c r="J30" s="311" t="s">
        <v>1</v>
      </c>
      <c r="K30" s="311" t="s">
        <v>1</v>
      </c>
      <c r="L30" s="311" t="s">
        <v>1</v>
      </c>
      <c r="M30" s="311" t="s">
        <v>1</v>
      </c>
      <c r="N30" s="311" t="s">
        <v>1</v>
      </c>
      <c r="O30" s="311" t="s">
        <v>1</v>
      </c>
      <c r="P30" s="311">
        <v>0.38300000000000001</v>
      </c>
      <c r="Q30" s="311">
        <v>0.3715</v>
      </c>
      <c r="R30" s="311">
        <v>0.22340000000000002</v>
      </c>
      <c r="S30" s="311">
        <v>0.17050000000000001</v>
      </c>
      <c r="T30" s="311">
        <v>0.17</v>
      </c>
      <c r="U30" s="311">
        <v>5.4700000000000006E-2</v>
      </c>
      <c r="V30" s="311">
        <v>5.4700000000000006E-2</v>
      </c>
      <c r="W30" s="311">
        <v>0.54920000000000002</v>
      </c>
      <c r="X30" s="311">
        <v>5.7700000000000001E-2</v>
      </c>
      <c r="Y30" s="311">
        <v>5.5500000000000001E-2</v>
      </c>
      <c r="Z30" s="311">
        <v>5.5600000000000004E-2</v>
      </c>
      <c r="AA30" s="311">
        <v>5.5488000000000003E-2</v>
      </c>
      <c r="AB30" s="311">
        <v>5.5701000000000001E-2</v>
      </c>
      <c r="AC30" s="311">
        <v>5.6064999999999997E-2</v>
      </c>
      <c r="AD30" s="1048">
        <v>5.6000000000000001E-2</v>
      </c>
      <c r="AE30" s="1036">
        <v>0.1</v>
      </c>
      <c r="AF30" s="311">
        <v>0.1</v>
      </c>
      <c r="AG30" s="311">
        <v>0.1</v>
      </c>
      <c r="AH30" s="3">
        <v>5.7000000000000002E-2</v>
      </c>
      <c r="AI30" s="3">
        <v>5.7000000000000002E-2</v>
      </c>
      <c r="AJ30" s="311">
        <v>0.08</v>
      </c>
      <c r="AK30" s="311">
        <v>0.1</v>
      </c>
      <c r="AL30" s="311" t="s">
        <v>1</v>
      </c>
      <c r="AM30" s="311" t="s">
        <v>1</v>
      </c>
      <c r="AN30" s="311" t="s">
        <v>1</v>
      </c>
      <c r="AO30" s="311" t="s">
        <v>1</v>
      </c>
      <c r="AP30" s="311" t="s">
        <v>1</v>
      </c>
      <c r="AQ30" s="311" t="s">
        <v>1</v>
      </c>
      <c r="AR30" s="1093" t="s">
        <v>1</v>
      </c>
    </row>
    <row r="31" spans="1:44" s="11" customFormat="1">
      <c r="A31" s="995" t="s">
        <v>111</v>
      </c>
      <c r="B31" s="4"/>
      <c r="C31" s="311" t="s">
        <v>1</v>
      </c>
      <c r="D31" s="311" t="s">
        <v>1</v>
      </c>
      <c r="E31" s="311" t="s">
        <v>1</v>
      </c>
      <c r="F31" s="311" t="s">
        <v>1</v>
      </c>
      <c r="G31" s="311" t="s">
        <v>1</v>
      </c>
      <c r="H31" s="311" t="s">
        <v>1</v>
      </c>
      <c r="I31" s="311" t="s">
        <v>1</v>
      </c>
      <c r="J31" s="311" t="s">
        <v>1</v>
      </c>
      <c r="K31" s="311" t="s">
        <v>1</v>
      </c>
      <c r="L31" s="311" t="s">
        <v>1</v>
      </c>
      <c r="M31" s="311" t="s">
        <v>1</v>
      </c>
      <c r="N31" s="311" t="s">
        <v>1</v>
      </c>
      <c r="O31" s="311" t="s">
        <v>1</v>
      </c>
      <c r="P31" s="311">
        <v>9.1000000000000004E-3</v>
      </c>
      <c r="Q31" s="311">
        <v>8.0000000000000002E-3</v>
      </c>
      <c r="R31" s="311">
        <v>3.7600000000000001E-2</v>
      </c>
      <c r="S31" s="311">
        <v>2.1700000000000001E-2</v>
      </c>
      <c r="T31" s="311">
        <v>2.18E-2</v>
      </c>
      <c r="U31" s="311">
        <v>2.1899999999999999E-2</v>
      </c>
      <c r="V31" s="311">
        <v>2.1999999999999999E-2</v>
      </c>
      <c r="W31" s="311">
        <v>0.22009999999999999</v>
      </c>
      <c r="X31" s="311">
        <v>2.3E-2</v>
      </c>
      <c r="Y31" s="311">
        <v>2.2699999999999998E-2</v>
      </c>
      <c r="Z31" s="311">
        <v>2.2699999999999998E-2</v>
      </c>
      <c r="AA31" s="311">
        <v>2.274E-2</v>
      </c>
      <c r="AB31" s="311">
        <v>2.206E-2</v>
      </c>
      <c r="AC31" s="311">
        <v>2.1680000000000001E-2</v>
      </c>
      <c r="AD31" s="1048">
        <v>2.1600000000000001E-2</v>
      </c>
      <c r="AE31" s="1036">
        <v>0</v>
      </c>
      <c r="AF31" s="311">
        <v>0</v>
      </c>
      <c r="AG31" s="311">
        <v>0</v>
      </c>
      <c r="AH31" s="3">
        <v>2.1999999999999999E-2</v>
      </c>
      <c r="AI31" s="3">
        <v>2.1999999999999999E-2</v>
      </c>
      <c r="AJ31" s="311">
        <v>0.03</v>
      </c>
      <c r="AK31" s="311">
        <v>0</v>
      </c>
      <c r="AL31" s="311" t="s">
        <v>1</v>
      </c>
      <c r="AM31" s="311" t="s">
        <v>1</v>
      </c>
      <c r="AN31" s="311" t="s">
        <v>1</v>
      </c>
      <c r="AO31" s="311" t="s">
        <v>1</v>
      </c>
      <c r="AP31" s="311" t="s">
        <v>1</v>
      </c>
      <c r="AQ31" s="311" t="s">
        <v>1</v>
      </c>
      <c r="AR31" s="1093" t="s">
        <v>1</v>
      </c>
    </row>
    <row r="32" spans="1:44" s="11" customFormat="1">
      <c r="A32" s="995" t="s">
        <v>388</v>
      </c>
      <c r="B32" s="4"/>
      <c r="C32" s="311" t="s">
        <v>1</v>
      </c>
      <c r="D32" s="311" t="s">
        <v>1</v>
      </c>
      <c r="E32" s="311" t="s">
        <v>1</v>
      </c>
      <c r="F32" s="311" t="s">
        <v>1</v>
      </c>
      <c r="G32" s="311" t="s">
        <v>1</v>
      </c>
      <c r="H32" s="311" t="s">
        <v>1</v>
      </c>
      <c r="I32" s="311" t="s">
        <v>1</v>
      </c>
      <c r="J32" s="311" t="s">
        <v>1</v>
      </c>
      <c r="K32" s="311" t="s">
        <v>1</v>
      </c>
      <c r="L32" s="311" t="s">
        <v>1</v>
      </c>
      <c r="M32" s="311" t="s">
        <v>1</v>
      </c>
      <c r="N32" s="311" t="s">
        <v>1</v>
      </c>
      <c r="O32" s="311" t="s">
        <v>1</v>
      </c>
      <c r="P32" s="311">
        <v>0.27029999999999998</v>
      </c>
      <c r="Q32" s="311">
        <v>0.1</v>
      </c>
      <c r="R32" s="311">
        <v>0.12229999999999999</v>
      </c>
      <c r="S32" s="311">
        <v>9.6099999999999991E-2</v>
      </c>
      <c r="T32" s="311">
        <v>9.6700000000000008E-2</v>
      </c>
      <c r="U32" s="311">
        <v>9.69E-2</v>
      </c>
      <c r="V32" s="311">
        <v>9.5500000000000002E-2</v>
      </c>
      <c r="W32" s="311">
        <v>0.95710000000000006</v>
      </c>
      <c r="X32" s="311">
        <v>0.1003</v>
      </c>
      <c r="Y32" s="311">
        <v>0.1003</v>
      </c>
      <c r="Z32" s="311">
        <v>0.1004</v>
      </c>
      <c r="AA32" s="311">
        <v>0.100371</v>
      </c>
      <c r="AB32" s="311">
        <v>9.5346E-2</v>
      </c>
      <c r="AC32" s="311">
        <v>9.5441999999999999E-2</v>
      </c>
      <c r="AD32" s="1048">
        <v>9.5399999999999999E-2</v>
      </c>
      <c r="AE32" s="1036">
        <v>0.1</v>
      </c>
      <c r="AF32" s="311">
        <v>0.1</v>
      </c>
      <c r="AG32" s="311">
        <v>0.1</v>
      </c>
      <c r="AH32" s="3">
        <v>9.7000000000000003E-2</v>
      </c>
      <c r="AI32" s="3">
        <v>9.7000000000000003E-2</v>
      </c>
      <c r="AJ32" s="311">
        <v>0.11</v>
      </c>
      <c r="AK32" s="311">
        <v>0.1</v>
      </c>
      <c r="AL32" s="311" t="s">
        <v>1</v>
      </c>
      <c r="AM32" s="311" t="s">
        <v>1</v>
      </c>
      <c r="AN32" s="311" t="s">
        <v>1</v>
      </c>
      <c r="AO32" s="311" t="s">
        <v>1</v>
      </c>
      <c r="AP32" s="311" t="s">
        <v>1</v>
      </c>
      <c r="AQ32" s="311" t="s">
        <v>1</v>
      </c>
      <c r="AR32" s="1093" t="s">
        <v>1</v>
      </c>
    </row>
    <row r="33" spans="1:44" s="11" customFormat="1">
      <c r="A33" s="995" t="s">
        <v>136</v>
      </c>
      <c r="B33" s="4"/>
      <c r="C33" s="311" t="s">
        <v>1</v>
      </c>
      <c r="D33" s="311" t="s">
        <v>1</v>
      </c>
      <c r="E33" s="311" t="s">
        <v>1</v>
      </c>
      <c r="F33" s="311" t="s">
        <v>1</v>
      </c>
      <c r="G33" s="311" t="s">
        <v>1</v>
      </c>
      <c r="H33" s="311" t="s">
        <v>1</v>
      </c>
      <c r="I33" s="311" t="s">
        <v>1</v>
      </c>
      <c r="J33" s="311" t="s">
        <v>1</v>
      </c>
      <c r="K33" s="311" t="s">
        <v>1</v>
      </c>
      <c r="L33" s="311" t="s">
        <v>1</v>
      </c>
      <c r="M33" s="311" t="s">
        <v>1</v>
      </c>
      <c r="N33" s="311" t="s">
        <v>1</v>
      </c>
      <c r="O33" s="311" t="s">
        <v>1</v>
      </c>
      <c r="P33" s="311">
        <v>0.62790000000000001</v>
      </c>
      <c r="Q33" s="311">
        <v>0.64</v>
      </c>
      <c r="R33" s="311">
        <v>0.77779999999999994</v>
      </c>
      <c r="S33" s="311">
        <v>0.56110000000000004</v>
      </c>
      <c r="T33" s="311">
        <v>0.54600000000000004</v>
      </c>
      <c r="U33" s="311">
        <v>0.54259999999999997</v>
      </c>
      <c r="V33" s="311">
        <v>0.54289999999999994</v>
      </c>
      <c r="W33" s="311">
        <v>5.3155000000000001</v>
      </c>
      <c r="X33" s="311">
        <v>0.55879999999999996</v>
      </c>
      <c r="Y33" s="311">
        <v>0.53379999999999994</v>
      </c>
      <c r="Z33" s="311">
        <v>0.54159999999999997</v>
      </c>
      <c r="AA33" s="311">
        <v>0.49370399999999998</v>
      </c>
      <c r="AB33" s="311">
        <v>0.54086699999999999</v>
      </c>
      <c r="AC33" s="311">
        <v>0.53764000000000001</v>
      </c>
      <c r="AD33" s="1048">
        <v>0.53844000000000003</v>
      </c>
      <c r="AE33" s="1036">
        <v>0.5</v>
      </c>
      <c r="AF33" s="311">
        <v>0.5</v>
      </c>
      <c r="AG33" s="311">
        <v>0.6</v>
      </c>
      <c r="AH33" s="3">
        <v>0.55100000000000005</v>
      </c>
      <c r="AI33" s="3">
        <v>0.55100000000000005</v>
      </c>
      <c r="AJ33" s="311">
        <v>0.63</v>
      </c>
      <c r="AK33" s="311">
        <v>0.6</v>
      </c>
      <c r="AL33" s="311" t="s">
        <v>1</v>
      </c>
      <c r="AM33" s="311" t="s">
        <v>1</v>
      </c>
      <c r="AN33" s="311" t="s">
        <v>1</v>
      </c>
      <c r="AO33" s="311" t="s">
        <v>1</v>
      </c>
      <c r="AP33" s="311" t="s">
        <v>1</v>
      </c>
      <c r="AQ33" s="311" t="s">
        <v>1</v>
      </c>
      <c r="AR33" s="1093" t="s">
        <v>1</v>
      </c>
    </row>
    <row r="34" spans="1:44" s="11" customFormat="1">
      <c r="A34" s="995" t="s">
        <v>112</v>
      </c>
      <c r="B34" s="4"/>
      <c r="C34" s="311" t="s">
        <v>1</v>
      </c>
      <c r="D34" s="311" t="s">
        <v>1</v>
      </c>
      <c r="E34" s="311" t="s">
        <v>1</v>
      </c>
      <c r="F34" s="311" t="s">
        <v>1</v>
      </c>
      <c r="G34" s="311" t="s">
        <v>1</v>
      </c>
      <c r="H34" s="311" t="s">
        <v>1</v>
      </c>
      <c r="I34" s="311" t="s">
        <v>1</v>
      </c>
      <c r="J34" s="311" t="s">
        <v>1</v>
      </c>
      <c r="K34" s="311" t="s">
        <v>1</v>
      </c>
      <c r="L34" s="311" t="s">
        <v>1</v>
      </c>
      <c r="M34" s="311" t="s">
        <v>1</v>
      </c>
      <c r="N34" s="311" t="s">
        <v>1</v>
      </c>
      <c r="O34" s="311" t="s">
        <v>1</v>
      </c>
      <c r="P34" s="311" t="s">
        <v>1</v>
      </c>
      <c r="Q34" s="311" t="s">
        <v>1</v>
      </c>
      <c r="R34" s="311" t="s">
        <v>1</v>
      </c>
      <c r="S34" s="311" t="s">
        <v>1</v>
      </c>
      <c r="T34" s="311" t="s">
        <v>1</v>
      </c>
      <c r="U34" s="311" t="s">
        <v>1</v>
      </c>
      <c r="V34" s="311" t="s">
        <v>1</v>
      </c>
      <c r="W34" s="311" t="s">
        <v>1</v>
      </c>
      <c r="X34" s="311" t="s">
        <v>1</v>
      </c>
      <c r="Y34" s="311" t="s">
        <v>1</v>
      </c>
      <c r="Z34" s="311" t="s">
        <v>1</v>
      </c>
      <c r="AA34" s="311">
        <v>7.1266999999999997E-2</v>
      </c>
      <c r="AB34" s="311">
        <v>0.28455799999999998</v>
      </c>
      <c r="AC34" s="311">
        <v>0.28797400000000001</v>
      </c>
      <c r="AD34" s="1048">
        <v>0.31763000000000002</v>
      </c>
      <c r="AE34" s="1036">
        <v>0.3</v>
      </c>
      <c r="AF34" s="311">
        <v>0.3</v>
      </c>
      <c r="AG34" s="311">
        <v>0.3</v>
      </c>
      <c r="AH34" s="3">
        <v>0.32200000000000001</v>
      </c>
      <c r="AI34" s="3">
        <v>0.32200000000000001</v>
      </c>
      <c r="AJ34" s="311">
        <v>0.39</v>
      </c>
      <c r="AK34" s="311">
        <v>0.4</v>
      </c>
      <c r="AL34" s="311" t="s">
        <v>1</v>
      </c>
      <c r="AM34" s="311" t="s">
        <v>1</v>
      </c>
      <c r="AN34" s="311" t="s">
        <v>1</v>
      </c>
      <c r="AO34" s="311" t="s">
        <v>1</v>
      </c>
      <c r="AP34" s="311" t="s">
        <v>1</v>
      </c>
      <c r="AQ34" s="311" t="s">
        <v>1</v>
      </c>
      <c r="AR34" s="1093" t="s">
        <v>1</v>
      </c>
    </row>
    <row r="35" spans="1:44" s="11" customFormat="1">
      <c r="A35" s="995" t="s">
        <v>113</v>
      </c>
      <c r="B35" s="4"/>
      <c r="C35" s="311" t="s">
        <v>1</v>
      </c>
      <c r="D35" s="311" t="s">
        <v>1</v>
      </c>
      <c r="E35" s="311" t="s">
        <v>1</v>
      </c>
      <c r="F35" s="311" t="s">
        <v>1</v>
      </c>
      <c r="G35" s="311" t="s">
        <v>1</v>
      </c>
      <c r="H35" s="311" t="s">
        <v>1</v>
      </c>
      <c r="I35" s="311" t="s">
        <v>1</v>
      </c>
      <c r="J35" s="311" t="s">
        <v>1</v>
      </c>
      <c r="K35" s="311" t="s">
        <v>1</v>
      </c>
      <c r="L35" s="311" t="s">
        <v>1</v>
      </c>
      <c r="M35" s="311" t="s">
        <v>1</v>
      </c>
      <c r="N35" s="311" t="s">
        <v>1</v>
      </c>
      <c r="O35" s="311" t="s">
        <v>1</v>
      </c>
      <c r="P35" s="311">
        <v>0.1</v>
      </c>
      <c r="Q35" s="311">
        <v>9.2200000000000004E-2</v>
      </c>
      <c r="R35" s="311">
        <v>0.32850000000000001</v>
      </c>
      <c r="S35" s="311">
        <v>0.25730000000000003</v>
      </c>
      <c r="T35" s="311">
        <v>0.2596</v>
      </c>
      <c r="U35" s="311">
        <v>0.25669999999999998</v>
      </c>
      <c r="V35" s="311">
        <v>0.25530000000000003</v>
      </c>
      <c r="W35" s="311">
        <v>2.5569999999999999</v>
      </c>
      <c r="X35" s="311">
        <v>0.26800000000000002</v>
      </c>
      <c r="Y35" s="311">
        <v>0.2611</v>
      </c>
      <c r="Z35" s="311">
        <v>0.2611</v>
      </c>
      <c r="AA35" s="311">
        <v>0.26112800000000003</v>
      </c>
      <c r="AB35" s="311">
        <v>0.25984699999999999</v>
      </c>
      <c r="AC35" s="311">
        <v>0.26659000000000005</v>
      </c>
      <c r="AD35" s="1048">
        <v>0.26913999999999999</v>
      </c>
      <c r="AE35" s="1036">
        <v>0.3</v>
      </c>
      <c r="AF35" s="311">
        <v>0.3</v>
      </c>
      <c r="AG35" s="311">
        <v>0.3</v>
      </c>
      <c r="AH35" s="3">
        <v>0.27500000000000002</v>
      </c>
      <c r="AI35" s="3">
        <v>0.27500000000000002</v>
      </c>
      <c r="AJ35" s="311">
        <v>0.32</v>
      </c>
      <c r="AK35" s="311">
        <v>0.3</v>
      </c>
      <c r="AL35" s="311" t="s">
        <v>1</v>
      </c>
      <c r="AM35" s="311" t="s">
        <v>1</v>
      </c>
      <c r="AN35" s="311" t="s">
        <v>1</v>
      </c>
      <c r="AO35" s="311" t="s">
        <v>1</v>
      </c>
      <c r="AP35" s="311" t="s">
        <v>1</v>
      </c>
      <c r="AQ35" s="311" t="s">
        <v>1</v>
      </c>
      <c r="AR35" s="1093" t="s">
        <v>1</v>
      </c>
    </row>
    <row r="36" spans="1:44" s="11" customFormat="1">
      <c r="A36" s="1023" t="s">
        <v>361</v>
      </c>
      <c r="B36" s="4"/>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05"/>
      <c r="AE36" s="825"/>
      <c r="AF36" s="1006"/>
      <c r="AG36" s="1006"/>
      <c r="AH36" s="4"/>
      <c r="AI36" s="311" t="s">
        <v>1</v>
      </c>
      <c r="AJ36" s="311" t="s">
        <v>1</v>
      </c>
      <c r="AK36" s="311" t="s">
        <v>1</v>
      </c>
      <c r="AL36" s="311" t="s">
        <v>1</v>
      </c>
      <c r="AM36" s="311" t="s">
        <v>1</v>
      </c>
      <c r="AN36" s="311" t="s">
        <v>1</v>
      </c>
      <c r="AO36" s="311" t="s">
        <v>1</v>
      </c>
      <c r="AP36" s="311" t="s">
        <v>1</v>
      </c>
      <c r="AQ36" s="311" t="s">
        <v>1</v>
      </c>
      <c r="AR36" s="1093" t="s">
        <v>1</v>
      </c>
    </row>
    <row r="37" spans="1:44" s="11" customFormat="1">
      <c r="A37" s="993" t="s">
        <v>108</v>
      </c>
      <c r="B37" s="4"/>
      <c r="C37" s="311" t="s">
        <v>1</v>
      </c>
      <c r="D37" s="311" t="s">
        <v>1</v>
      </c>
      <c r="E37" s="311" t="s">
        <v>1</v>
      </c>
      <c r="F37" s="311">
        <v>0.7</v>
      </c>
      <c r="G37" s="311">
        <v>0.8</v>
      </c>
      <c r="H37" s="311">
        <v>0.8</v>
      </c>
      <c r="I37" s="311">
        <v>9.4</v>
      </c>
      <c r="J37" s="311">
        <v>9.6</v>
      </c>
      <c r="K37" s="311">
        <v>31.2</v>
      </c>
      <c r="L37" s="311">
        <v>74.5</v>
      </c>
      <c r="M37" s="311">
        <v>8.1</v>
      </c>
      <c r="N37" s="311">
        <v>3.8</v>
      </c>
      <c r="O37" s="311">
        <v>6.9</v>
      </c>
      <c r="P37" s="311">
        <v>14.4</v>
      </c>
      <c r="Q37" s="311">
        <v>6.7</v>
      </c>
      <c r="R37" s="311">
        <v>5.0999999999999996</v>
      </c>
      <c r="S37" s="311">
        <v>4.2</v>
      </c>
      <c r="T37" s="311">
        <v>4</v>
      </c>
      <c r="U37" s="311">
        <v>4</v>
      </c>
      <c r="V37" s="311">
        <v>3.9</v>
      </c>
      <c r="W37" s="311">
        <v>4.2</v>
      </c>
      <c r="X37" s="311">
        <v>4.3</v>
      </c>
      <c r="Y37" s="311">
        <v>3.9</v>
      </c>
      <c r="Z37" s="311">
        <v>3.9</v>
      </c>
      <c r="AA37" s="311">
        <v>4</v>
      </c>
      <c r="AB37" s="311">
        <v>5.8</v>
      </c>
      <c r="AC37" s="311">
        <f>SUM(AC39:AC45)</f>
        <v>11.248094500000001</v>
      </c>
      <c r="AD37" s="1048">
        <v>12.33399</v>
      </c>
      <c r="AE37" s="1036">
        <v>12.495575000000001</v>
      </c>
      <c r="AF37" s="311">
        <v>10.199999999999999</v>
      </c>
      <c r="AG37" s="311">
        <v>8.9</v>
      </c>
      <c r="AH37" s="3">
        <v>4.8650000000000002</v>
      </c>
      <c r="AI37" s="311">
        <v>4.8</v>
      </c>
      <c r="AJ37" s="311">
        <v>4.9000000000000004</v>
      </c>
      <c r="AK37" s="311">
        <v>5</v>
      </c>
      <c r="AL37" s="311" t="s">
        <v>1</v>
      </c>
      <c r="AM37" s="311" t="s">
        <v>1</v>
      </c>
      <c r="AN37" s="311" t="s">
        <v>1</v>
      </c>
      <c r="AO37" s="311" t="s">
        <v>1</v>
      </c>
      <c r="AP37" s="311" t="s">
        <v>1</v>
      </c>
      <c r="AQ37" s="311" t="s">
        <v>1</v>
      </c>
      <c r="AR37" s="1093" t="s">
        <v>1</v>
      </c>
    </row>
    <row r="38" spans="1:44" s="11" customFormat="1">
      <c r="A38" s="995" t="s">
        <v>109</v>
      </c>
      <c r="B38" s="4"/>
      <c r="C38" s="311" t="s">
        <v>1</v>
      </c>
      <c r="D38" s="311" t="s">
        <v>1</v>
      </c>
      <c r="E38" s="311" t="s">
        <v>1</v>
      </c>
      <c r="F38" s="311" t="s">
        <v>1</v>
      </c>
      <c r="G38" s="311" t="s">
        <v>1</v>
      </c>
      <c r="H38" s="311" t="s">
        <v>1</v>
      </c>
      <c r="I38" s="311" t="s">
        <v>1</v>
      </c>
      <c r="J38" s="311" t="s">
        <v>1</v>
      </c>
      <c r="K38" s="311" t="s">
        <v>1</v>
      </c>
      <c r="L38" s="311" t="s">
        <v>1</v>
      </c>
      <c r="M38" s="311" t="s">
        <v>1</v>
      </c>
      <c r="N38" s="311" t="s">
        <v>1</v>
      </c>
      <c r="O38" s="311" t="s">
        <v>1</v>
      </c>
      <c r="P38" s="311">
        <v>0.96529999999999994</v>
      </c>
      <c r="Q38" s="311">
        <v>0.2742</v>
      </c>
      <c r="R38" s="311">
        <v>0.28199999999999997</v>
      </c>
      <c r="S38" s="311">
        <v>0.23469999999999999</v>
      </c>
      <c r="T38" s="311">
        <v>0.2266</v>
      </c>
      <c r="U38" s="311">
        <v>0.224</v>
      </c>
      <c r="V38" s="311">
        <v>0.2001</v>
      </c>
      <c r="W38" s="311">
        <v>0.1983</v>
      </c>
      <c r="X38" s="311">
        <v>0.21540000000000001</v>
      </c>
      <c r="Y38" s="311">
        <v>0.19080000000000003</v>
      </c>
      <c r="Z38" s="311">
        <v>0.191</v>
      </c>
      <c r="AA38" s="311">
        <v>0.19094</v>
      </c>
      <c r="AB38" s="311">
        <v>0.19106000000000001</v>
      </c>
      <c r="AC38" s="311">
        <v>0.19652900000000001</v>
      </c>
      <c r="AD38" s="1048">
        <v>0.20071</v>
      </c>
      <c r="AE38" s="1036">
        <v>0.200711</v>
      </c>
      <c r="AF38" s="311">
        <v>0.2</v>
      </c>
      <c r="AG38" s="311">
        <v>0.2</v>
      </c>
      <c r="AH38" s="3">
        <v>0.20100000000000001</v>
      </c>
      <c r="AI38" s="311">
        <v>0.2</v>
      </c>
      <c r="AJ38" s="311">
        <v>0.2</v>
      </c>
      <c r="AK38" s="311">
        <v>0.2</v>
      </c>
      <c r="AL38" s="311" t="s">
        <v>1</v>
      </c>
      <c r="AM38" s="311" t="s">
        <v>1</v>
      </c>
      <c r="AN38" s="311" t="s">
        <v>1</v>
      </c>
      <c r="AO38" s="311" t="s">
        <v>1</v>
      </c>
      <c r="AP38" s="311" t="s">
        <v>1</v>
      </c>
      <c r="AQ38" s="311" t="s">
        <v>1</v>
      </c>
      <c r="AR38" s="1093" t="s">
        <v>1</v>
      </c>
    </row>
    <row r="39" spans="1:44" s="11" customFormat="1">
      <c r="A39" s="995" t="s">
        <v>135</v>
      </c>
      <c r="B39" s="4"/>
      <c r="C39" s="311" t="s">
        <v>1</v>
      </c>
      <c r="D39" s="311" t="s">
        <v>1</v>
      </c>
      <c r="E39" s="311" t="s">
        <v>1</v>
      </c>
      <c r="F39" s="311" t="s">
        <v>1</v>
      </c>
      <c r="G39" s="311" t="s">
        <v>1</v>
      </c>
      <c r="H39" s="311" t="s">
        <v>1</v>
      </c>
      <c r="I39" s="311" t="s">
        <v>1</v>
      </c>
      <c r="J39" s="311" t="s">
        <v>1</v>
      </c>
      <c r="K39" s="311" t="s">
        <v>1</v>
      </c>
      <c r="L39" s="311" t="s">
        <v>1</v>
      </c>
      <c r="M39" s="311" t="s">
        <v>1</v>
      </c>
      <c r="N39" s="311" t="s">
        <v>1</v>
      </c>
      <c r="O39" s="311" t="s">
        <v>1</v>
      </c>
      <c r="P39" s="311" t="s">
        <v>1</v>
      </c>
      <c r="Q39" s="311" t="s">
        <v>1</v>
      </c>
      <c r="R39" s="311" t="s">
        <v>1</v>
      </c>
      <c r="S39" s="311" t="s">
        <v>1</v>
      </c>
      <c r="T39" s="311" t="s">
        <v>1</v>
      </c>
      <c r="U39" s="311">
        <v>0.38400000000000001</v>
      </c>
      <c r="V39" s="311">
        <v>0.3821</v>
      </c>
      <c r="W39" s="311">
        <v>0.38300000000000001</v>
      </c>
      <c r="X39" s="311">
        <v>0.4239</v>
      </c>
      <c r="Y39" s="311">
        <v>0.38869999999999999</v>
      </c>
      <c r="Z39" s="311">
        <v>0.38980000000000004</v>
      </c>
      <c r="AA39" s="311">
        <v>0.390017</v>
      </c>
      <c r="AB39" s="311">
        <v>1.3134410000000001</v>
      </c>
      <c r="AC39" s="311">
        <v>7.1172680000000001</v>
      </c>
      <c r="AD39" s="1048">
        <v>7.9630700000000001</v>
      </c>
      <c r="AE39" s="1036">
        <v>8.0950119999999988</v>
      </c>
      <c r="AF39" s="311">
        <v>5.8</v>
      </c>
      <c r="AG39" s="311">
        <v>4.5</v>
      </c>
      <c r="AH39" s="3">
        <v>0.39500000000000002</v>
      </c>
      <c r="AI39" s="311">
        <v>0.3</v>
      </c>
      <c r="AJ39" s="311">
        <v>0.41</v>
      </c>
      <c r="AK39" s="311">
        <v>0.4</v>
      </c>
      <c r="AL39" s="311" t="s">
        <v>1</v>
      </c>
      <c r="AM39" s="311" t="s">
        <v>1</v>
      </c>
      <c r="AN39" s="311" t="s">
        <v>1</v>
      </c>
      <c r="AO39" s="311" t="s">
        <v>1</v>
      </c>
      <c r="AP39" s="311" t="s">
        <v>1</v>
      </c>
      <c r="AQ39" s="311" t="s">
        <v>1</v>
      </c>
      <c r="AR39" s="1093" t="s">
        <v>1</v>
      </c>
    </row>
    <row r="40" spans="1:44" s="11" customFormat="1">
      <c r="A40" s="995" t="s">
        <v>110</v>
      </c>
      <c r="B40" s="4"/>
      <c r="C40" s="311" t="s">
        <v>1</v>
      </c>
      <c r="D40" s="311" t="s">
        <v>1</v>
      </c>
      <c r="E40" s="311" t="s">
        <v>1</v>
      </c>
      <c r="F40" s="311" t="s">
        <v>1</v>
      </c>
      <c r="G40" s="311" t="s">
        <v>1</v>
      </c>
      <c r="H40" s="311" t="s">
        <v>1</v>
      </c>
      <c r="I40" s="311" t="s">
        <v>1</v>
      </c>
      <c r="J40" s="311" t="s">
        <v>1</v>
      </c>
      <c r="K40" s="311" t="s">
        <v>1</v>
      </c>
      <c r="L40" s="311" t="s">
        <v>1</v>
      </c>
      <c r="M40" s="311" t="s">
        <v>1</v>
      </c>
      <c r="N40" s="311" t="s">
        <v>1</v>
      </c>
      <c r="O40" s="311" t="s">
        <v>1</v>
      </c>
      <c r="P40" s="311">
        <v>4.4569999999999999</v>
      </c>
      <c r="Q40" s="311">
        <v>2.6966999999999999</v>
      </c>
      <c r="R40" s="311">
        <v>0.76229999999999998</v>
      </c>
      <c r="S40" s="311">
        <v>0.65529999999999999</v>
      </c>
      <c r="T40" s="311">
        <v>0.56629999999999991</v>
      </c>
      <c r="U40" s="311">
        <v>0.1832</v>
      </c>
      <c r="V40" s="311">
        <v>0.18240000000000001</v>
      </c>
      <c r="W40" s="311">
        <v>0.18259999999999998</v>
      </c>
      <c r="X40" s="311">
        <v>0.20169999999999999</v>
      </c>
      <c r="Y40" s="311">
        <v>0.1835</v>
      </c>
      <c r="Z40" s="311">
        <v>0.18259999999999998</v>
      </c>
      <c r="AA40" s="311">
        <v>0.182419</v>
      </c>
      <c r="AB40" s="311">
        <v>0.180786</v>
      </c>
      <c r="AC40" s="311">
        <v>0.181891</v>
      </c>
      <c r="AD40" s="1048">
        <v>0.18181</v>
      </c>
      <c r="AE40" s="1036">
        <v>0.18169100000000002</v>
      </c>
      <c r="AF40" s="311">
        <v>0.2</v>
      </c>
      <c r="AG40" s="311">
        <v>0.2</v>
      </c>
      <c r="AH40" s="3">
        <v>0.183</v>
      </c>
      <c r="AI40" s="311">
        <v>0.2</v>
      </c>
      <c r="AJ40" s="311">
        <v>0.18</v>
      </c>
      <c r="AK40" s="311">
        <v>0.2</v>
      </c>
      <c r="AL40" s="311" t="s">
        <v>1</v>
      </c>
      <c r="AM40" s="311" t="s">
        <v>1</v>
      </c>
      <c r="AN40" s="311" t="s">
        <v>1</v>
      </c>
      <c r="AO40" s="311" t="s">
        <v>1</v>
      </c>
      <c r="AP40" s="311" t="s">
        <v>1</v>
      </c>
      <c r="AQ40" s="311" t="s">
        <v>1</v>
      </c>
      <c r="AR40" s="1093" t="s">
        <v>1</v>
      </c>
    </row>
    <row r="41" spans="1:44" s="11" customFormat="1">
      <c r="A41" s="995" t="s">
        <v>111</v>
      </c>
      <c r="B41" s="4"/>
      <c r="C41" s="311" t="s">
        <v>1</v>
      </c>
      <c r="D41" s="311" t="s">
        <v>1</v>
      </c>
      <c r="E41" s="311" t="s">
        <v>1</v>
      </c>
      <c r="F41" s="311" t="s">
        <v>1</v>
      </c>
      <c r="G41" s="311" t="s">
        <v>1</v>
      </c>
      <c r="H41" s="311" t="s">
        <v>1</v>
      </c>
      <c r="I41" s="311" t="s">
        <v>1</v>
      </c>
      <c r="J41" s="311" t="s">
        <v>1</v>
      </c>
      <c r="K41" s="311" t="s">
        <v>1</v>
      </c>
      <c r="L41" s="311" t="s">
        <v>1</v>
      </c>
      <c r="M41" s="311" t="s">
        <v>1</v>
      </c>
      <c r="N41" s="311" t="s">
        <v>1</v>
      </c>
      <c r="O41" s="311" t="s">
        <v>1</v>
      </c>
      <c r="P41" s="311">
        <v>0.34770000000000001</v>
      </c>
      <c r="Q41" s="311">
        <v>0.13550000000000001</v>
      </c>
      <c r="R41" s="311">
        <v>0.126</v>
      </c>
      <c r="S41" s="311">
        <v>8.0099999999999991E-2</v>
      </c>
      <c r="T41" s="311">
        <v>7.8599999999999989E-2</v>
      </c>
      <c r="U41" s="311">
        <v>7.6499999999999999E-2</v>
      </c>
      <c r="V41" s="311">
        <v>7.4499999999999997E-2</v>
      </c>
      <c r="W41" s="311">
        <v>0.37180000000000002</v>
      </c>
      <c r="X41" s="311">
        <v>8.4400000000000003E-2</v>
      </c>
      <c r="Y41" s="311">
        <v>7.3900000000000007E-2</v>
      </c>
      <c r="Z41" s="311">
        <v>7.3900000000000007E-2</v>
      </c>
      <c r="AA41" s="311">
        <v>7.3859999999999995E-2</v>
      </c>
      <c r="AB41" s="311">
        <v>7.3840000000000003E-2</v>
      </c>
      <c r="AC41" s="311">
        <v>7.8119999999999995E-2</v>
      </c>
      <c r="AD41" s="1048">
        <v>8.1600000000000006E-2</v>
      </c>
      <c r="AE41" s="1036">
        <v>8.1600000000000006E-2</v>
      </c>
      <c r="AF41" s="311">
        <v>0.1</v>
      </c>
      <c r="AG41" s="311">
        <v>0.1</v>
      </c>
      <c r="AH41" s="3">
        <v>8.2000000000000003E-2</v>
      </c>
      <c r="AI41" s="311">
        <v>0.1</v>
      </c>
      <c r="AJ41" s="311">
        <v>0.08</v>
      </c>
      <c r="AK41" s="311">
        <v>0.1</v>
      </c>
      <c r="AL41" s="311" t="s">
        <v>1</v>
      </c>
      <c r="AM41" s="311" t="s">
        <v>1</v>
      </c>
      <c r="AN41" s="311" t="s">
        <v>1</v>
      </c>
      <c r="AO41" s="311" t="s">
        <v>1</v>
      </c>
      <c r="AP41" s="311" t="s">
        <v>1</v>
      </c>
      <c r="AQ41" s="311" t="s">
        <v>1</v>
      </c>
      <c r="AR41" s="1093" t="s">
        <v>1</v>
      </c>
    </row>
    <row r="42" spans="1:44" s="11" customFormat="1">
      <c r="A42" s="995" t="s">
        <v>388</v>
      </c>
      <c r="B42" s="4"/>
      <c r="C42" s="311" t="s">
        <v>1</v>
      </c>
      <c r="D42" s="311" t="s">
        <v>1</v>
      </c>
      <c r="E42" s="311" t="s">
        <v>1</v>
      </c>
      <c r="F42" s="311" t="s">
        <v>1</v>
      </c>
      <c r="G42" s="311" t="s">
        <v>1</v>
      </c>
      <c r="H42" s="311" t="s">
        <v>1</v>
      </c>
      <c r="I42" s="311" t="s">
        <v>1</v>
      </c>
      <c r="J42" s="311" t="s">
        <v>1</v>
      </c>
      <c r="K42" s="311" t="s">
        <v>1</v>
      </c>
      <c r="L42" s="311" t="s">
        <v>1</v>
      </c>
      <c r="M42" s="311" t="s">
        <v>1</v>
      </c>
      <c r="N42" s="311" t="s">
        <v>1</v>
      </c>
      <c r="O42" s="311" t="s">
        <v>1</v>
      </c>
      <c r="P42" s="311">
        <v>2.6436999999999999</v>
      </c>
      <c r="Q42" s="311">
        <v>0.60099999999999998</v>
      </c>
      <c r="R42" s="311">
        <v>1.2874000000000001</v>
      </c>
      <c r="S42" s="311">
        <v>1.1027</v>
      </c>
      <c r="T42" s="311">
        <v>1.0557000000000001</v>
      </c>
      <c r="U42" s="311">
        <v>1.0557000000000001</v>
      </c>
      <c r="V42" s="311">
        <v>1.0464</v>
      </c>
      <c r="W42" s="311">
        <v>1.0464</v>
      </c>
      <c r="X42" s="311">
        <v>1.1800999999999999</v>
      </c>
      <c r="Y42" s="311">
        <v>1.0143</v>
      </c>
      <c r="Z42" s="311">
        <v>1.0143</v>
      </c>
      <c r="AA42" s="311">
        <v>1.0143390000000001</v>
      </c>
      <c r="AB42" s="311">
        <v>1.0342169999999999</v>
      </c>
      <c r="AC42" s="311">
        <v>1.0250079999999999</v>
      </c>
      <c r="AD42" s="1048">
        <v>1.0253300000000001</v>
      </c>
      <c r="AE42" s="1036">
        <v>1.039358</v>
      </c>
      <c r="AF42" s="311">
        <v>1</v>
      </c>
      <c r="AG42" s="311">
        <v>1</v>
      </c>
      <c r="AH42" s="3">
        <v>1.0389999999999999</v>
      </c>
      <c r="AI42" s="311">
        <v>1</v>
      </c>
      <c r="AJ42" s="311">
        <v>1.05</v>
      </c>
      <c r="AK42" s="311">
        <v>1.1000000000000001</v>
      </c>
      <c r="AL42" s="311" t="s">
        <v>1</v>
      </c>
      <c r="AM42" s="311" t="s">
        <v>1</v>
      </c>
      <c r="AN42" s="311" t="s">
        <v>1</v>
      </c>
      <c r="AO42" s="311" t="s">
        <v>1</v>
      </c>
      <c r="AP42" s="311" t="s">
        <v>1</v>
      </c>
      <c r="AQ42" s="311" t="s">
        <v>1</v>
      </c>
      <c r="AR42" s="1093" t="s">
        <v>1</v>
      </c>
    </row>
    <row r="43" spans="1:44" s="11" customFormat="1">
      <c r="A43" s="995" t="s">
        <v>136</v>
      </c>
      <c r="B43" s="4"/>
      <c r="C43" s="311" t="s">
        <v>1</v>
      </c>
      <c r="D43" s="311" t="s">
        <v>1</v>
      </c>
      <c r="E43" s="311" t="s">
        <v>1</v>
      </c>
      <c r="F43" s="311" t="s">
        <v>1</v>
      </c>
      <c r="G43" s="311" t="s">
        <v>1</v>
      </c>
      <c r="H43" s="311" t="s">
        <v>1</v>
      </c>
      <c r="I43" s="311" t="s">
        <v>1</v>
      </c>
      <c r="J43" s="311" t="s">
        <v>1</v>
      </c>
      <c r="K43" s="311" t="s">
        <v>1</v>
      </c>
      <c r="L43" s="311" t="s">
        <v>1</v>
      </c>
      <c r="M43" s="311" t="s">
        <v>1</v>
      </c>
      <c r="N43" s="311" t="s">
        <v>1</v>
      </c>
      <c r="O43" s="311" t="s">
        <v>1</v>
      </c>
      <c r="P43" s="311">
        <v>3.5603000000000002</v>
      </c>
      <c r="Q43" s="311">
        <v>2.2477</v>
      </c>
      <c r="R43" s="311">
        <v>1.6531</v>
      </c>
      <c r="S43" s="311">
        <v>1.2990999999999999</v>
      </c>
      <c r="T43" s="311">
        <v>1.2674000000000001</v>
      </c>
      <c r="U43" s="311">
        <v>1.2674000000000001</v>
      </c>
      <c r="V43" s="311">
        <v>1.1738</v>
      </c>
      <c r="W43" s="311">
        <v>1.1762999999999999</v>
      </c>
      <c r="X43" s="311">
        <v>1.2972999999999999</v>
      </c>
      <c r="Y43" s="311">
        <v>1.1862000000000001</v>
      </c>
      <c r="Z43" s="311">
        <v>1.1998</v>
      </c>
      <c r="AA43" s="311">
        <v>1.1193569999999999</v>
      </c>
      <c r="AB43" s="311">
        <v>1.181616</v>
      </c>
      <c r="AC43" s="311">
        <v>1.1156955</v>
      </c>
      <c r="AD43" s="1048">
        <v>1.15435</v>
      </c>
      <c r="AE43" s="1036">
        <v>1.1512610000000001</v>
      </c>
      <c r="AF43" s="311">
        <v>1.1000000000000001</v>
      </c>
      <c r="AG43" s="311">
        <v>1.1000000000000001</v>
      </c>
      <c r="AH43" s="3">
        <v>1.179</v>
      </c>
      <c r="AI43" s="311">
        <v>1.2</v>
      </c>
      <c r="AJ43" s="311">
        <v>1.19</v>
      </c>
      <c r="AK43" s="311">
        <v>1.2</v>
      </c>
      <c r="AL43" s="311" t="s">
        <v>1</v>
      </c>
      <c r="AM43" s="311" t="s">
        <v>1</v>
      </c>
      <c r="AN43" s="311" t="s">
        <v>1</v>
      </c>
      <c r="AO43" s="311" t="s">
        <v>1</v>
      </c>
      <c r="AP43" s="311" t="s">
        <v>1</v>
      </c>
      <c r="AQ43" s="311" t="s">
        <v>1</v>
      </c>
      <c r="AR43" s="1093" t="s">
        <v>1</v>
      </c>
    </row>
    <row r="44" spans="1:44" s="11" customFormat="1">
      <c r="A44" s="995" t="s">
        <v>112</v>
      </c>
      <c r="B44" s="4"/>
      <c r="C44" s="311" t="s">
        <v>1</v>
      </c>
      <c r="D44" s="311" t="s">
        <v>1</v>
      </c>
      <c r="E44" s="311" t="s">
        <v>1</v>
      </c>
      <c r="F44" s="311" t="s">
        <v>1</v>
      </c>
      <c r="G44" s="311" t="s">
        <v>1</v>
      </c>
      <c r="H44" s="311" t="s">
        <v>1</v>
      </c>
      <c r="I44" s="311" t="s">
        <v>1</v>
      </c>
      <c r="J44" s="311" t="s">
        <v>1</v>
      </c>
      <c r="K44" s="311" t="s">
        <v>1</v>
      </c>
      <c r="L44" s="311" t="s">
        <v>1</v>
      </c>
      <c r="M44" s="311" t="s">
        <v>1</v>
      </c>
      <c r="N44" s="311" t="s">
        <v>1</v>
      </c>
      <c r="O44" s="311" t="s">
        <v>1</v>
      </c>
      <c r="P44" s="311" t="s">
        <v>1</v>
      </c>
      <c r="Q44" s="311" t="s">
        <v>1</v>
      </c>
      <c r="R44" s="311" t="s">
        <v>1</v>
      </c>
      <c r="S44" s="311" t="s">
        <v>1</v>
      </c>
      <c r="T44" s="311" t="s">
        <v>1</v>
      </c>
      <c r="U44" s="311" t="s">
        <v>1</v>
      </c>
      <c r="V44" s="311" t="s">
        <v>1</v>
      </c>
      <c r="W44" s="311" t="s">
        <v>1</v>
      </c>
      <c r="X44" s="311" t="s">
        <v>1</v>
      </c>
      <c r="Y44" s="311" t="s">
        <v>1</v>
      </c>
      <c r="Z44" s="311" t="s">
        <v>1</v>
      </c>
      <c r="AA44" s="311">
        <v>0.15387999999999999</v>
      </c>
      <c r="AB44" s="311">
        <v>0.87588500000000002</v>
      </c>
      <c r="AC44" s="311">
        <v>0.87461199999999995</v>
      </c>
      <c r="AD44" s="1048">
        <v>0.87582000000000004</v>
      </c>
      <c r="AE44" s="1036">
        <v>0.89212000000000002</v>
      </c>
      <c r="AF44" s="311">
        <v>0.9</v>
      </c>
      <c r="AG44" s="311">
        <v>0.9</v>
      </c>
      <c r="AH44" s="3">
        <v>0.90600000000000003</v>
      </c>
      <c r="AI44" s="311">
        <v>0.9</v>
      </c>
      <c r="AJ44" s="311">
        <v>0.91</v>
      </c>
      <c r="AK44" s="311">
        <v>0.9</v>
      </c>
      <c r="AL44" s="311" t="s">
        <v>1</v>
      </c>
      <c r="AM44" s="311" t="s">
        <v>1</v>
      </c>
      <c r="AN44" s="311" t="s">
        <v>1</v>
      </c>
      <c r="AO44" s="311" t="s">
        <v>1</v>
      </c>
      <c r="AP44" s="311" t="s">
        <v>1</v>
      </c>
      <c r="AQ44" s="311" t="s">
        <v>1</v>
      </c>
      <c r="AR44" s="1093" t="s">
        <v>1</v>
      </c>
    </row>
    <row r="45" spans="1:44" s="11" customFormat="1">
      <c r="A45" s="995" t="s">
        <v>113</v>
      </c>
      <c r="B45" s="4"/>
      <c r="C45" s="311" t="s">
        <v>1</v>
      </c>
      <c r="D45" s="311" t="s">
        <v>1</v>
      </c>
      <c r="E45" s="311" t="s">
        <v>1</v>
      </c>
      <c r="F45" s="311" t="s">
        <v>1</v>
      </c>
      <c r="G45" s="311" t="s">
        <v>1</v>
      </c>
      <c r="H45" s="311" t="s">
        <v>1</v>
      </c>
      <c r="I45" s="311" t="s">
        <v>1</v>
      </c>
      <c r="J45" s="311" t="s">
        <v>1</v>
      </c>
      <c r="K45" s="311" t="s">
        <v>1</v>
      </c>
      <c r="L45" s="311" t="s">
        <v>1</v>
      </c>
      <c r="M45" s="311" t="s">
        <v>1</v>
      </c>
      <c r="N45" s="311" t="s">
        <v>1</v>
      </c>
      <c r="O45" s="311" t="s">
        <v>1</v>
      </c>
      <c r="P45" s="311">
        <v>2.4365000000000001</v>
      </c>
      <c r="Q45" s="311">
        <v>0.7387999999999999</v>
      </c>
      <c r="R45" s="311">
        <v>1.0138</v>
      </c>
      <c r="S45" s="311">
        <v>0.87920000000000009</v>
      </c>
      <c r="T45" s="311">
        <v>0.87129999999999996</v>
      </c>
      <c r="U45" s="311">
        <v>0.85839999999999994</v>
      </c>
      <c r="V45" s="311">
        <v>0.84889999999999999</v>
      </c>
      <c r="W45" s="311">
        <v>0.85039999999999993</v>
      </c>
      <c r="X45" s="311">
        <v>0.9345</v>
      </c>
      <c r="Y45" s="311">
        <v>0.87890000000000001</v>
      </c>
      <c r="Z45" s="311">
        <v>0.87890000000000001</v>
      </c>
      <c r="AA45" s="311">
        <v>0.87892599999999999</v>
      </c>
      <c r="AB45" s="311">
        <v>0.91203699999999999</v>
      </c>
      <c r="AC45" s="311">
        <v>0.85550000000000004</v>
      </c>
      <c r="AD45" s="1048">
        <v>0.85129999999999995</v>
      </c>
      <c r="AE45" s="1036">
        <v>0.85382199999999997</v>
      </c>
      <c r="AF45" s="311">
        <v>0.9</v>
      </c>
      <c r="AG45" s="311">
        <v>0.9</v>
      </c>
      <c r="AH45" s="3">
        <v>0.879</v>
      </c>
      <c r="AI45" s="311">
        <v>0.9</v>
      </c>
      <c r="AJ45" s="311">
        <v>0.9</v>
      </c>
      <c r="AK45" s="311">
        <v>0.9</v>
      </c>
      <c r="AL45" s="311" t="s">
        <v>1</v>
      </c>
      <c r="AM45" s="311" t="s">
        <v>1</v>
      </c>
      <c r="AN45" s="311" t="s">
        <v>1</v>
      </c>
      <c r="AO45" s="311" t="s">
        <v>1</v>
      </c>
      <c r="AP45" s="311" t="s">
        <v>1</v>
      </c>
      <c r="AQ45" s="311" t="s">
        <v>1</v>
      </c>
      <c r="AR45" s="1093" t="s">
        <v>1</v>
      </c>
    </row>
    <row r="46" spans="1:44" s="11" customFormat="1">
      <c r="A46" s="1023" t="s">
        <v>362</v>
      </c>
      <c r="B46" s="991" t="s">
        <v>269</v>
      </c>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1049"/>
      <c r="AF46" s="1050"/>
      <c r="AG46" s="311"/>
      <c r="AH46" s="4"/>
      <c r="AI46" s="311"/>
      <c r="AJ46" s="311" t="s">
        <v>1</v>
      </c>
      <c r="AK46" s="311" t="s">
        <v>1</v>
      </c>
      <c r="AL46" s="311" t="s">
        <v>1</v>
      </c>
      <c r="AM46" s="311" t="s">
        <v>1</v>
      </c>
      <c r="AN46" s="311" t="s">
        <v>1</v>
      </c>
      <c r="AO46" s="311" t="s">
        <v>1</v>
      </c>
      <c r="AP46" s="311" t="s">
        <v>1</v>
      </c>
      <c r="AQ46" s="311" t="s">
        <v>1</v>
      </c>
      <c r="AR46" s="1093" t="s">
        <v>1</v>
      </c>
    </row>
    <row r="47" spans="1:44" s="11" customFormat="1">
      <c r="A47" s="1023" t="s">
        <v>363</v>
      </c>
      <c r="B47" s="4"/>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1049"/>
      <c r="AE47" s="1"/>
      <c r="AF47" s="1050"/>
      <c r="AG47" s="1050"/>
      <c r="AH47" s="4"/>
      <c r="AI47" s="311"/>
      <c r="AJ47" s="311" t="s">
        <v>1</v>
      </c>
      <c r="AK47" s="311" t="s">
        <v>1</v>
      </c>
      <c r="AL47" s="311" t="s">
        <v>1</v>
      </c>
      <c r="AM47" s="311" t="s">
        <v>1</v>
      </c>
      <c r="AN47" s="311" t="s">
        <v>1</v>
      </c>
      <c r="AO47" s="311" t="s">
        <v>1</v>
      </c>
      <c r="AP47" s="311" t="s">
        <v>1</v>
      </c>
      <c r="AQ47" s="311" t="s">
        <v>1</v>
      </c>
      <c r="AR47" s="1093" t="s">
        <v>1</v>
      </c>
    </row>
    <row r="48" spans="1:44" s="11" customFormat="1">
      <c r="A48" s="993" t="s">
        <v>108</v>
      </c>
      <c r="B48" s="4"/>
      <c r="C48" s="311" t="s">
        <v>1</v>
      </c>
      <c r="D48" s="311" t="s">
        <v>1</v>
      </c>
      <c r="E48" s="311" t="s">
        <v>1</v>
      </c>
      <c r="F48" s="311" t="s">
        <v>1</v>
      </c>
      <c r="G48" s="311" t="s">
        <v>1</v>
      </c>
      <c r="H48" s="311" t="s">
        <v>1</v>
      </c>
      <c r="I48" s="311" t="s">
        <v>1</v>
      </c>
      <c r="J48" s="311" t="s">
        <v>1</v>
      </c>
      <c r="K48" s="311">
        <v>8.8000000000000007</v>
      </c>
      <c r="L48" s="311">
        <v>5.8</v>
      </c>
      <c r="M48" s="311">
        <v>8.8000000000000007</v>
      </c>
      <c r="N48" s="311">
        <v>11.7</v>
      </c>
      <c r="O48" s="311">
        <v>5</v>
      </c>
      <c r="P48" s="311">
        <v>11</v>
      </c>
      <c r="Q48" s="311">
        <v>10.5</v>
      </c>
      <c r="R48" s="311">
        <v>8.9</v>
      </c>
      <c r="S48" s="311">
        <v>9.1</v>
      </c>
      <c r="T48" s="311">
        <v>7.3</v>
      </c>
      <c r="U48" s="311">
        <v>7.6</v>
      </c>
      <c r="V48" s="311">
        <v>8.5</v>
      </c>
      <c r="W48" s="311">
        <v>10.3</v>
      </c>
      <c r="X48" s="311">
        <v>4.9000000000000004</v>
      </c>
      <c r="Y48" s="311" t="s">
        <v>1</v>
      </c>
      <c r="Z48" s="311">
        <v>13.5</v>
      </c>
      <c r="AA48" s="311">
        <v>13.2</v>
      </c>
      <c r="AB48" s="311">
        <v>9.4353999999999996</v>
      </c>
      <c r="AC48" s="311">
        <v>6.9</v>
      </c>
      <c r="AD48" s="1048">
        <v>12.3</v>
      </c>
      <c r="AE48" s="1036">
        <v>18.2</v>
      </c>
      <c r="AF48" s="311">
        <v>5.5</v>
      </c>
      <c r="AG48" s="311" t="s">
        <v>1</v>
      </c>
      <c r="AH48" s="1036" t="s">
        <v>1</v>
      </c>
      <c r="AI48" s="311" t="s">
        <v>1</v>
      </c>
      <c r="AJ48" s="311">
        <v>17.899999999999999</v>
      </c>
      <c r="AK48" s="311">
        <v>18.5</v>
      </c>
      <c r="AL48" s="311" t="s">
        <v>1</v>
      </c>
      <c r="AM48" s="311" t="s">
        <v>1</v>
      </c>
      <c r="AN48" s="311" t="s">
        <v>1</v>
      </c>
      <c r="AO48" s="311" t="s">
        <v>1</v>
      </c>
      <c r="AP48" s="311" t="s">
        <v>1</v>
      </c>
      <c r="AQ48" s="311" t="s">
        <v>1</v>
      </c>
      <c r="AR48" s="1093" t="s">
        <v>1</v>
      </c>
    </row>
    <row r="49" spans="1:44" s="11" customFormat="1">
      <c r="A49" s="995" t="s">
        <v>109</v>
      </c>
      <c r="B49" s="4"/>
      <c r="C49" s="311" t="s">
        <v>1</v>
      </c>
      <c r="D49" s="311" t="s">
        <v>1</v>
      </c>
      <c r="E49" s="311" t="s">
        <v>1</v>
      </c>
      <c r="F49" s="311" t="s">
        <v>1</v>
      </c>
      <c r="G49" s="311" t="s">
        <v>1</v>
      </c>
      <c r="H49" s="311" t="s">
        <v>1</v>
      </c>
      <c r="I49" s="311" t="s">
        <v>1</v>
      </c>
      <c r="J49" s="311" t="s">
        <v>1</v>
      </c>
      <c r="K49" s="311" t="s">
        <v>1</v>
      </c>
      <c r="L49" s="311" t="s">
        <v>1</v>
      </c>
      <c r="M49" s="311" t="s">
        <v>1</v>
      </c>
      <c r="N49" s="311" t="s">
        <v>1</v>
      </c>
      <c r="O49" s="311" t="s">
        <v>1</v>
      </c>
      <c r="P49" s="311" t="s">
        <v>1</v>
      </c>
      <c r="Q49" s="311" t="s">
        <v>1</v>
      </c>
      <c r="R49" s="311" t="s">
        <v>1</v>
      </c>
      <c r="S49" s="311" t="s">
        <v>1</v>
      </c>
      <c r="T49" s="311" t="s">
        <v>1</v>
      </c>
      <c r="U49" s="311" t="s">
        <v>1</v>
      </c>
      <c r="V49" s="311" t="s">
        <v>1</v>
      </c>
      <c r="W49" s="311" t="s">
        <v>1</v>
      </c>
      <c r="X49" s="311" t="s">
        <v>1</v>
      </c>
      <c r="Y49" s="311" t="s">
        <v>1</v>
      </c>
      <c r="Z49" s="311" t="s">
        <v>1</v>
      </c>
      <c r="AA49" s="311" t="s">
        <v>1</v>
      </c>
      <c r="AB49" s="311" t="s">
        <v>1</v>
      </c>
      <c r="AC49" s="311" t="s">
        <v>1</v>
      </c>
      <c r="AD49" s="1048" t="s">
        <v>1</v>
      </c>
      <c r="AE49" s="1036" t="s">
        <v>1</v>
      </c>
      <c r="AF49" s="311" t="s">
        <v>1</v>
      </c>
      <c r="AG49" s="311" t="s">
        <v>1</v>
      </c>
      <c r="AH49" s="1036" t="s">
        <v>1</v>
      </c>
      <c r="AI49" s="311" t="s">
        <v>1</v>
      </c>
      <c r="AJ49" s="311" t="s">
        <v>1</v>
      </c>
      <c r="AK49" s="311" t="s">
        <v>1</v>
      </c>
      <c r="AL49" s="311" t="s">
        <v>1</v>
      </c>
      <c r="AM49" s="311" t="s">
        <v>1</v>
      </c>
      <c r="AN49" s="311" t="s">
        <v>1</v>
      </c>
      <c r="AO49" s="311" t="s">
        <v>1</v>
      </c>
      <c r="AP49" s="311" t="s">
        <v>1</v>
      </c>
      <c r="AQ49" s="311" t="s">
        <v>1</v>
      </c>
      <c r="AR49" s="1093" t="s">
        <v>1</v>
      </c>
    </row>
    <row r="50" spans="1:44" s="11" customFormat="1">
      <c r="A50" s="995" t="s">
        <v>135</v>
      </c>
      <c r="B50" s="4"/>
      <c r="C50" s="311" t="s">
        <v>1</v>
      </c>
      <c r="D50" s="311" t="s">
        <v>1</v>
      </c>
      <c r="E50" s="311" t="s">
        <v>1</v>
      </c>
      <c r="F50" s="311" t="s">
        <v>1</v>
      </c>
      <c r="G50" s="311" t="s">
        <v>1</v>
      </c>
      <c r="H50" s="311" t="s">
        <v>1</v>
      </c>
      <c r="I50" s="311" t="s">
        <v>1</v>
      </c>
      <c r="J50" s="311" t="s">
        <v>1</v>
      </c>
      <c r="K50" s="311" t="s">
        <v>1</v>
      </c>
      <c r="L50" s="311" t="s">
        <v>1</v>
      </c>
      <c r="M50" s="311" t="s">
        <v>1</v>
      </c>
      <c r="N50" s="311" t="s">
        <v>1</v>
      </c>
      <c r="O50" s="311" t="s">
        <v>1</v>
      </c>
      <c r="P50" s="311" t="s">
        <v>1</v>
      </c>
      <c r="Q50" s="311" t="s">
        <v>1</v>
      </c>
      <c r="R50" s="311" t="s">
        <v>1</v>
      </c>
      <c r="S50" s="311" t="s">
        <v>1</v>
      </c>
      <c r="T50" s="311" t="s">
        <v>1</v>
      </c>
      <c r="U50" s="311">
        <v>7.4</v>
      </c>
      <c r="V50" s="311" t="s">
        <v>1</v>
      </c>
      <c r="W50" s="311" t="s">
        <v>1</v>
      </c>
      <c r="X50" s="311" t="s">
        <v>1</v>
      </c>
      <c r="Y50" s="311" t="s">
        <v>1</v>
      </c>
      <c r="Z50" s="311" t="s">
        <v>1</v>
      </c>
      <c r="AA50" s="311" t="s">
        <v>1</v>
      </c>
      <c r="AB50" s="311">
        <v>10.1</v>
      </c>
      <c r="AC50" s="311" t="s">
        <v>1</v>
      </c>
      <c r="AD50" s="1048">
        <v>13.5</v>
      </c>
      <c r="AE50" s="1036">
        <v>18.399999999999999</v>
      </c>
      <c r="AF50" s="311">
        <v>4.7</v>
      </c>
      <c r="AG50" s="311" t="s">
        <v>1</v>
      </c>
      <c r="AH50" s="1036" t="s">
        <v>1</v>
      </c>
      <c r="AI50" s="311" t="s">
        <v>1</v>
      </c>
      <c r="AJ50" s="311">
        <v>17.899999999999999</v>
      </c>
      <c r="AK50" s="311">
        <v>18.5</v>
      </c>
      <c r="AL50" s="311" t="s">
        <v>1</v>
      </c>
      <c r="AM50" s="311" t="s">
        <v>1</v>
      </c>
      <c r="AN50" s="311" t="s">
        <v>1</v>
      </c>
      <c r="AO50" s="311" t="s">
        <v>1</v>
      </c>
      <c r="AP50" s="311" t="s">
        <v>1</v>
      </c>
      <c r="AQ50" s="311" t="s">
        <v>1</v>
      </c>
      <c r="AR50" s="1093" t="s">
        <v>1</v>
      </c>
    </row>
    <row r="51" spans="1:44" s="11" customFormat="1">
      <c r="A51" s="995" t="s">
        <v>110</v>
      </c>
      <c r="B51" s="4"/>
      <c r="C51" s="311" t="s">
        <v>1</v>
      </c>
      <c r="D51" s="311" t="s">
        <v>1</v>
      </c>
      <c r="E51" s="311" t="s">
        <v>1</v>
      </c>
      <c r="F51" s="311" t="s">
        <v>1</v>
      </c>
      <c r="G51" s="311" t="s">
        <v>1</v>
      </c>
      <c r="H51" s="311" t="s">
        <v>1</v>
      </c>
      <c r="I51" s="311" t="s">
        <v>1</v>
      </c>
      <c r="J51" s="311" t="s">
        <v>1</v>
      </c>
      <c r="K51" s="311" t="s">
        <v>1</v>
      </c>
      <c r="L51" s="311" t="s">
        <v>1</v>
      </c>
      <c r="M51" s="311" t="s">
        <v>1</v>
      </c>
      <c r="N51" s="311" t="s">
        <v>1</v>
      </c>
      <c r="O51" s="311" t="s">
        <v>1</v>
      </c>
      <c r="P51" s="311">
        <v>11</v>
      </c>
      <c r="Q51" s="311">
        <v>10.5</v>
      </c>
      <c r="R51" s="311">
        <v>8.9</v>
      </c>
      <c r="S51" s="311">
        <v>9.4</v>
      </c>
      <c r="T51" s="311">
        <v>10.199999999999999</v>
      </c>
      <c r="U51" s="311" t="s">
        <v>1</v>
      </c>
      <c r="V51" s="311">
        <v>8.6999999999999993</v>
      </c>
      <c r="W51" s="311">
        <v>10.3</v>
      </c>
      <c r="X51" s="311">
        <v>5</v>
      </c>
      <c r="Y51" s="311" t="s">
        <v>1</v>
      </c>
      <c r="Z51" s="311" t="s">
        <v>1</v>
      </c>
      <c r="AA51" s="311" t="s">
        <v>1</v>
      </c>
      <c r="AB51" s="311" t="s">
        <v>1</v>
      </c>
      <c r="AC51" s="311" t="s">
        <v>1</v>
      </c>
      <c r="AD51" s="1048" t="s">
        <v>1</v>
      </c>
      <c r="AE51" s="1036" t="s">
        <v>1</v>
      </c>
      <c r="AF51" s="311" t="s">
        <v>1</v>
      </c>
      <c r="AG51" s="311" t="s">
        <v>1</v>
      </c>
      <c r="AH51" s="1036" t="s">
        <v>1</v>
      </c>
      <c r="AI51" s="311" t="s">
        <v>1</v>
      </c>
      <c r="AJ51" s="311" t="s">
        <v>1</v>
      </c>
      <c r="AK51" s="311" t="s">
        <v>1</v>
      </c>
      <c r="AL51" s="311" t="s">
        <v>1</v>
      </c>
      <c r="AM51" s="311" t="s">
        <v>1</v>
      </c>
      <c r="AN51" s="311" t="s">
        <v>1</v>
      </c>
      <c r="AO51" s="311" t="s">
        <v>1</v>
      </c>
      <c r="AP51" s="311" t="s">
        <v>1</v>
      </c>
      <c r="AQ51" s="311" t="s">
        <v>1</v>
      </c>
      <c r="AR51" s="1093" t="s">
        <v>1</v>
      </c>
    </row>
    <row r="52" spans="1:44" s="11" customFormat="1">
      <c r="A52" s="995" t="s">
        <v>111</v>
      </c>
      <c r="B52" s="4"/>
      <c r="C52" s="311" t="s">
        <v>1</v>
      </c>
      <c r="D52" s="311" t="s">
        <v>1</v>
      </c>
      <c r="E52" s="311" t="s">
        <v>1</v>
      </c>
      <c r="F52" s="311" t="s">
        <v>1</v>
      </c>
      <c r="G52" s="311" t="s">
        <v>1</v>
      </c>
      <c r="H52" s="311" t="s">
        <v>1</v>
      </c>
      <c r="I52" s="311" t="s">
        <v>1</v>
      </c>
      <c r="J52" s="311" t="s">
        <v>1</v>
      </c>
      <c r="K52" s="311" t="s">
        <v>1</v>
      </c>
      <c r="L52" s="311" t="s">
        <v>1</v>
      </c>
      <c r="M52" s="311" t="s">
        <v>1</v>
      </c>
      <c r="N52" s="311" t="s">
        <v>1</v>
      </c>
      <c r="O52" s="311" t="s">
        <v>1</v>
      </c>
      <c r="P52" s="311" t="s">
        <v>1</v>
      </c>
      <c r="Q52" s="311" t="s">
        <v>1</v>
      </c>
      <c r="R52" s="311" t="s">
        <v>1</v>
      </c>
      <c r="S52" s="311" t="s">
        <v>1</v>
      </c>
      <c r="T52" s="311" t="s">
        <v>1</v>
      </c>
      <c r="U52" s="311" t="s">
        <v>1</v>
      </c>
      <c r="V52" s="311" t="s">
        <v>1</v>
      </c>
      <c r="W52" s="311" t="s">
        <v>1</v>
      </c>
      <c r="X52" s="311" t="s">
        <v>1</v>
      </c>
      <c r="Y52" s="311" t="s">
        <v>1</v>
      </c>
      <c r="Z52" s="311">
        <v>13.5</v>
      </c>
      <c r="AA52" s="311">
        <v>13.2</v>
      </c>
      <c r="AB52" s="311">
        <v>1.3</v>
      </c>
      <c r="AC52" s="311">
        <v>6.875</v>
      </c>
      <c r="AD52" s="1048" t="s">
        <v>1</v>
      </c>
      <c r="AE52" s="1036" t="s">
        <v>1</v>
      </c>
      <c r="AF52" s="311" t="s">
        <v>1</v>
      </c>
      <c r="AG52" s="311" t="s">
        <v>1</v>
      </c>
      <c r="AH52" s="1036" t="s">
        <v>1</v>
      </c>
      <c r="AI52" s="311" t="s">
        <v>1</v>
      </c>
      <c r="AJ52" s="311" t="s">
        <v>1</v>
      </c>
      <c r="AK52" s="311" t="s">
        <v>1</v>
      </c>
      <c r="AL52" s="311" t="s">
        <v>1</v>
      </c>
      <c r="AM52" s="311" t="s">
        <v>1</v>
      </c>
      <c r="AN52" s="311" t="s">
        <v>1</v>
      </c>
      <c r="AO52" s="311" t="s">
        <v>1</v>
      </c>
      <c r="AP52" s="311" t="s">
        <v>1</v>
      </c>
      <c r="AQ52" s="311" t="s">
        <v>1</v>
      </c>
      <c r="AR52" s="1093" t="s">
        <v>1</v>
      </c>
    </row>
    <row r="53" spans="1:44" s="11" customFormat="1">
      <c r="A53" s="995" t="s">
        <v>388</v>
      </c>
      <c r="B53" s="4"/>
      <c r="C53" s="311" t="s">
        <v>1</v>
      </c>
      <c r="D53" s="311" t="s">
        <v>1</v>
      </c>
      <c r="E53" s="311" t="s">
        <v>1</v>
      </c>
      <c r="F53" s="311" t="s">
        <v>1</v>
      </c>
      <c r="G53" s="311" t="s">
        <v>1</v>
      </c>
      <c r="H53" s="311" t="s">
        <v>1</v>
      </c>
      <c r="I53" s="311" t="s">
        <v>1</v>
      </c>
      <c r="J53" s="311" t="s">
        <v>1</v>
      </c>
      <c r="K53" s="311" t="s">
        <v>1</v>
      </c>
      <c r="L53" s="311" t="s">
        <v>1</v>
      </c>
      <c r="M53" s="311" t="s">
        <v>1</v>
      </c>
      <c r="N53" s="311" t="s">
        <v>1</v>
      </c>
      <c r="O53" s="311" t="s">
        <v>1</v>
      </c>
      <c r="P53" s="311" t="s">
        <v>1</v>
      </c>
      <c r="Q53" s="311">
        <v>9</v>
      </c>
      <c r="R53" s="311">
        <v>9</v>
      </c>
      <c r="S53" s="311">
        <v>8</v>
      </c>
      <c r="T53" s="311">
        <v>8</v>
      </c>
      <c r="U53" s="311">
        <v>8.1</v>
      </c>
      <c r="V53" s="311" t="s">
        <v>1</v>
      </c>
      <c r="W53" s="311" t="s">
        <v>1</v>
      </c>
      <c r="X53" s="311" t="s">
        <v>1</v>
      </c>
      <c r="Y53" s="311" t="s">
        <v>1</v>
      </c>
      <c r="Z53" s="311" t="s">
        <v>1</v>
      </c>
      <c r="AA53" s="311" t="s">
        <v>1</v>
      </c>
      <c r="AB53" s="311" t="s">
        <v>1</v>
      </c>
      <c r="AC53" s="311" t="s">
        <v>1</v>
      </c>
      <c r="AD53" s="1048" t="s">
        <v>1</v>
      </c>
      <c r="AE53" s="1036" t="s">
        <v>1</v>
      </c>
      <c r="AF53" s="311" t="s">
        <v>1</v>
      </c>
      <c r="AG53" s="311" t="s">
        <v>1</v>
      </c>
      <c r="AH53" s="1036" t="s">
        <v>1</v>
      </c>
      <c r="AI53" s="311" t="s">
        <v>1</v>
      </c>
      <c r="AJ53" s="311" t="s">
        <v>1</v>
      </c>
      <c r="AK53" s="311" t="s">
        <v>1</v>
      </c>
      <c r="AL53" s="311" t="s">
        <v>1</v>
      </c>
      <c r="AM53" s="311" t="s">
        <v>1</v>
      </c>
      <c r="AN53" s="311" t="s">
        <v>1</v>
      </c>
      <c r="AO53" s="311" t="s">
        <v>1</v>
      </c>
      <c r="AP53" s="311" t="s">
        <v>1</v>
      </c>
      <c r="AQ53" s="311" t="s">
        <v>1</v>
      </c>
      <c r="AR53" s="1093" t="s">
        <v>1</v>
      </c>
    </row>
    <row r="54" spans="1:44" s="11" customFormat="1">
      <c r="A54" s="995" t="s">
        <v>136</v>
      </c>
      <c r="B54" s="4"/>
      <c r="C54" s="311" t="s">
        <v>1</v>
      </c>
      <c r="D54" s="311" t="s">
        <v>1</v>
      </c>
      <c r="E54" s="311" t="s">
        <v>1</v>
      </c>
      <c r="F54" s="311" t="s">
        <v>1</v>
      </c>
      <c r="G54" s="311" t="s">
        <v>1</v>
      </c>
      <c r="H54" s="311" t="s">
        <v>1</v>
      </c>
      <c r="I54" s="311" t="s">
        <v>1</v>
      </c>
      <c r="J54" s="311" t="s">
        <v>1</v>
      </c>
      <c r="K54" s="311" t="s">
        <v>1</v>
      </c>
      <c r="L54" s="311" t="s">
        <v>1</v>
      </c>
      <c r="M54" s="311" t="s">
        <v>1</v>
      </c>
      <c r="N54" s="311" t="s">
        <v>1</v>
      </c>
      <c r="O54" s="311" t="s">
        <v>1</v>
      </c>
      <c r="P54" s="311" t="s">
        <v>1</v>
      </c>
      <c r="Q54" s="311" t="s">
        <v>1</v>
      </c>
      <c r="R54" s="311">
        <v>9.1</v>
      </c>
      <c r="S54" s="311">
        <v>7.5</v>
      </c>
      <c r="T54" s="311">
        <v>1.9</v>
      </c>
      <c r="U54" s="311">
        <v>10</v>
      </c>
      <c r="V54" s="311">
        <v>7.3</v>
      </c>
      <c r="W54" s="311">
        <v>10</v>
      </c>
      <c r="X54" s="311">
        <v>4.3</v>
      </c>
      <c r="Y54" s="311" t="s">
        <v>1</v>
      </c>
      <c r="Z54" s="311" t="s">
        <v>1</v>
      </c>
      <c r="AA54" s="311" t="s">
        <v>1</v>
      </c>
      <c r="AB54" s="311" t="s">
        <v>1</v>
      </c>
      <c r="AC54" s="311" t="s">
        <v>1</v>
      </c>
      <c r="AD54" s="1048" t="s">
        <v>1</v>
      </c>
      <c r="AE54" s="1036">
        <v>17.5</v>
      </c>
      <c r="AF54" s="311">
        <v>10</v>
      </c>
      <c r="AG54" s="311" t="s">
        <v>1</v>
      </c>
      <c r="AH54" s="1036" t="s">
        <v>1</v>
      </c>
      <c r="AI54" s="311" t="s">
        <v>1</v>
      </c>
      <c r="AJ54" s="311" t="s">
        <v>1</v>
      </c>
      <c r="AK54" s="311" t="s">
        <v>1</v>
      </c>
      <c r="AL54" s="311" t="s">
        <v>1</v>
      </c>
      <c r="AM54" s="311" t="s">
        <v>1</v>
      </c>
      <c r="AN54" s="311" t="s">
        <v>1</v>
      </c>
      <c r="AO54" s="311" t="s">
        <v>1</v>
      </c>
      <c r="AP54" s="311" t="s">
        <v>1</v>
      </c>
      <c r="AQ54" s="311" t="s">
        <v>1</v>
      </c>
      <c r="AR54" s="1093" t="s">
        <v>1</v>
      </c>
    </row>
    <row r="55" spans="1:44" s="11" customFormat="1">
      <c r="A55" s="995" t="s">
        <v>112</v>
      </c>
      <c r="B55" s="4"/>
      <c r="C55" s="311" t="s">
        <v>1</v>
      </c>
      <c r="D55" s="311" t="s">
        <v>1</v>
      </c>
      <c r="E55" s="311" t="s">
        <v>1</v>
      </c>
      <c r="F55" s="311" t="s">
        <v>1</v>
      </c>
      <c r="G55" s="311" t="s">
        <v>1</v>
      </c>
      <c r="H55" s="311" t="s">
        <v>1</v>
      </c>
      <c r="I55" s="311" t="s">
        <v>1</v>
      </c>
      <c r="J55" s="311" t="s">
        <v>1</v>
      </c>
      <c r="K55" s="311" t="s">
        <v>1</v>
      </c>
      <c r="L55" s="311" t="s">
        <v>1</v>
      </c>
      <c r="M55" s="311" t="s">
        <v>1</v>
      </c>
      <c r="N55" s="311" t="s">
        <v>1</v>
      </c>
      <c r="O55" s="311" t="s">
        <v>1</v>
      </c>
      <c r="P55" s="311" t="s">
        <v>1</v>
      </c>
      <c r="Q55" s="311" t="s">
        <v>1</v>
      </c>
      <c r="R55" s="311" t="s">
        <v>1</v>
      </c>
      <c r="S55" s="311" t="s">
        <v>1</v>
      </c>
      <c r="T55" s="311" t="s">
        <v>1</v>
      </c>
      <c r="U55" s="311" t="s">
        <v>1</v>
      </c>
      <c r="V55" s="311" t="s">
        <v>1</v>
      </c>
      <c r="W55" s="311" t="s">
        <v>1</v>
      </c>
      <c r="X55" s="311" t="s">
        <v>1</v>
      </c>
      <c r="Y55" s="311" t="s">
        <v>1</v>
      </c>
      <c r="Z55" s="311" t="s">
        <v>1</v>
      </c>
      <c r="AA55" s="311" t="s">
        <v>1</v>
      </c>
      <c r="AB55" s="311" t="s">
        <v>1</v>
      </c>
      <c r="AC55" s="311" t="s">
        <v>1</v>
      </c>
      <c r="AD55" s="1048">
        <v>9.5</v>
      </c>
      <c r="AE55" s="1036" t="s">
        <v>1</v>
      </c>
      <c r="AF55" s="311" t="s">
        <v>1</v>
      </c>
      <c r="AG55" s="311" t="s">
        <v>1</v>
      </c>
      <c r="AH55" s="1036" t="s">
        <v>1</v>
      </c>
      <c r="AI55" s="311" t="s">
        <v>1</v>
      </c>
      <c r="AJ55" s="311">
        <v>16.8</v>
      </c>
      <c r="AK55" s="311" t="s">
        <v>1</v>
      </c>
      <c r="AL55" s="311" t="s">
        <v>1</v>
      </c>
      <c r="AM55" s="311" t="s">
        <v>1</v>
      </c>
      <c r="AN55" s="311" t="s">
        <v>1</v>
      </c>
      <c r="AO55" s="311" t="s">
        <v>1</v>
      </c>
      <c r="AP55" s="311" t="s">
        <v>1</v>
      </c>
      <c r="AQ55" s="311" t="s">
        <v>1</v>
      </c>
      <c r="AR55" s="1093" t="s">
        <v>1</v>
      </c>
    </row>
    <row r="56" spans="1:44" s="11" customFormat="1">
      <c r="A56" s="995" t="s">
        <v>113</v>
      </c>
      <c r="B56" s="4"/>
      <c r="C56" s="311" t="s">
        <v>1</v>
      </c>
      <c r="D56" s="311" t="s">
        <v>1</v>
      </c>
      <c r="E56" s="311" t="s">
        <v>1</v>
      </c>
      <c r="F56" s="311" t="s">
        <v>1</v>
      </c>
      <c r="G56" s="311" t="s">
        <v>1</v>
      </c>
      <c r="H56" s="311" t="s">
        <v>1</v>
      </c>
      <c r="I56" s="311" t="s">
        <v>1</v>
      </c>
      <c r="J56" s="311" t="s">
        <v>1</v>
      </c>
      <c r="K56" s="311" t="s">
        <v>1</v>
      </c>
      <c r="L56" s="311" t="s">
        <v>1</v>
      </c>
      <c r="M56" s="311" t="s">
        <v>1</v>
      </c>
      <c r="N56" s="311" t="s">
        <v>1</v>
      </c>
      <c r="O56" s="311" t="s">
        <v>1</v>
      </c>
      <c r="P56" s="311">
        <v>25</v>
      </c>
      <c r="Q56" s="311">
        <v>25</v>
      </c>
      <c r="R56" s="311" t="s">
        <v>1</v>
      </c>
      <c r="S56" s="311" t="s">
        <v>1</v>
      </c>
      <c r="T56" s="311" t="s">
        <v>1</v>
      </c>
      <c r="U56" s="311" t="s">
        <v>1</v>
      </c>
      <c r="V56" s="311" t="s">
        <v>1</v>
      </c>
      <c r="W56" s="311" t="s">
        <v>1</v>
      </c>
      <c r="X56" s="311" t="s">
        <v>1</v>
      </c>
      <c r="Y56" s="311" t="s">
        <v>1</v>
      </c>
      <c r="Z56" s="311" t="s">
        <v>1</v>
      </c>
      <c r="AA56" s="311" t="s">
        <v>1</v>
      </c>
      <c r="AB56" s="311" t="s">
        <v>1</v>
      </c>
      <c r="AC56" s="311" t="s">
        <v>1</v>
      </c>
      <c r="AD56" s="1048" t="s">
        <v>1</v>
      </c>
      <c r="AE56" s="1036" t="s">
        <v>1</v>
      </c>
      <c r="AF56" s="311" t="s">
        <v>1</v>
      </c>
      <c r="AG56" s="311" t="s">
        <v>1</v>
      </c>
      <c r="AH56" s="1036" t="s">
        <v>1</v>
      </c>
      <c r="AI56" s="311" t="s">
        <v>1</v>
      </c>
      <c r="AJ56" s="311" t="s">
        <v>1</v>
      </c>
      <c r="AK56" s="311" t="s">
        <v>1</v>
      </c>
      <c r="AL56" s="311" t="s">
        <v>1</v>
      </c>
      <c r="AM56" s="311" t="s">
        <v>1</v>
      </c>
      <c r="AN56" s="311" t="s">
        <v>1</v>
      </c>
      <c r="AO56" s="311" t="s">
        <v>1</v>
      </c>
      <c r="AP56" s="311" t="s">
        <v>1</v>
      </c>
      <c r="AQ56" s="311" t="s">
        <v>1</v>
      </c>
      <c r="AR56" s="1093" t="s">
        <v>1</v>
      </c>
    </row>
    <row r="57" spans="1:44" s="11" customFormat="1">
      <c r="A57" s="993" t="s">
        <v>356</v>
      </c>
      <c r="B57" s="4"/>
      <c r="C57" s="311" t="s">
        <v>1</v>
      </c>
      <c r="D57" s="311" t="s">
        <v>1</v>
      </c>
      <c r="E57" s="311" t="s">
        <v>1</v>
      </c>
      <c r="F57" s="311" t="s">
        <v>1</v>
      </c>
      <c r="G57" s="311" t="s">
        <v>1</v>
      </c>
      <c r="H57" s="311" t="s">
        <v>1</v>
      </c>
      <c r="I57" s="311" t="s">
        <v>1</v>
      </c>
      <c r="J57" s="311" t="s">
        <v>1</v>
      </c>
      <c r="K57" s="311" t="s">
        <v>1</v>
      </c>
      <c r="L57" s="311" t="s">
        <v>1</v>
      </c>
      <c r="M57" s="311" t="s">
        <v>1</v>
      </c>
      <c r="N57" s="311" t="s">
        <v>1</v>
      </c>
      <c r="O57" s="311" t="s">
        <v>1</v>
      </c>
      <c r="P57" s="311">
        <v>6</v>
      </c>
      <c r="Q57" s="311" t="s">
        <v>1</v>
      </c>
      <c r="R57" s="311" t="s">
        <v>1</v>
      </c>
      <c r="S57" s="311" t="s">
        <v>1</v>
      </c>
      <c r="T57" s="311" t="s">
        <v>1</v>
      </c>
      <c r="U57" s="311" t="s">
        <v>1</v>
      </c>
      <c r="V57" s="311" t="s">
        <v>1</v>
      </c>
      <c r="W57" s="311">
        <v>5.5</v>
      </c>
      <c r="X57" s="311" t="s">
        <v>1</v>
      </c>
      <c r="Y57" s="311" t="s">
        <v>1</v>
      </c>
      <c r="Z57" s="311" t="s">
        <v>1</v>
      </c>
      <c r="AA57" s="311" t="s">
        <v>1</v>
      </c>
      <c r="AB57" s="311" t="s">
        <v>1</v>
      </c>
      <c r="AC57" s="311" t="s">
        <v>1</v>
      </c>
      <c r="AD57" s="311" t="s">
        <v>1</v>
      </c>
      <c r="AE57" s="311" t="s">
        <v>1</v>
      </c>
      <c r="AF57" s="311" t="s">
        <v>1</v>
      </c>
      <c r="AG57" s="311" t="s">
        <v>1</v>
      </c>
      <c r="AH57" s="1036" t="s">
        <v>1</v>
      </c>
      <c r="AI57" s="311" t="s">
        <v>1</v>
      </c>
      <c r="AJ57" s="311" t="s">
        <v>1</v>
      </c>
      <c r="AK57" s="311" t="s">
        <v>1</v>
      </c>
      <c r="AL57" s="311" t="s">
        <v>1</v>
      </c>
      <c r="AM57" s="311" t="s">
        <v>1</v>
      </c>
      <c r="AN57" s="311" t="s">
        <v>1</v>
      </c>
      <c r="AO57" s="311" t="s">
        <v>1</v>
      </c>
      <c r="AP57" s="311" t="s">
        <v>1</v>
      </c>
      <c r="AQ57" s="311" t="s">
        <v>1</v>
      </c>
      <c r="AR57" s="1093" t="s">
        <v>1</v>
      </c>
    </row>
    <row r="58" spans="1:44" s="11" customFormat="1">
      <c r="A58" s="993" t="s">
        <v>357</v>
      </c>
      <c r="B58" s="4"/>
      <c r="C58" s="311" t="s">
        <v>1</v>
      </c>
      <c r="D58" s="311" t="s">
        <v>1</v>
      </c>
      <c r="E58" s="311" t="s">
        <v>1</v>
      </c>
      <c r="F58" s="311" t="s">
        <v>1</v>
      </c>
      <c r="G58" s="311" t="s">
        <v>1</v>
      </c>
      <c r="H58" s="311" t="s">
        <v>1</v>
      </c>
      <c r="I58" s="311" t="s">
        <v>1</v>
      </c>
      <c r="J58" s="311" t="s">
        <v>1</v>
      </c>
      <c r="K58" s="311" t="s">
        <v>1</v>
      </c>
      <c r="L58" s="311" t="s">
        <v>1</v>
      </c>
      <c r="M58" s="311" t="s">
        <v>1</v>
      </c>
      <c r="N58" s="311" t="s">
        <v>1</v>
      </c>
      <c r="O58" s="311" t="s">
        <v>1</v>
      </c>
      <c r="P58" s="311" t="s">
        <v>1</v>
      </c>
      <c r="Q58" s="311" t="s">
        <v>1</v>
      </c>
      <c r="R58" s="311" t="s">
        <v>1</v>
      </c>
      <c r="S58" s="311" t="s">
        <v>1</v>
      </c>
      <c r="T58" s="311" t="s">
        <v>1</v>
      </c>
      <c r="U58" s="311" t="s">
        <v>1</v>
      </c>
      <c r="V58" s="311" t="s">
        <v>1</v>
      </c>
      <c r="W58" s="311" t="s">
        <v>1</v>
      </c>
      <c r="X58" s="311" t="s">
        <v>1</v>
      </c>
      <c r="Y58" s="311" t="s">
        <v>1</v>
      </c>
      <c r="Z58" s="311" t="s">
        <v>1</v>
      </c>
      <c r="AA58" s="311" t="s">
        <v>1</v>
      </c>
      <c r="AB58" s="311" t="s">
        <v>1</v>
      </c>
      <c r="AC58" s="311" t="s">
        <v>1</v>
      </c>
      <c r="AD58" s="311" t="s">
        <v>1</v>
      </c>
      <c r="AE58" s="311" t="s">
        <v>1</v>
      </c>
      <c r="AF58" s="311" t="s">
        <v>1</v>
      </c>
      <c r="AG58" s="311" t="s">
        <v>1</v>
      </c>
      <c r="AH58" s="1036" t="s">
        <v>1</v>
      </c>
      <c r="AI58" s="311" t="s">
        <v>1</v>
      </c>
      <c r="AJ58" s="311" t="s">
        <v>1</v>
      </c>
      <c r="AK58" s="311" t="s">
        <v>1</v>
      </c>
      <c r="AL58" s="311" t="s">
        <v>1</v>
      </c>
      <c r="AM58" s="311" t="s">
        <v>1</v>
      </c>
      <c r="AN58" s="311" t="s">
        <v>1</v>
      </c>
      <c r="AO58" s="311" t="s">
        <v>1</v>
      </c>
      <c r="AP58" s="311" t="s">
        <v>1</v>
      </c>
      <c r="AQ58" s="311" t="s">
        <v>1</v>
      </c>
      <c r="AR58" s="1093" t="s">
        <v>1</v>
      </c>
    </row>
    <row r="59" spans="1:44" s="11" customFormat="1">
      <c r="A59" s="993" t="s">
        <v>358</v>
      </c>
      <c r="B59" s="4"/>
      <c r="C59" s="311" t="s">
        <v>1</v>
      </c>
      <c r="D59" s="311" t="s">
        <v>1</v>
      </c>
      <c r="E59" s="311" t="s">
        <v>1</v>
      </c>
      <c r="F59" s="311" t="s">
        <v>1</v>
      </c>
      <c r="G59" s="311" t="s">
        <v>1</v>
      </c>
      <c r="H59" s="311" t="s">
        <v>1</v>
      </c>
      <c r="I59" s="311" t="s">
        <v>1</v>
      </c>
      <c r="J59" s="311" t="s">
        <v>1</v>
      </c>
      <c r="K59" s="311" t="s">
        <v>1</v>
      </c>
      <c r="L59" s="311" t="s">
        <v>1</v>
      </c>
      <c r="M59" s="311" t="s">
        <v>1</v>
      </c>
      <c r="N59" s="311" t="s">
        <v>1</v>
      </c>
      <c r="O59" s="311" t="s">
        <v>1</v>
      </c>
      <c r="P59" s="311" t="s">
        <v>1</v>
      </c>
      <c r="Q59" s="311" t="s">
        <v>1</v>
      </c>
      <c r="R59" s="311" t="s">
        <v>1</v>
      </c>
      <c r="S59" s="311" t="s">
        <v>1</v>
      </c>
      <c r="T59" s="311" t="s">
        <v>1</v>
      </c>
      <c r="U59" s="311" t="s">
        <v>1</v>
      </c>
      <c r="V59" s="311" t="s">
        <v>1</v>
      </c>
      <c r="W59" s="311" t="s">
        <v>1</v>
      </c>
      <c r="X59" s="311" t="s">
        <v>1</v>
      </c>
      <c r="Y59" s="311" t="s">
        <v>1</v>
      </c>
      <c r="Z59" s="311" t="s">
        <v>1</v>
      </c>
      <c r="AA59" s="311" t="s">
        <v>1</v>
      </c>
      <c r="AB59" s="311" t="s">
        <v>1</v>
      </c>
      <c r="AC59" s="311" t="s">
        <v>1</v>
      </c>
      <c r="AD59" s="311" t="s">
        <v>1</v>
      </c>
      <c r="AE59" s="311" t="s">
        <v>1</v>
      </c>
      <c r="AF59" s="311" t="s">
        <v>1</v>
      </c>
      <c r="AG59" s="311" t="s">
        <v>1</v>
      </c>
      <c r="AH59" s="1036" t="s">
        <v>1</v>
      </c>
      <c r="AI59" s="311" t="s">
        <v>1</v>
      </c>
      <c r="AJ59" s="311" t="s">
        <v>1</v>
      </c>
      <c r="AK59" s="311" t="s">
        <v>1</v>
      </c>
      <c r="AL59" s="311" t="s">
        <v>1</v>
      </c>
      <c r="AM59" s="311" t="s">
        <v>1</v>
      </c>
      <c r="AN59" s="311" t="s">
        <v>1</v>
      </c>
      <c r="AO59" s="311" t="s">
        <v>1</v>
      </c>
      <c r="AP59" s="311" t="s">
        <v>1</v>
      </c>
      <c r="AQ59" s="311" t="s">
        <v>1</v>
      </c>
      <c r="AR59" s="1093" t="s">
        <v>1</v>
      </c>
    </row>
    <row r="60" spans="1:44" s="11" customFormat="1">
      <c r="A60" s="993" t="s">
        <v>359</v>
      </c>
      <c r="B60" s="4"/>
      <c r="C60" s="311" t="s">
        <v>1</v>
      </c>
      <c r="D60" s="311" t="s">
        <v>1</v>
      </c>
      <c r="E60" s="311" t="s">
        <v>1</v>
      </c>
      <c r="F60" s="311" t="s">
        <v>1</v>
      </c>
      <c r="G60" s="311" t="s">
        <v>1</v>
      </c>
      <c r="H60" s="311" t="s">
        <v>1</v>
      </c>
      <c r="I60" s="311" t="s">
        <v>1</v>
      </c>
      <c r="J60" s="311" t="s">
        <v>1</v>
      </c>
      <c r="K60" s="311" t="s">
        <v>1</v>
      </c>
      <c r="L60" s="311" t="s">
        <v>1</v>
      </c>
      <c r="M60" s="311" t="s">
        <v>1</v>
      </c>
      <c r="N60" s="311" t="s">
        <v>1</v>
      </c>
      <c r="O60" s="311" t="s">
        <v>1</v>
      </c>
      <c r="P60" s="311" t="s">
        <v>1</v>
      </c>
      <c r="Q60" s="311" t="s">
        <v>1</v>
      </c>
      <c r="R60" s="311" t="s">
        <v>1</v>
      </c>
      <c r="S60" s="311" t="s">
        <v>1</v>
      </c>
      <c r="T60" s="311" t="s">
        <v>1</v>
      </c>
      <c r="U60" s="311" t="s">
        <v>1</v>
      </c>
      <c r="V60" s="311" t="s">
        <v>1</v>
      </c>
      <c r="W60" s="311" t="s">
        <v>1</v>
      </c>
      <c r="X60" s="311" t="s">
        <v>1</v>
      </c>
      <c r="Y60" s="311" t="s">
        <v>1</v>
      </c>
      <c r="Z60" s="311" t="s">
        <v>1</v>
      </c>
      <c r="AA60" s="311" t="s">
        <v>1</v>
      </c>
      <c r="AB60" s="311" t="s">
        <v>1</v>
      </c>
      <c r="AC60" s="311" t="s">
        <v>1</v>
      </c>
      <c r="AD60" s="311" t="s">
        <v>1</v>
      </c>
      <c r="AE60" s="311" t="s">
        <v>1</v>
      </c>
      <c r="AF60" s="311" t="s">
        <v>1</v>
      </c>
      <c r="AG60" s="311" t="s">
        <v>1</v>
      </c>
      <c r="AH60" s="1036" t="s">
        <v>1</v>
      </c>
      <c r="AI60" s="311" t="s">
        <v>1</v>
      </c>
      <c r="AJ60" s="311" t="s">
        <v>1</v>
      </c>
      <c r="AK60" s="311" t="s">
        <v>1</v>
      </c>
      <c r="AL60" s="311" t="s">
        <v>1</v>
      </c>
      <c r="AM60" s="311" t="s">
        <v>1</v>
      </c>
      <c r="AN60" s="311" t="s">
        <v>1</v>
      </c>
      <c r="AO60" s="311" t="s">
        <v>1</v>
      </c>
      <c r="AP60" s="311" t="s">
        <v>1</v>
      </c>
      <c r="AQ60" s="311" t="s">
        <v>1</v>
      </c>
      <c r="AR60" s="1093" t="s">
        <v>1</v>
      </c>
    </row>
    <row r="61" spans="1:44" s="11" customFormat="1">
      <c r="A61" s="993" t="s">
        <v>360</v>
      </c>
      <c r="B61" s="4"/>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t="s">
        <v>1</v>
      </c>
      <c r="AB61" s="311" t="s">
        <v>1</v>
      </c>
      <c r="AC61" s="311" t="s">
        <v>1</v>
      </c>
      <c r="AD61" s="311" t="s">
        <v>1</v>
      </c>
      <c r="AE61" s="311" t="s">
        <v>1</v>
      </c>
      <c r="AF61" s="311"/>
      <c r="AG61" s="311"/>
      <c r="AH61" s="4"/>
      <c r="AI61" s="311"/>
      <c r="AJ61" s="311" t="s">
        <v>1</v>
      </c>
      <c r="AK61" s="311" t="s">
        <v>1</v>
      </c>
      <c r="AL61" s="311" t="s">
        <v>1</v>
      </c>
      <c r="AM61" s="311" t="s">
        <v>1</v>
      </c>
      <c r="AN61" s="311" t="s">
        <v>1</v>
      </c>
      <c r="AO61" s="311" t="s">
        <v>1</v>
      </c>
      <c r="AP61" s="311" t="s">
        <v>1</v>
      </c>
      <c r="AQ61" s="311" t="s">
        <v>1</v>
      </c>
      <c r="AR61" s="1093" t="s">
        <v>1</v>
      </c>
    </row>
    <row r="62" spans="1:44" s="11" customFormat="1">
      <c r="A62" s="993" t="s">
        <v>108</v>
      </c>
      <c r="B62" s="4"/>
      <c r="C62" s="311" t="s">
        <v>1</v>
      </c>
      <c r="D62" s="311" t="s">
        <v>1</v>
      </c>
      <c r="E62" s="311" t="s">
        <v>1</v>
      </c>
      <c r="F62" s="311" t="s">
        <v>1</v>
      </c>
      <c r="G62" s="311" t="s">
        <v>1</v>
      </c>
      <c r="H62" s="311" t="s">
        <v>1</v>
      </c>
      <c r="I62" s="311" t="s">
        <v>1</v>
      </c>
      <c r="J62" s="311" t="s">
        <v>1</v>
      </c>
      <c r="K62" s="311">
        <v>115</v>
      </c>
      <c r="L62" s="311">
        <v>26</v>
      </c>
      <c r="M62" s="311">
        <v>170</v>
      </c>
      <c r="N62" s="311">
        <v>210</v>
      </c>
      <c r="O62" s="311">
        <v>276</v>
      </c>
      <c r="P62" s="311">
        <v>196.1</v>
      </c>
      <c r="Q62" s="311">
        <v>197.8</v>
      </c>
      <c r="R62" s="311">
        <v>197.9</v>
      </c>
      <c r="S62" s="311">
        <v>155</v>
      </c>
      <c r="T62" s="311">
        <v>155.6</v>
      </c>
      <c r="U62" s="311">
        <v>155.69999999999999</v>
      </c>
      <c r="V62" s="311">
        <v>156.5</v>
      </c>
      <c r="W62" s="311">
        <v>156.9</v>
      </c>
      <c r="X62" s="311">
        <v>164.63239999999999</v>
      </c>
      <c r="Y62" s="311">
        <v>159.47</v>
      </c>
      <c r="Z62" s="311">
        <v>159.5</v>
      </c>
      <c r="AA62" s="311">
        <v>159.9</v>
      </c>
      <c r="AB62" s="311">
        <v>149.9014</v>
      </c>
      <c r="AC62" s="311">
        <v>158.52809999999999</v>
      </c>
      <c r="AD62" s="1048">
        <v>162.30000000000001</v>
      </c>
      <c r="AE62" s="1036">
        <v>154.88740000000001</v>
      </c>
      <c r="AF62" s="1036">
        <v>138.6</v>
      </c>
      <c r="AG62" s="311">
        <v>134.19999999999999</v>
      </c>
      <c r="AH62" s="3">
        <v>168</v>
      </c>
      <c r="AI62" s="311">
        <v>184.3</v>
      </c>
      <c r="AJ62" s="311">
        <v>189.8</v>
      </c>
      <c r="AK62" s="311">
        <v>192.6</v>
      </c>
      <c r="AL62" s="311" t="s">
        <v>1</v>
      </c>
      <c r="AM62" s="311" t="s">
        <v>1</v>
      </c>
      <c r="AN62" s="311" t="s">
        <v>1</v>
      </c>
      <c r="AO62" s="311" t="s">
        <v>1</v>
      </c>
      <c r="AP62" s="311" t="s">
        <v>1</v>
      </c>
      <c r="AQ62" s="311" t="s">
        <v>1</v>
      </c>
      <c r="AR62" s="1093" t="s">
        <v>1</v>
      </c>
    </row>
    <row r="63" spans="1:44" s="11" customFormat="1">
      <c r="A63" s="995" t="s">
        <v>109</v>
      </c>
      <c r="B63" s="4"/>
      <c r="C63" s="311" t="s">
        <v>1</v>
      </c>
      <c r="D63" s="311" t="s">
        <v>1</v>
      </c>
      <c r="E63" s="311" t="s">
        <v>1</v>
      </c>
      <c r="F63" s="311" t="s">
        <v>1</v>
      </c>
      <c r="G63" s="311" t="s">
        <v>1</v>
      </c>
      <c r="H63" s="311" t="s">
        <v>1</v>
      </c>
      <c r="I63" s="311" t="s">
        <v>1</v>
      </c>
      <c r="J63" s="311" t="s">
        <v>1</v>
      </c>
      <c r="K63" s="311" t="s">
        <v>1</v>
      </c>
      <c r="L63" s="311" t="s">
        <v>1</v>
      </c>
      <c r="M63" s="311" t="s">
        <v>1</v>
      </c>
      <c r="N63" s="311" t="s">
        <v>1</v>
      </c>
      <c r="O63" s="311" t="s">
        <v>1</v>
      </c>
      <c r="P63" s="311">
        <v>202.7</v>
      </c>
      <c r="Q63" s="311">
        <v>196.8</v>
      </c>
      <c r="R63" s="311">
        <v>199.9</v>
      </c>
      <c r="S63" s="311">
        <v>155</v>
      </c>
      <c r="T63" s="311">
        <v>155.80000000000001</v>
      </c>
      <c r="U63" s="311">
        <v>156.69999999999999</v>
      </c>
      <c r="V63" s="311">
        <v>149.5</v>
      </c>
      <c r="W63" s="311">
        <v>156.9</v>
      </c>
      <c r="X63" s="311">
        <v>163.69999999999999</v>
      </c>
      <c r="Y63" s="311">
        <v>160.80000000000001</v>
      </c>
      <c r="Z63" s="311">
        <v>160.80000000000001</v>
      </c>
      <c r="AA63" s="311">
        <v>160</v>
      </c>
      <c r="AB63" s="311">
        <v>160</v>
      </c>
      <c r="AC63" s="311">
        <v>160.38140000000001</v>
      </c>
      <c r="AD63" s="1048">
        <v>160.4</v>
      </c>
      <c r="AE63" s="1036">
        <v>160.38140000000001</v>
      </c>
      <c r="AF63" s="1036">
        <v>155.6</v>
      </c>
      <c r="AG63" s="311">
        <v>160.4</v>
      </c>
      <c r="AH63" s="4">
        <v>160.4</v>
      </c>
      <c r="AI63" s="311">
        <v>181</v>
      </c>
      <c r="AJ63" s="311">
        <v>181</v>
      </c>
      <c r="AK63" s="311">
        <v>181</v>
      </c>
      <c r="AL63" s="311" t="s">
        <v>1</v>
      </c>
      <c r="AM63" s="311" t="s">
        <v>1</v>
      </c>
      <c r="AN63" s="311" t="s">
        <v>1</v>
      </c>
      <c r="AO63" s="311" t="s">
        <v>1</v>
      </c>
      <c r="AP63" s="311" t="s">
        <v>1</v>
      </c>
      <c r="AQ63" s="311" t="s">
        <v>1</v>
      </c>
      <c r="AR63" s="1093" t="s">
        <v>1</v>
      </c>
    </row>
    <row r="64" spans="1:44" s="11" customFormat="1">
      <c r="A64" s="995" t="s">
        <v>135</v>
      </c>
      <c r="B64" s="4"/>
      <c r="C64" s="311" t="s">
        <v>1</v>
      </c>
      <c r="D64" s="311" t="s">
        <v>1</v>
      </c>
      <c r="E64" s="311" t="s">
        <v>1</v>
      </c>
      <c r="F64" s="311" t="s">
        <v>1</v>
      </c>
      <c r="G64" s="311" t="s">
        <v>1</v>
      </c>
      <c r="H64" s="311" t="s">
        <v>1</v>
      </c>
      <c r="I64" s="311" t="s">
        <v>1</v>
      </c>
      <c r="J64" s="311" t="s">
        <v>1</v>
      </c>
      <c r="K64" s="311" t="s">
        <v>1</v>
      </c>
      <c r="L64" s="311" t="s">
        <v>1</v>
      </c>
      <c r="M64" s="311" t="s">
        <v>1</v>
      </c>
      <c r="N64" s="311" t="s">
        <v>1</v>
      </c>
      <c r="O64" s="311" t="s">
        <v>1</v>
      </c>
      <c r="P64" s="311" t="s">
        <v>1</v>
      </c>
      <c r="Q64" s="311" t="s">
        <v>1</v>
      </c>
      <c r="R64" s="311" t="s">
        <v>1</v>
      </c>
      <c r="S64" s="311" t="s">
        <v>1</v>
      </c>
      <c r="T64" s="311" t="s">
        <v>1</v>
      </c>
      <c r="U64" s="311">
        <v>156.4</v>
      </c>
      <c r="V64" s="311">
        <v>156.5</v>
      </c>
      <c r="W64" s="311">
        <v>157</v>
      </c>
      <c r="X64" s="311">
        <v>164.5</v>
      </c>
      <c r="Y64" s="311">
        <v>159.6</v>
      </c>
      <c r="Z64" s="311">
        <v>160</v>
      </c>
      <c r="AA64" s="311">
        <v>160.80000000000001</v>
      </c>
      <c r="AB64" s="311">
        <v>100.1515</v>
      </c>
      <c r="AC64" s="311">
        <v>160.18860000000001</v>
      </c>
      <c r="AD64" s="1048">
        <v>160.19999999999999</v>
      </c>
      <c r="AE64" s="1036">
        <v>130.82169999999999</v>
      </c>
      <c r="AF64" s="1036">
        <v>65</v>
      </c>
      <c r="AG64" s="311">
        <v>47.2</v>
      </c>
      <c r="AH64" s="4">
        <v>188.6</v>
      </c>
      <c r="AI64" s="311">
        <v>181.1</v>
      </c>
      <c r="AJ64" s="311">
        <v>181</v>
      </c>
      <c r="AK64" s="311">
        <v>180.2</v>
      </c>
      <c r="AL64" s="311" t="s">
        <v>1</v>
      </c>
      <c r="AM64" s="311" t="s">
        <v>1</v>
      </c>
      <c r="AN64" s="311" t="s">
        <v>1</v>
      </c>
      <c r="AO64" s="311" t="s">
        <v>1</v>
      </c>
      <c r="AP64" s="311" t="s">
        <v>1</v>
      </c>
      <c r="AQ64" s="311" t="s">
        <v>1</v>
      </c>
      <c r="AR64" s="1093" t="s">
        <v>1</v>
      </c>
    </row>
    <row r="65" spans="1:44" s="11" customFormat="1">
      <c r="A65" s="995" t="s">
        <v>110</v>
      </c>
      <c r="B65" s="4"/>
      <c r="C65" s="311" t="s">
        <v>1</v>
      </c>
      <c r="D65" s="311" t="s">
        <v>1</v>
      </c>
      <c r="E65" s="311" t="s">
        <v>1</v>
      </c>
      <c r="F65" s="311" t="s">
        <v>1</v>
      </c>
      <c r="G65" s="311" t="s">
        <v>1</v>
      </c>
      <c r="H65" s="311" t="s">
        <v>1</v>
      </c>
      <c r="I65" s="311" t="s">
        <v>1</v>
      </c>
      <c r="J65" s="311" t="s">
        <v>1</v>
      </c>
      <c r="K65" s="311" t="s">
        <v>1</v>
      </c>
      <c r="L65" s="311" t="s">
        <v>1</v>
      </c>
      <c r="M65" s="311" t="s">
        <v>1</v>
      </c>
      <c r="N65" s="311" t="s">
        <v>1</v>
      </c>
      <c r="O65" s="311" t="s">
        <v>1</v>
      </c>
      <c r="P65" s="311">
        <v>189.6</v>
      </c>
      <c r="Q65" s="311">
        <v>198.7</v>
      </c>
      <c r="R65" s="311">
        <v>197.7</v>
      </c>
      <c r="S65" s="311">
        <v>155</v>
      </c>
      <c r="T65" s="311">
        <v>156</v>
      </c>
      <c r="U65" s="311">
        <v>156.30000000000001</v>
      </c>
      <c r="V65" s="311">
        <v>156.4</v>
      </c>
      <c r="W65" s="311">
        <v>156.9</v>
      </c>
      <c r="X65" s="311">
        <v>164.7</v>
      </c>
      <c r="Y65" s="311">
        <v>159</v>
      </c>
      <c r="Z65" s="311">
        <v>158.80000000000001</v>
      </c>
      <c r="AA65" s="311">
        <v>159</v>
      </c>
      <c r="AB65" s="311">
        <v>159.14570000000001</v>
      </c>
      <c r="AC65" s="311">
        <v>158.8244</v>
      </c>
      <c r="AD65" s="1048">
        <v>158.80000000000001</v>
      </c>
      <c r="AE65" s="1036">
        <v>161.54669999999999</v>
      </c>
      <c r="AF65" s="1036">
        <v>162.9</v>
      </c>
      <c r="AG65" s="311">
        <v>161.5</v>
      </c>
      <c r="AH65" s="4">
        <v>161.5</v>
      </c>
      <c r="AI65" s="311">
        <v>185</v>
      </c>
      <c r="AJ65" s="311">
        <v>203.5</v>
      </c>
      <c r="AK65" s="311">
        <v>212.5</v>
      </c>
      <c r="AL65" s="311" t="s">
        <v>1</v>
      </c>
      <c r="AM65" s="311" t="s">
        <v>1</v>
      </c>
      <c r="AN65" s="311" t="s">
        <v>1</v>
      </c>
      <c r="AO65" s="311" t="s">
        <v>1</v>
      </c>
      <c r="AP65" s="311" t="s">
        <v>1</v>
      </c>
      <c r="AQ65" s="311" t="s">
        <v>1</v>
      </c>
      <c r="AR65" s="1093" t="s">
        <v>1</v>
      </c>
    </row>
    <row r="66" spans="1:44" s="11" customFormat="1">
      <c r="A66" s="995" t="s">
        <v>111</v>
      </c>
      <c r="B66" s="4"/>
      <c r="C66" s="311" t="s">
        <v>1</v>
      </c>
      <c r="D66" s="311" t="s">
        <v>1</v>
      </c>
      <c r="E66" s="311" t="s">
        <v>1</v>
      </c>
      <c r="F66" s="311" t="s">
        <v>1</v>
      </c>
      <c r="G66" s="311" t="s">
        <v>1</v>
      </c>
      <c r="H66" s="311" t="s">
        <v>1</v>
      </c>
      <c r="I66" s="311" t="s">
        <v>1</v>
      </c>
      <c r="J66" s="311" t="s">
        <v>1</v>
      </c>
      <c r="K66" s="311" t="s">
        <v>1</v>
      </c>
      <c r="L66" s="311" t="s">
        <v>1</v>
      </c>
      <c r="M66" s="311" t="s">
        <v>1</v>
      </c>
      <c r="N66" s="311" t="s">
        <v>1</v>
      </c>
      <c r="O66" s="311" t="s">
        <v>1</v>
      </c>
      <c r="P66" s="311">
        <v>228.3</v>
      </c>
      <c r="Q66" s="311">
        <v>200</v>
      </c>
      <c r="R66" s="311">
        <v>198</v>
      </c>
      <c r="S66" s="311">
        <v>155</v>
      </c>
      <c r="T66" s="311">
        <v>155.69999999999999</v>
      </c>
      <c r="U66" s="311">
        <v>156.4</v>
      </c>
      <c r="V66" s="311">
        <v>156.9</v>
      </c>
      <c r="W66" s="311">
        <v>157.19999999999999</v>
      </c>
      <c r="X66" s="311">
        <v>164.2</v>
      </c>
      <c r="Y66" s="311">
        <v>157.9</v>
      </c>
      <c r="Z66" s="311">
        <v>157.9</v>
      </c>
      <c r="AA66" s="311">
        <v>157</v>
      </c>
      <c r="AB66" s="311">
        <v>157.57140000000001</v>
      </c>
      <c r="AC66" s="311">
        <v>159.4118</v>
      </c>
      <c r="AD66" s="1048">
        <v>159.4</v>
      </c>
      <c r="AE66" s="1036">
        <v>159.4118</v>
      </c>
      <c r="AF66" s="1036">
        <v>154.9</v>
      </c>
      <c r="AG66" s="311">
        <v>159.4</v>
      </c>
      <c r="AH66" s="4">
        <v>159.4</v>
      </c>
      <c r="AI66" s="311">
        <v>181</v>
      </c>
      <c r="AJ66" s="311">
        <v>181</v>
      </c>
      <c r="AK66" s="311">
        <v>181</v>
      </c>
      <c r="AL66" s="311" t="s">
        <v>1</v>
      </c>
      <c r="AM66" s="311" t="s">
        <v>1</v>
      </c>
      <c r="AN66" s="311" t="s">
        <v>1</v>
      </c>
      <c r="AO66" s="311" t="s">
        <v>1</v>
      </c>
      <c r="AP66" s="311" t="s">
        <v>1</v>
      </c>
      <c r="AQ66" s="311" t="s">
        <v>1</v>
      </c>
      <c r="AR66" s="1093" t="s">
        <v>1</v>
      </c>
    </row>
    <row r="67" spans="1:44" s="11" customFormat="1">
      <c r="A67" s="995" t="s">
        <v>388</v>
      </c>
      <c r="B67" s="4"/>
      <c r="C67" s="311" t="s">
        <v>1</v>
      </c>
      <c r="D67" s="311" t="s">
        <v>1</v>
      </c>
      <c r="E67" s="311" t="s">
        <v>1</v>
      </c>
      <c r="F67" s="311" t="s">
        <v>1</v>
      </c>
      <c r="G67" s="311" t="s">
        <v>1</v>
      </c>
      <c r="H67" s="311" t="s">
        <v>1</v>
      </c>
      <c r="I67" s="311" t="s">
        <v>1</v>
      </c>
      <c r="J67" s="311" t="s">
        <v>1</v>
      </c>
      <c r="K67" s="311" t="s">
        <v>1</v>
      </c>
      <c r="L67" s="311" t="s">
        <v>1</v>
      </c>
      <c r="M67" s="311" t="s">
        <v>1</v>
      </c>
      <c r="N67" s="311" t="s">
        <v>1</v>
      </c>
      <c r="O67" s="311" t="s">
        <v>1</v>
      </c>
      <c r="P67" s="311">
        <v>191.7</v>
      </c>
      <c r="Q67" s="311">
        <v>196.1</v>
      </c>
      <c r="R67" s="311">
        <v>197.3</v>
      </c>
      <c r="S67" s="311">
        <v>155</v>
      </c>
      <c r="T67" s="311">
        <v>156</v>
      </c>
      <c r="U67" s="311">
        <v>156.30000000000001</v>
      </c>
      <c r="V67" s="311">
        <v>156.5</v>
      </c>
      <c r="W67" s="311">
        <v>156.9</v>
      </c>
      <c r="X67" s="311">
        <v>164.4</v>
      </c>
      <c r="Y67" s="311">
        <v>156.30000000000001</v>
      </c>
      <c r="Z67" s="311">
        <v>156.30000000000001</v>
      </c>
      <c r="AA67" s="311">
        <v>156.30000000000001</v>
      </c>
      <c r="AB67" s="311">
        <v>156.3049</v>
      </c>
      <c r="AC67" s="311">
        <v>157.495</v>
      </c>
      <c r="AD67" s="1048">
        <v>157.5</v>
      </c>
      <c r="AE67" s="1036">
        <v>160.47190000000001</v>
      </c>
      <c r="AF67" s="1036">
        <v>159.4</v>
      </c>
      <c r="AG67" s="311">
        <v>160.5</v>
      </c>
      <c r="AH67" s="4">
        <v>160.5</v>
      </c>
      <c r="AI67" s="311">
        <v>181</v>
      </c>
      <c r="AJ67" s="311">
        <v>181</v>
      </c>
      <c r="AK67" s="311">
        <v>181</v>
      </c>
      <c r="AL67" s="311" t="s">
        <v>1</v>
      </c>
      <c r="AM67" s="311" t="s">
        <v>1</v>
      </c>
      <c r="AN67" s="311" t="s">
        <v>1</v>
      </c>
      <c r="AO67" s="311" t="s">
        <v>1</v>
      </c>
      <c r="AP67" s="311" t="s">
        <v>1</v>
      </c>
      <c r="AQ67" s="311" t="s">
        <v>1</v>
      </c>
      <c r="AR67" s="1093" t="s">
        <v>1</v>
      </c>
    </row>
    <row r="68" spans="1:44" s="11" customFormat="1">
      <c r="A68" s="995" t="s">
        <v>136</v>
      </c>
      <c r="B68" s="4"/>
      <c r="C68" s="311" t="s">
        <v>1</v>
      </c>
      <c r="D68" s="311" t="s">
        <v>1</v>
      </c>
      <c r="E68" s="311" t="s">
        <v>1</v>
      </c>
      <c r="F68" s="311" t="s">
        <v>1</v>
      </c>
      <c r="G68" s="311" t="s">
        <v>1</v>
      </c>
      <c r="H68" s="311" t="s">
        <v>1</v>
      </c>
      <c r="I68" s="311" t="s">
        <v>1</v>
      </c>
      <c r="J68" s="311" t="s">
        <v>1</v>
      </c>
      <c r="K68" s="311" t="s">
        <v>1</v>
      </c>
      <c r="L68" s="311" t="s">
        <v>1</v>
      </c>
      <c r="M68" s="311" t="s">
        <v>1</v>
      </c>
      <c r="N68" s="311" t="s">
        <v>1</v>
      </c>
      <c r="O68" s="311" t="s">
        <v>1</v>
      </c>
      <c r="P68" s="311">
        <v>200.6</v>
      </c>
      <c r="Q68" s="311">
        <v>198.8</v>
      </c>
      <c r="R68" s="311">
        <v>198.4</v>
      </c>
      <c r="S68" s="311">
        <v>155</v>
      </c>
      <c r="T68" s="311">
        <v>156</v>
      </c>
      <c r="U68" s="311">
        <v>155</v>
      </c>
      <c r="V68" s="311">
        <v>156.5</v>
      </c>
      <c r="W68" s="311">
        <v>156.80000000000001</v>
      </c>
      <c r="X68" s="311">
        <v>164.9</v>
      </c>
      <c r="Y68" s="311">
        <v>159.9</v>
      </c>
      <c r="Z68" s="311">
        <v>159.9</v>
      </c>
      <c r="AA68" s="311">
        <v>159.9</v>
      </c>
      <c r="AB68" s="311">
        <v>159.5478</v>
      </c>
      <c r="AC68" s="311">
        <v>159.4425</v>
      </c>
      <c r="AD68" s="1048">
        <v>159.69999999999999</v>
      </c>
      <c r="AE68" s="1036">
        <v>160.23929999999999</v>
      </c>
      <c r="AF68" s="1036">
        <v>160.30000000000001</v>
      </c>
      <c r="AG68" s="311">
        <v>160.19999999999999</v>
      </c>
      <c r="AH68" s="4">
        <v>163.5</v>
      </c>
      <c r="AI68" s="311">
        <v>181</v>
      </c>
      <c r="AJ68" s="311">
        <v>187</v>
      </c>
      <c r="AK68" s="311">
        <v>190</v>
      </c>
      <c r="AL68" s="311" t="s">
        <v>1</v>
      </c>
      <c r="AM68" s="311" t="s">
        <v>1</v>
      </c>
      <c r="AN68" s="311" t="s">
        <v>1</v>
      </c>
      <c r="AO68" s="311" t="s">
        <v>1</v>
      </c>
      <c r="AP68" s="311" t="s">
        <v>1</v>
      </c>
      <c r="AQ68" s="311" t="s">
        <v>1</v>
      </c>
      <c r="AR68" s="1093" t="s">
        <v>1</v>
      </c>
    </row>
    <row r="69" spans="1:44" s="11" customFormat="1">
      <c r="A69" s="995" t="s">
        <v>112</v>
      </c>
      <c r="B69" s="4"/>
      <c r="C69" s="311" t="s">
        <v>1</v>
      </c>
      <c r="D69" s="311" t="s">
        <v>1</v>
      </c>
      <c r="E69" s="311" t="s">
        <v>1</v>
      </c>
      <c r="F69" s="311" t="s">
        <v>1</v>
      </c>
      <c r="G69" s="311" t="s">
        <v>1</v>
      </c>
      <c r="H69" s="311" t="s">
        <v>1</v>
      </c>
      <c r="I69" s="311" t="s">
        <v>1</v>
      </c>
      <c r="J69" s="311" t="s">
        <v>1</v>
      </c>
      <c r="K69" s="311" t="s">
        <v>1</v>
      </c>
      <c r="L69" s="311" t="s">
        <v>1</v>
      </c>
      <c r="M69" s="311" t="s">
        <v>1</v>
      </c>
      <c r="N69" s="311" t="s">
        <v>1</v>
      </c>
      <c r="O69" s="311" t="s">
        <v>1</v>
      </c>
      <c r="P69" s="311" t="s">
        <v>1</v>
      </c>
      <c r="Q69" s="311" t="s">
        <v>1</v>
      </c>
      <c r="R69" s="311" t="s">
        <v>1</v>
      </c>
      <c r="S69" s="311" t="s">
        <v>1</v>
      </c>
      <c r="T69" s="311" t="s">
        <v>1</v>
      </c>
      <c r="U69" s="311" t="s">
        <v>1</v>
      </c>
      <c r="V69" s="311" t="s">
        <v>1</v>
      </c>
      <c r="W69" s="311" t="s">
        <v>1</v>
      </c>
      <c r="X69" s="311" t="s">
        <v>1</v>
      </c>
      <c r="Y69" s="311" t="s">
        <v>1</v>
      </c>
      <c r="Z69" s="311" t="s">
        <v>1</v>
      </c>
      <c r="AA69" s="311">
        <v>166.9</v>
      </c>
      <c r="AB69" s="311">
        <v>153.8151</v>
      </c>
      <c r="AC69" s="311">
        <v>155.40960000000001</v>
      </c>
      <c r="AD69" s="1048">
        <v>171.4</v>
      </c>
      <c r="AE69" s="1036">
        <v>171.4118</v>
      </c>
      <c r="AF69" s="1036">
        <v>171.7</v>
      </c>
      <c r="AG69" s="311">
        <v>171.4</v>
      </c>
      <c r="AH69" s="4">
        <v>173.6</v>
      </c>
      <c r="AI69" s="311">
        <v>191.7</v>
      </c>
      <c r="AJ69" s="311">
        <v>210.8</v>
      </c>
      <c r="AK69" s="311">
        <v>220.4</v>
      </c>
      <c r="AL69" s="311" t="s">
        <v>1</v>
      </c>
      <c r="AM69" s="311" t="s">
        <v>1</v>
      </c>
      <c r="AN69" s="311" t="s">
        <v>1</v>
      </c>
      <c r="AO69" s="311" t="s">
        <v>1</v>
      </c>
      <c r="AP69" s="311" t="s">
        <v>1</v>
      </c>
      <c r="AQ69" s="311" t="s">
        <v>1</v>
      </c>
      <c r="AR69" s="1093" t="s">
        <v>1</v>
      </c>
    </row>
    <row r="70" spans="1:44" s="11" customFormat="1">
      <c r="A70" s="995" t="s">
        <v>113</v>
      </c>
      <c r="B70" s="4"/>
      <c r="C70" s="311" t="s">
        <v>1</v>
      </c>
      <c r="D70" s="311" t="s">
        <v>1</v>
      </c>
      <c r="E70" s="311" t="s">
        <v>1</v>
      </c>
      <c r="F70" s="311" t="s">
        <v>1</v>
      </c>
      <c r="G70" s="311" t="s">
        <v>1</v>
      </c>
      <c r="H70" s="311" t="s">
        <v>1</v>
      </c>
      <c r="I70" s="311" t="s">
        <v>1</v>
      </c>
      <c r="J70" s="311" t="s">
        <v>1</v>
      </c>
      <c r="K70" s="311" t="s">
        <v>1</v>
      </c>
      <c r="L70" s="311" t="s">
        <v>1</v>
      </c>
      <c r="M70" s="311" t="s">
        <v>1</v>
      </c>
      <c r="N70" s="311" t="s">
        <v>1</v>
      </c>
      <c r="O70" s="311" t="s">
        <v>1</v>
      </c>
      <c r="P70" s="311">
        <v>200</v>
      </c>
      <c r="Q70" s="311">
        <v>190.1</v>
      </c>
      <c r="R70" s="311">
        <v>197.9</v>
      </c>
      <c r="S70" s="311">
        <v>155</v>
      </c>
      <c r="T70" s="311">
        <v>154.5</v>
      </c>
      <c r="U70" s="311">
        <v>156.5</v>
      </c>
      <c r="V70" s="311">
        <v>156.6</v>
      </c>
      <c r="W70" s="311">
        <v>156.9</v>
      </c>
      <c r="X70" s="311">
        <v>164.4</v>
      </c>
      <c r="Y70" s="311">
        <v>159.4</v>
      </c>
      <c r="Z70" s="311">
        <v>159.4</v>
      </c>
      <c r="AA70" s="311">
        <v>159.4</v>
      </c>
      <c r="AB70" s="311">
        <v>159.4153</v>
      </c>
      <c r="AC70" s="311">
        <v>159.5659</v>
      </c>
      <c r="AD70" s="1048">
        <v>161.1</v>
      </c>
      <c r="AE70" s="1036">
        <v>161.06219999999999</v>
      </c>
      <c r="AF70" s="1036">
        <v>163.6</v>
      </c>
      <c r="AG70" s="311">
        <v>164.2</v>
      </c>
      <c r="AH70" s="4">
        <v>164.7</v>
      </c>
      <c r="AI70" s="311">
        <v>185</v>
      </c>
      <c r="AJ70" s="311">
        <v>187</v>
      </c>
      <c r="AK70" s="311">
        <v>188</v>
      </c>
      <c r="AL70" s="311" t="s">
        <v>1</v>
      </c>
      <c r="AM70" s="311" t="s">
        <v>1</v>
      </c>
      <c r="AN70" s="311" t="s">
        <v>1</v>
      </c>
      <c r="AO70" s="311" t="s">
        <v>1</v>
      </c>
      <c r="AP70" s="311" t="s">
        <v>1</v>
      </c>
      <c r="AQ70" s="311" t="s">
        <v>1</v>
      </c>
      <c r="AR70" s="1093" t="s">
        <v>1</v>
      </c>
    </row>
    <row r="71" spans="1:44" s="11" customFormat="1">
      <c r="A71" s="1023" t="s">
        <v>361</v>
      </c>
      <c r="B71" s="4"/>
      <c r="C71" s="311"/>
      <c r="D71" s="31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05"/>
      <c r="AE71" s="825"/>
      <c r="AF71" s="1006"/>
      <c r="AG71" s="1006"/>
      <c r="AH71" s="4"/>
      <c r="AI71" s="311"/>
      <c r="AJ71" s="311" t="s">
        <v>1</v>
      </c>
      <c r="AK71" s="311" t="s">
        <v>1</v>
      </c>
      <c r="AL71" s="311" t="s">
        <v>1</v>
      </c>
      <c r="AM71" s="311" t="s">
        <v>1</v>
      </c>
      <c r="AN71" s="311" t="s">
        <v>1</v>
      </c>
      <c r="AO71" s="311" t="s">
        <v>1</v>
      </c>
      <c r="AP71" s="311" t="s">
        <v>1</v>
      </c>
      <c r="AQ71" s="311" t="s">
        <v>1</v>
      </c>
      <c r="AR71" s="1093" t="s">
        <v>1</v>
      </c>
    </row>
    <row r="72" spans="1:44" s="11" customFormat="1">
      <c r="A72" s="993" t="s">
        <v>108</v>
      </c>
      <c r="B72" s="4"/>
      <c r="C72" s="311" t="s">
        <v>1</v>
      </c>
      <c r="D72" s="311" t="s">
        <v>1</v>
      </c>
      <c r="E72" s="311" t="s">
        <v>1</v>
      </c>
      <c r="F72" s="311" t="s">
        <v>1</v>
      </c>
      <c r="G72" s="311" t="s">
        <v>1</v>
      </c>
      <c r="H72" s="311" t="s">
        <v>1</v>
      </c>
      <c r="I72" s="311" t="s">
        <v>1</v>
      </c>
      <c r="J72" s="311" t="s">
        <v>1</v>
      </c>
      <c r="K72" s="311">
        <v>176</v>
      </c>
      <c r="L72" s="311">
        <v>285</v>
      </c>
      <c r="M72" s="311">
        <v>390</v>
      </c>
      <c r="N72" s="311">
        <v>195</v>
      </c>
      <c r="O72" s="311">
        <v>287</v>
      </c>
      <c r="P72" s="311">
        <v>527</v>
      </c>
      <c r="Q72" s="311">
        <v>433</v>
      </c>
      <c r="R72" s="311">
        <v>255</v>
      </c>
      <c r="S72" s="311">
        <v>233</v>
      </c>
      <c r="T72" s="311">
        <v>203</v>
      </c>
      <c r="U72" s="311">
        <v>226.9</v>
      </c>
      <c r="V72" s="311">
        <v>222.1</v>
      </c>
      <c r="W72" s="311">
        <v>226.5</v>
      </c>
      <c r="X72" s="311">
        <v>247.06030000000001</v>
      </c>
      <c r="Y72" s="311">
        <v>222.886</v>
      </c>
      <c r="Z72" s="311">
        <v>222.7</v>
      </c>
      <c r="AA72" s="311">
        <v>222.9</v>
      </c>
      <c r="AB72" s="311">
        <v>225.17740000000001</v>
      </c>
      <c r="AC72" s="311">
        <v>234.78020000000001</v>
      </c>
      <c r="AD72" s="1048">
        <v>234.8</v>
      </c>
      <c r="AE72" s="1036">
        <v>236.70779999999999</v>
      </c>
      <c r="AF72" s="311">
        <v>237.4</v>
      </c>
      <c r="AG72" s="311">
        <v>238</v>
      </c>
      <c r="AH72" s="4">
        <v>240.5</v>
      </c>
      <c r="AI72" s="311">
        <v>237.7</v>
      </c>
      <c r="AJ72" s="311">
        <v>245.1</v>
      </c>
      <c r="AK72" s="311">
        <v>247.9</v>
      </c>
      <c r="AL72" s="311" t="s">
        <v>1</v>
      </c>
      <c r="AM72" s="311" t="s">
        <v>1</v>
      </c>
      <c r="AN72" s="311" t="s">
        <v>1</v>
      </c>
      <c r="AO72" s="311" t="s">
        <v>1</v>
      </c>
      <c r="AP72" s="311" t="s">
        <v>1</v>
      </c>
      <c r="AQ72" s="311" t="s">
        <v>1</v>
      </c>
      <c r="AR72" s="1093" t="s">
        <v>1</v>
      </c>
    </row>
    <row r="73" spans="1:44" s="11" customFormat="1">
      <c r="A73" s="995" t="s">
        <v>109</v>
      </c>
      <c r="B73" s="4"/>
      <c r="C73" s="311" t="s">
        <v>1</v>
      </c>
      <c r="D73" s="311" t="s">
        <v>1</v>
      </c>
      <c r="E73" s="311" t="s">
        <v>1</v>
      </c>
      <c r="F73" s="311" t="s">
        <v>1</v>
      </c>
      <c r="G73" s="311" t="s">
        <v>1</v>
      </c>
      <c r="H73" s="311" t="s">
        <v>1</v>
      </c>
      <c r="I73" s="311" t="s">
        <v>1</v>
      </c>
      <c r="J73" s="311" t="s">
        <v>1</v>
      </c>
      <c r="K73" s="311" t="s">
        <v>1</v>
      </c>
      <c r="L73" s="311" t="s">
        <v>1</v>
      </c>
      <c r="M73" s="311" t="s">
        <v>1</v>
      </c>
      <c r="N73" s="311" t="s">
        <v>1</v>
      </c>
      <c r="O73" s="311" t="s">
        <v>1</v>
      </c>
      <c r="P73" s="311">
        <v>611</v>
      </c>
      <c r="Q73" s="311">
        <v>472.8</v>
      </c>
      <c r="R73" s="311">
        <v>254.2</v>
      </c>
      <c r="S73" s="311">
        <v>223.5</v>
      </c>
      <c r="T73" s="311">
        <v>217.9</v>
      </c>
      <c r="U73" s="311">
        <v>217.5</v>
      </c>
      <c r="V73" s="311">
        <v>219.9</v>
      </c>
      <c r="W73" s="311">
        <v>218.6</v>
      </c>
      <c r="X73" s="311">
        <v>263.3</v>
      </c>
      <c r="Y73" s="311">
        <v>237.4</v>
      </c>
      <c r="Z73" s="311">
        <v>219.7</v>
      </c>
      <c r="AA73" s="311">
        <v>219.7</v>
      </c>
      <c r="AB73" s="311">
        <v>218.35429999999999</v>
      </c>
      <c r="AC73" s="311">
        <v>218.35429999999999</v>
      </c>
      <c r="AD73" s="1048">
        <v>218.2</v>
      </c>
      <c r="AE73" s="1036">
        <v>218.16409999999999</v>
      </c>
      <c r="AF73" s="311">
        <v>218.3</v>
      </c>
      <c r="AG73" s="311">
        <v>218.3</v>
      </c>
      <c r="AH73" s="4">
        <v>218.3</v>
      </c>
      <c r="AI73" s="311">
        <v>215.3</v>
      </c>
      <c r="AJ73" s="311">
        <v>237.4</v>
      </c>
      <c r="AK73" s="311">
        <v>228</v>
      </c>
      <c r="AL73" s="311" t="s">
        <v>1</v>
      </c>
      <c r="AM73" s="311" t="s">
        <v>1</v>
      </c>
      <c r="AN73" s="311" t="s">
        <v>1</v>
      </c>
      <c r="AO73" s="311" t="s">
        <v>1</v>
      </c>
      <c r="AP73" s="311" t="s">
        <v>1</v>
      </c>
      <c r="AQ73" s="311" t="s">
        <v>1</v>
      </c>
      <c r="AR73" s="1093" t="s">
        <v>1</v>
      </c>
    </row>
    <row r="74" spans="1:44" s="11" customFormat="1">
      <c r="A74" s="995" t="s">
        <v>135</v>
      </c>
      <c r="B74" s="4"/>
      <c r="C74" s="311" t="s">
        <v>1</v>
      </c>
      <c r="D74" s="311" t="s">
        <v>1</v>
      </c>
      <c r="E74" s="311" t="s">
        <v>1</v>
      </c>
      <c r="F74" s="311" t="s">
        <v>1</v>
      </c>
      <c r="G74" s="311" t="s">
        <v>1</v>
      </c>
      <c r="H74" s="311" t="s">
        <v>1</v>
      </c>
      <c r="I74" s="311" t="s">
        <v>1</v>
      </c>
      <c r="J74" s="311" t="s">
        <v>1</v>
      </c>
      <c r="K74" s="311" t="s">
        <v>1</v>
      </c>
      <c r="L74" s="311" t="s">
        <v>1</v>
      </c>
      <c r="M74" s="311" t="s">
        <v>1</v>
      </c>
      <c r="N74" s="311" t="s">
        <v>1</v>
      </c>
      <c r="O74" s="311" t="s">
        <v>1</v>
      </c>
      <c r="P74" s="311" t="s">
        <v>1</v>
      </c>
      <c r="Q74" s="311" t="s">
        <v>1</v>
      </c>
      <c r="R74" s="311" t="s">
        <v>1</v>
      </c>
      <c r="S74" s="311" t="s">
        <v>1</v>
      </c>
      <c r="T74" s="311" t="s">
        <v>1</v>
      </c>
      <c r="U74" s="311">
        <v>237</v>
      </c>
      <c r="V74" s="311">
        <v>237.3</v>
      </c>
      <c r="W74" s="311">
        <v>237.9</v>
      </c>
      <c r="X74" s="311">
        <v>243.4</v>
      </c>
      <c r="Y74" s="311">
        <v>219.6</v>
      </c>
      <c r="Z74" s="311">
        <v>237.5</v>
      </c>
      <c r="AA74" s="311">
        <v>237.5</v>
      </c>
      <c r="AB74" s="311">
        <v>237.5719</v>
      </c>
      <c r="AC74" s="311">
        <v>237.5719</v>
      </c>
      <c r="AD74" s="1048">
        <v>235.7</v>
      </c>
      <c r="AE74" s="1036">
        <v>240.7217</v>
      </c>
      <c r="AF74" s="311">
        <v>241.3</v>
      </c>
      <c r="AG74" s="311">
        <v>244.4</v>
      </c>
      <c r="AH74" s="4">
        <v>245.6</v>
      </c>
      <c r="AI74" s="311">
        <v>240</v>
      </c>
      <c r="AJ74" s="311">
        <v>252</v>
      </c>
      <c r="AK74" s="311">
        <v>259.7</v>
      </c>
      <c r="AL74" s="311" t="s">
        <v>1</v>
      </c>
      <c r="AM74" s="311" t="s">
        <v>1</v>
      </c>
      <c r="AN74" s="311" t="s">
        <v>1</v>
      </c>
      <c r="AO74" s="311" t="s">
        <v>1</v>
      </c>
      <c r="AP74" s="311" t="s">
        <v>1</v>
      </c>
      <c r="AQ74" s="311" t="s">
        <v>1</v>
      </c>
      <c r="AR74" s="1093" t="s">
        <v>1</v>
      </c>
    </row>
    <row r="75" spans="1:44" s="11" customFormat="1">
      <c r="A75" s="995" t="s">
        <v>110</v>
      </c>
      <c r="B75" s="4"/>
      <c r="C75" s="311" t="s">
        <v>1</v>
      </c>
      <c r="D75" s="311" t="s">
        <v>1</v>
      </c>
      <c r="E75" s="311" t="s">
        <v>1</v>
      </c>
      <c r="F75" s="311" t="s">
        <v>1</v>
      </c>
      <c r="G75" s="311" t="s">
        <v>1</v>
      </c>
      <c r="H75" s="311" t="s">
        <v>1</v>
      </c>
      <c r="I75" s="311" t="s">
        <v>1</v>
      </c>
      <c r="J75" s="311" t="s">
        <v>1</v>
      </c>
      <c r="K75" s="311" t="s">
        <v>1</v>
      </c>
      <c r="L75" s="311" t="s">
        <v>1</v>
      </c>
      <c r="M75" s="311" t="s">
        <v>1</v>
      </c>
      <c r="N75" s="311" t="s">
        <v>1</v>
      </c>
      <c r="O75" s="311" t="s">
        <v>1</v>
      </c>
      <c r="P75" s="311">
        <v>536</v>
      </c>
      <c r="Q75" s="311">
        <v>434.5</v>
      </c>
      <c r="R75" s="311">
        <v>275.39999999999998</v>
      </c>
      <c r="S75" s="311">
        <v>244.3</v>
      </c>
      <c r="T75" s="311">
        <v>236.9</v>
      </c>
      <c r="U75" s="311">
        <v>237.4</v>
      </c>
      <c r="V75" s="311">
        <v>235.5</v>
      </c>
      <c r="W75" s="311">
        <v>236.5</v>
      </c>
      <c r="X75" s="311">
        <v>261.10000000000002</v>
      </c>
      <c r="Y75" s="311">
        <v>233.3</v>
      </c>
      <c r="Z75" s="311">
        <v>233.2</v>
      </c>
      <c r="AA75" s="311">
        <v>233.3</v>
      </c>
      <c r="AB75" s="311">
        <v>233.1636</v>
      </c>
      <c r="AC75" s="311">
        <v>233.1636</v>
      </c>
      <c r="AD75" s="1048">
        <v>233.4</v>
      </c>
      <c r="AE75" s="1036">
        <v>233.2362</v>
      </c>
      <c r="AF75" s="311">
        <v>234.9</v>
      </c>
      <c r="AG75" s="311">
        <v>235.2</v>
      </c>
      <c r="AH75" s="4">
        <v>235.2</v>
      </c>
      <c r="AI75" s="311">
        <v>232.8</v>
      </c>
      <c r="AJ75" s="311">
        <v>240.9</v>
      </c>
      <c r="AK75" s="311">
        <v>244.7</v>
      </c>
      <c r="AL75" s="311" t="s">
        <v>1</v>
      </c>
      <c r="AM75" s="311" t="s">
        <v>1</v>
      </c>
      <c r="AN75" s="311" t="s">
        <v>1</v>
      </c>
      <c r="AO75" s="311" t="s">
        <v>1</v>
      </c>
      <c r="AP75" s="311" t="s">
        <v>1</v>
      </c>
      <c r="AQ75" s="311" t="s">
        <v>1</v>
      </c>
      <c r="AR75" s="1093" t="s">
        <v>1</v>
      </c>
    </row>
    <row r="76" spans="1:44" s="11" customFormat="1">
      <c r="A76" s="995" t="s">
        <v>111</v>
      </c>
      <c r="B76" s="4"/>
      <c r="C76" s="311" t="s">
        <v>1</v>
      </c>
      <c r="D76" s="311" t="s">
        <v>1</v>
      </c>
      <c r="E76" s="311" t="s">
        <v>1</v>
      </c>
      <c r="F76" s="311" t="s">
        <v>1</v>
      </c>
      <c r="G76" s="311" t="s">
        <v>1</v>
      </c>
      <c r="H76" s="311" t="s">
        <v>1</v>
      </c>
      <c r="I76" s="311" t="s">
        <v>1</v>
      </c>
      <c r="J76" s="311" t="s">
        <v>1</v>
      </c>
      <c r="K76" s="311" t="s">
        <v>1</v>
      </c>
      <c r="L76" s="311" t="s">
        <v>1</v>
      </c>
      <c r="M76" s="311" t="s">
        <v>1</v>
      </c>
      <c r="N76" s="311" t="s">
        <v>1</v>
      </c>
      <c r="O76" s="311" t="s">
        <v>1</v>
      </c>
      <c r="P76" s="311">
        <v>445.7</v>
      </c>
      <c r="Q76" s="311">
        <v>483.9</v>
      </c>
      <c r="R76" s="311">
        <v>262.5</v>
      </c>
      <c r="S76" s="311">
        <v>250.3</v>
      </c>
      <c r="T76" s="311">
        <v>238.2</v>
      </c>
      <c r="U76" s="311">
        <v>239.1</v>
      </c>
      <c r="V76" s="311">
        <v>240.4</v>
      </c>
      <c r="W76" s="311">
        <v>241.2</v>
      </c>
      <c r="X76" s="311">
        <v>272.3</v>
      </c>
      <c r="Y76" s="311">
        <v>238.3</v>
      </c>
      <c r="Z76" s="311">
        <v>238.3</v>
      </c>
      <c r="AA76" s="311">
        <v>238.3</v>
      </c>
      <c r="AB76" s="311">
        <v>238.1935</v>
      </c>
      <c r="AC76" s="311">
        <v>238.1935</v>
      </c>
      <c r="AD76" s="1048">
        <v>248.8</v>
      </c>
      <c r="AE76" s="1036">
        <v>248.78049999999999</v>
      </c>
      <c r="AF76" s="311">
        <v>248.2</v>
      </c>
      <c r="AG76" s="311">
        <v>249.8</v>
      </c>
      <c r="AH76" s="4">
        <v>249.8</v>
      </c>
      <c r="AI76" s="311">
        <v>251.3</v>
      </c>
      <c r="AJ76" s="311">
        <v>259.60000000000002</v>
      </c>
      <c r="AK76" s="311">
        <v>268.39999999999998</v>
      </c>
      <c r="AL76" s="311" t="s">
        <v>1</v>
      </c>
      <c r="AM76" s="311" t="s">
        <v>1</v>
      </c>
      <c r="AN76" s="311" t="s">
        <v>1</v>
      </c>
      <c r="AO76" s="311" t="s">
        <v>1</v>
      </c>
      <c r="AP76" s="311" t="s">
        <v>1</v>
      </c>
      <c r="AQ76" s="311" t="s">
        <v>1</v>
      </c>
      <c r="AR76" s="1093" t="s">
        <v>1</v>
      </c>
    </row>
    <row r="77" spans="1:44" s="11" customFormat="1">
      <c r="A77" s="995" t="s">
        <v>388</v>
      </c>
      <c r="B77" s="4"/>
      <c r="C77" s="311" t="s">
        <v>1</v>
      </c>
      <c r="D77" s="311" t="s">
        <v>1</v>
      </c>
      <c r="E77" s="311" t="s">
        <v>1</v>
      </c>
      <c r="F77" s="311" t="s">
        <v>1</v>
      </c>
      <c r="G77" s="311" t="s">
        <v>1</v>
      </c>
      <c r="H77" s="311" t="s">
        <v>1</v>
      </c>
      <c r="I77" s="311" t="s">
        <v>1</v>
      </c>
      <c r="J77" s="311" t="s">
        <v>1</v>
      </c>
      <c r="K77" s="311" t="s">
        <v>1</v>
      </c>
      <c r="L77" s="311" t="s">
        <v>1</v>
      </c>
      <c r="M77" s="311" t="s">
        <v>1</v>
      </c>
      <c r="N77" s="311" t="s">
        <v>1</v>
      </c>
      <c r="O77" s="311" t="s">
        <v>1</v>
      </c>
      <c r="P77" s="311">
        <v>486</v>
      </c>
      <c r="Q77" s="311">
        <v>398</v>
      </c>
      <c r="R77" s="311">
        <v>278.7</v>
      </c>
      <c r="S77" s="311">
        <v>245</v>
      </c>
      <c r="T77" s="311">
        <v>235.6</v>
      </c>
      <c r="U77" s="311">
        <v>236.5</v>
      </c>
      <c r="V77" s="311">
        <v>235.7</v>
      </c>
      <c r="W77" s="311">
        <v>236.3</v>
      </c>
      <c r="X77" s="311">
        <v>266.5</v>
      </c>
      <c r="Y77" s="311">
        <v>230.7</v>
      </c>
      <c r="Z77" s="311">
        <v>230.7</v>
      </c>
      <c r="AA77" s="311">
        <v>230.7</v>
      </c>
      <c r="AB77" s="311">
        <v>233.35220000000001</v>
      </c>
      <c r="AC77" s="311">
        <v>233.35220000000001</v>
      </c>
      <c r="AD77" s="1048">
        <v>231.2</v>
      </c>
      <c r="AE77" s="1036">
        <v>234.40639999999999</v>
      </c>
      <c r="AF77" s="311">
        <v>234.6</v>
      </c>
      <c r="AG77" s="311">
        <v>234.4</v>
      </c>
      <c r="AH77" s="4">
        <v>234.4</v>
      </c>
      <c r="AI77" s="311">
        <v>231.6</v>
      </c>
      <c r="AJ77" s="311">
        <v>242.3</v>
      </c>
      <c r="AK77" s="311">
        <v>247.7</v>
      </c>
      <c r="AL77" s="311" t="s">
        <v>1</v>
      </c>
      <c r="AM77" s="311" t="s">
        <v>1</v>
      </c>
      <c r="AN77" s="311" t="s">
        <v>1</v>
      </c>
      <c r="AO77" s="311" t="s">
        <v>1</v>
      </c>
      <c r="AP77" s="311" t="s">
        <v>1</v>
      </c>
      <c r="AQ77" s="311" t="s">
        <v>1</v>
      </c>
      <c r="AR77" s="1093" t="s">
        <v>1</v>
      </c>
    </row>
    <row r="78" spans="1:44" s="11" customFormat="1">
      <c r="A78" s="995" t="s">
        <v>136</v>
      </c>
      <c r="B78" s="4"/>
      <c r="C78" s="311" t="s">
        <v>1</v>
      </c>
      <c r="D78" s="311" t="s">
        <v>1</v>
      </c>
      <c r="E78" s="311" t="s">
        <v>1</v>
      </c>
      <c r="F78" s="311" t="s">
        <v>1</v>
      </c>
      <c r="G78" s="311" t="s">
        <v>1</v>
      </c>
      <c r="H78" s="311" t="s">
        <v>1</v>
      </c>
      <c r="I78" s="311" t="s">
        <v>1</v>
      </c>
      <c r="J78" s="311" t="s">
        <v>1</v>
      </c>
      <c r="K78" s="311" t="s">
        <v>1</v>
      </c>
      <c r="L78" s="311" t="s">
        <v>1</v>
      </c>
      <c r="M78" s="311" t="s">
        <v>1</v>
      </c>
      <c r="N78" s="311" t="s">
        <v>1</v>
      </c>
      <c r="O78" s="311" t="s">
        <v>1</v>
      </c>
      <c r="P78" s="311">
        <v>548.4</v>
      </c>
      <c r="Q78" s="311">
        <v>454.1</v>
      </c>
      <c r="R78" s="311">
        <v>23.9</v>
      </c>
      <c r="S78" s="311">
        <v>219.4</v>
      </c>
      <c r="T78" s="311">
        <v>215.2</v>
      </c>
      <c r="U78" s="311">
        <v>215.1</v>
      </c>
      <c r="V78" s="311">
        <v>200.3</v>
      </c>
      <c r="W78" s="311">
        <v>214.8</v>
      </c>
      <c r="X78" s="311">
        <v>221.4</v>
      </c>
      <c r="Y78" s="311">
        <v>201.7</v>
      </c>
      <c r="Z78" s="311">
        <v>201.3</v>
      </c>
      <c r="AA78" s="311">
        <v>200.8</v>
      </c>
      <c r="AB78" s="311">
        <v>204.29050000000001</v>
      </c>
      <c r="AC78" s="311">
        <v>204.29050000000001</v>
      </c>
      <c r="AD78" s="1048">
        <v>240.3</v>
      </c>
      <c r="AE78" s="1036">
        <v>239.6962</v>
      </c>
      <c r="AF78" s="311">
        <v>239.8</v>
      </c>
      <c r="AG78" s="311">
        <v>239.8</v>
      </c>
      <c r="AH78" s="4">
        <v>245.4</v>
      </c>
      <c r="AI78" s="311">
        <v>241.5</v>
      </c>
      <c r="AJ78" s="311">
        <v>246.1</v>
      </c>
      <c r="AK78" s="311">
        <v>248.4</v>
      </c>
      <c r="AL78" s="311" t="s">
        <v>1</v>
      </c>
      <c r="AM78" s="311" t="s">
        <v>1</v>
      </c>
      <c r="AN78" s="311" t="s">
        <v>1</v>
      </c>
      <c r="AO78" s="311" t="s">
        <v>1</v>
      </c>
      <c r="AP78" s="311" t="s">
        <v>1</v>
      </c>
      <c r="AQ78" s="311" t="s">
        <v>1</v>
      </c>
      <c r="AR78" s="1093" t="s">
        <v>1</v>
      </c>
    </row>
    <row r="79" spans="1:44" s="11" customFormat="1">
      <c r="A79" s="995" t="s">
        <v>112</v>
      </c>
      <c r="B79" s="4"/>
      <c r="C79" s="311" t="s">
        <v>1</v>
      </c>
      <c r="D79" s="311" t="s">
        <v>1</v>
      </c>
      <c r="E79" s="311" t="s">
        <v>1</v>
      </c>
      <c r="F79" s="311" t="s">
        <v>1</v>
      </c>
      <c r="G79" s="311" t="s">
        <v>1</v>
      </c>
      <c r="H79" s="311" t="s">
        <v>1</v>
      </c>
      <c r="I79" s="311" t="s">
        <v>1</v>
      </c>
      <c r="J79" s="311" t="s">
        <v>1</v>
      </c>
      <c r="K79" s="311" t="s">
        <v>1</v>
      </c>
      <c r="L79" s="311" t="s">
        <v>1</v>
      </c>
      <c r="M79" s="311" t="s">
        <v>1</v>
      </c>
      <c r="N79" s="311" t="s">
        <v>1</v>
      </c>
      <c r="O79" s="311" t="s">
        <v>1</v>
      </c>
      <c r="P79" s="311" t="s">
        <v>1</v>
      </c>
      <c r="Q79" s="311" t="s">
        <v>1</v>
      </c>
      <c r="R79" s="311" t="s">
        <v>1</v>
      </c>
      <c r="S79" s="311" t="s">
        <v>1</v>
      </c>
      <c r="T79" s="311" t="s">
        <v>1</v>
      </c>
      <c r="U79" s="311" t="s">
        <v>1</v>
      </c>
      <c r="V79" s="311" t="s">
        <v>1</v>
      </c>
      <c r="W79" s="311" t="s">
        <v>1</v>
      </c>
      <c r="X79" s="311" t="s">
        <v>1</v>
      </c>
      <c r="Y79" s="311" t="s">
        <v>1</v>
      </c>
      <c r="Z79" s="311" t="s">
        <v>1</v>
      </c>
      <c r="AA79" s="311">
        <v>219.5</v>
      </c>
      <c r="AB79" s="311">
        <v>228.75030000000001</v>
      </c>
      <c r="AC79" s="311">
        <v>228.75030000000001</v>
      </c>
      <c r="AD79" s="1048">
        <v>232.4</v>
      </c>
      <c r="AE79" s="1036">
        <v>236.76220000000001</v>
      </c>
      <c r="AF79" s="311">
        <v>238.4</v>
      </c>
      <c r="AG79" s="311">
        <v>238.5</v>
      </c>
      <c r="AH79" s="4">
        <v>240.6</v>
      </c>
      <c r="AI79" s="311">
        <v>237.7</v>
      </c>
      <c r="AJ79" s="311">
        <v>242.1</v>
      </c>
      <c r="AK79" s="311">
        <v>244.7</v>
      </c>
      <c r="AL79" s="311" t="s">
        <v>1</v>
      </c>
      <c r="AM79" s="311" t="s">
        <v>1</v>
      </c>
      <c r="AN79" s="311" t="s">
        <v>1</v>
      </c>
      <c r="AO79" s="311" t="s">
        <v>1</v>
      </c>
      <c r="AP79" s="311" t="s">
        <v>1</v>
      </c>
      <c r="AQ79" s="311" t="s">
        <v>1</v>
      </c>
      <c r="AR79" s="1093" t="s">
        <v>1</v>
      </c>
    </row>
    <row r="80" spans="1:44" s="11" customFormat="1">
      <c r="A80" s="995" t="s">
        <v>113</v>
      </c>
      <c r="B80" s="4"/>
      <c r="C80" s="311" t="s">
        <v>1</v>
      </c>
      <c r="D80" s="311" t="s">
        <v>1</v>
      </c>
      <c r="E80" s="311" t="s">
        <v>1</v>
      </c>
      <c r="F80" s="311" t="s">
        <v>1</v>
      </c>
      <c r="G80" s="311" t="s">
        <v>1</v>
      </c>
      <c r="H80" s="311" t="s">
        <v>1</v>
      </c>
      <c r="I80" s="311" t="s">
        <v>1</v>
      </c>
      <c r="J80" s="311" t="s">
        <v>1</v>
      </c>
      <c r="K80" s="311" t="s">
        <v>1</v>
      </c>
      <c r="L80" s="311" t="s">
        <v>1</v>
      </c>
      <c r="M80" s="311" t="s">
        <v>1</v>
      </c>
      <c r="N80" s="311" t="s">
        <v>1</v>
      </c>
      <c r="O80" s="311" t="s">
        <v>1</v>
      </c>
      <c r="P80" s="311">
        <v>474.4</v>
      </c>
      <c r="Q80" s="311">
        <v>382</v>
      </c>
      <c r="R80" s="311">
        <v>258</v>
      </c>
      <c r="S80" s="311">
        <v>235.1</v>
      </c>
      <c r="T80" s="311">
        <v>229.3</v>
      </c>
      <c r="U80" s="311">
        <v>229.2</v>
      </c>
      <c r="V80" s="311">
        <v>230.1</v>
      </c>
      <c r="W80" s="311">
        <v>230.4</v>
      </c>
      <c r="X80" s="311">
        <v>253.2</v>
      </c>
      <c r="Y80" s="311">
        <v>238.2</v>
      </c>
      <c r="Z80" s="311">
        <v>238.2</v>
      </c>
      <c r="AA80" s="311">
        <v>238.2</v>
      </c>
      <c r="AB80" s="311">
        <v>237.32419999999999</v>
      </c>
      <c r="AC80" s="311">
        <v>237.32419999999999</v>
      </c>
      <c r="AD80" s="1048">
        <v>237.4</v>
      </c>
      <c r="AE80" s="1036">
        <v>238.09870000000001</v>
      </c>
      <c r="AF80" s="311">
        <v>239.1</v>
      </c>
      <c r="AG80" s="311">
        <v>241.2</v>
      </c>
      <c r="AH80" s="4">
        <v>245.2</v>
      </c>
      <c r="AI80" s="311">
        <v>244.4</v>
      </c>
      <c r="AJ80" s="311">
        <v>248.5</v>
      </c>
      <c r="AK80" s="311">
        <v>249.4</v>
      </c>
      <c r="AL80" s="311" t="s">
        <v>1</v>
      </c>
      <c r="AM80" s="311" t="s">
        <v>1</v>
      </c>
      <c r="AN80" s="311" t="s">
        <v>1</v>
      </c>
      <c r="AO80" s="311" t="s">
        <v>1</v>
      </c>
      <c r="AP80" s="311" t="s">
        <v>1</v>
      </c>
      <c r="AQ80" s="311" t="s">
        <v>1</v>
      </c>
      <c r="AR80" s="1093" t="s">
        <v>1</v>
      </c>
    </row>
    <row r="81" spans="1:44" s="11" customFormat="1" ht="15">
      <c r="A81" s="1023" t="s">
        <v>439</v>
      </c>
      <c r="B81" s="1046" t="s">
        <v>270</v>
      </c>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1049"/>
      <c r="AE81" s="1"/>
      <c r="AF81" s="1050"/>
      <c r="AG81" s="1050"/>
      <c r="AH81" s="4"/>
      <c r="AI81" s="4"/>
      <c r="AJ81" s="4"/>
      <c r="AK81" s="4"/>
      <c r="AL81" s="4"/>
      <c r="AM81" s="4"/>
      <c r="AN81" s="4"/>
      <c r="AO81" s="4"/>
      <c r="AP81" s="242"/>
      <c r="AQ81" s="4"/>
      <c r="AR81" s="811"/>
    </row>
    <row r="82" spans="1:44" s="11" customFormat="1">
      <c r="A82" s="1023" t="s">
        <v>364</v>
      </c>
      <c r="B82" s="4"/>
      <c r="C82" s="311"/>
      <c r="D82" s="311"/>
      <c r="E82" s="311"/>
      <c r="F82" s="311"/>
      <c r="G82" s="311"/>
      <c r="H82" s="311"/>
      <c r="I82" s="311"/>
      <c r="J82" s="311"/>
      <c r="K82" s="311"/>
      <c r="L82" s="311"/>
      <c r="M82" s="311"/>
      <c r="N82" s="311"/>
      <c r="O82" s="311"/>
      <c r="P82" s="311"/>
      <c r="Q82" s="311"/>
      <c r="R82" s="311"/>
      <c r="S82" s="311"/>
      <c r="T82" s="311"/>
      <c r="U82" s="311"/>
      <c r="V82" s="311"/>
      <c r="W82" s="311"/>
      <c r="X82" s="311"/>
      <c r="Y82" s="311"/>
      <c r="Z82" s="311"/>
      <c r="AA82" s="311"/>
      <c r="AB82" s="311"/>
      <c r="AC82" s="311"/>
      <c r="AD82" s="1051"/>
      <c r="AE82" s="1"/>
      <c r="AF82" s="1050"/>
      <c r="AG82" s="1050"/>
      <c r="AH82" s="4"/>
      <c r="AI82" s="4"/>
      <c r="AJ82" s="4"/>
      <c r="AK82" s="4"/>
      <c r="AL82" s="4"/>
      <c r="AM82" s="4"/>
      <c r="AN82" s="4"/>
      <c r="AO82" s="4"/>
      <c r="AP82" s="242"/>
      <c r="AQ82" s="4"/>
      <c r="AR82" s="811"/>
    </row>
    <row r="83" spans="1:44" s="11" customFormat="1">
      <c r="A83" s="993" t="s">
        <v>108</v>
      </c>
      <c r="B83" s="4"/>
      <c r="C83" s="311">
        <v>1.3</v>
      </c>
      <c r="D83" s="311">
        <v>1.2</v>
      </c>
      <c r="E83" s="311">
        <v>1.2</v>
      </c>
      <c r="F83" s="311">
        <v>2</v>
      </c>
      <c r="G83" s="311">
        <v>2</v>
      </c>
      <c r="H83" s="311">
        <v>1.7</v>
      </c>
      <c r="I83" s="311">
        <v>1.8</v>
      </c>
      <c r="J83" s="311">
        <v>1.7</v>
      </c>
      <c r="K83" s="311">
        <v>3.1</v>
      </c>
      <c r="L83" s="311">
        <v>2.7</v>
      </c>
      <c r="M83" s="311">
        <v>3.4</v>
      </c>
      <c r="N83" s="311">
        <v>5.9</v>
      </c>
      <c r="O83" s="311">
        <v>6.4</v>
      </c>
      <c r="P83" s="311">
        <v>5.6</v>
      </c>
      <c r="Q83" s="311">
        <v>4.2</v>
      </c>
      <c r="R83" s="311">
        <v>3.4</v>
      </c>
      <c r="S83" s="311">
        <v>2.4</v>
      </c>
      <c r="T83" s="311">
        <v>2</v>
      </c>
      <c r="U83" s="311">
        <v>0.9</v>
      </c>
      <c r="V83" s="311">
        <v>0.7</v>
      </c>
      <c r="W83" s="311">
        <v>0.6</v>
      </c>
      <c r="X83" s="311">
        <v>0.7</v>
      </c>
      <c r="Y83" s="311">
        <v>6.6</v>
      </c>
      <c r="Z83" s="311">
        <v>3.5</v>
      </c>
      <c r="AA83" s="311">
        <v>2.7</v>
      </c>
      <c r="AB83" s="311">
        <v>2.9</v>
      </c>
      <c r="AC83" s="311">
        <v>3.0910000000000002</v>
      </c>
      <c r="AD83" s="1052">
        <v>3.194</v>
      </c>
      <c r="AE83" s="1036">
        <v>2.5</v>
      </c>
      <c r="AF83" s="1039">
        <v>2.9</v>
      </c>
      <c r="AG83" s="1053">
        <v>2.7</v>
      </c>
      <c r="AH83" s="3">
        <v>2.5179999999999998</v>
      </c>
      <c r="AI83" s="311">
        <v>2</v>
      </c>
      <c r="AJ83" s="3">
        <v>1.8</v>
      </c>
      <c r="AK83" s="3">
        <v>1.8</v>
      </c>
      <c r="AL83" s="3">
        <v>1.8089999999999999</v>
      </c>
      <c r="AM83" s="3">
        <v>1.8089999999999999</v>
      </c>
      <c r="AN83" s="3">
        <v>1.86</v>
      </c>
      <c r="AO83" s="3">
        <v>1.9</v>
      </c>
      <c r="AP83" s="404">
        <v>2</v>
      </c>
      <c r="AQ83" s="3">
        <v>1.8</v>
      </c>
      <c r="AR83" s="783">
        <v>1.9</v>
      </c>
    </row>
    <row r="84" spans="1:44" s="11" customFormat="1">
      <c r="A84" s="995" t="s">
        <v>109</v>
      </c>
      <c r="B84" s="4"/>
      <c r="C84" s="311" t="s">
        <v>1</v>
      </c>
      <c r="D84" s="311" t="s">
        <v>1</v>
      </c>
      <c r="E84" s="311" t="s">
        <v>1</v>
      </c>
      <c r="F84" s="311" t="s">
        <v>1</v>
      </c>
      <c r="G84" s="311" t="s">
        <v>1</v>
      </c>
      <c r="H84" s="311" t="s">
        <v>1</v>
      </c>
      <c r="I84" s="311" t="s">
        <v>1</v>
      </c>
      <c r="J84" s="311" t="s">
        <v>1</v>
      </c>
      <c r="K84" s="311" t="s">
        <v>1</v>
      </c>
      <c r="L84" s="311" t="s">
        <v>1</v>
      </c>
      <c r="M84" s="311" t="s">
        <v>1</v>
      </c>
      <c r="N84" s="311" t="s">
        <v>1</v>
      </c>
      <c r="O84" s="311" t="s">
        <v>1</v>
      </c>
      <c r="P84" s="311" t="s">
        <v>1</v>
      </c>
      <c r="Q84" s="311" t="s">
        <v>1</v>
      </c>
      <c r="R84" s="311" t="s">
        <v>1</v>
      </c>
      <c r="S84" s="311" t="s">
        <v>1</v>
      </c>
      <c r="T84" s="311">
        <v>1E-3</v>
      </c>
      <c r="U84" s="311" t="s">
        <v>1</v>
      </c>
      <c r="V84" s="311" t="s">
        <v>1</v>
      </c>
      <c r="W84" s="311" t="s">
        <v>1</v>
      </c>
      <c r="X84" s="311" t="s">
        <v>1</v>
      </c>
      <c r="Y84" s="311">
        <v>0</v>
      </c>
      <c r="Z84" s="311" t="s">
        <v>1</v>
      </c>
      <c r="AA84" s="311" t="s">
        <v>1</v>
      </c>
      <c r="AB84" s="311" t="s">
        <v>1</v>
      </c>
      <c r="AC84" s="311" t="s">
        <v>1</v>
      </c>
      <c r="AD84" s="1048" t="s">
        <v>1</v>
      </c>
      <c r="AE84" s="1036" t="s">
        <v>1</v>
      </c>
      <c r="AF84" s="1006" t="s">
        <v>1</v>
      </c>
      <c r="AG84" s="981" t="s">
        <v>1</v>
      </c>
      <c r="AH84" s="1006" t="s">
        <v>1</v>
      </c>
      <c r="AI84" s="1006" t="s">
        <v>1</v>
      </c>
      <c r="AJ84" s="1006" t="s">
        <v>1</v>
      </c>
      <c r="AK84" s="1006" t="s">
        <v>1</v>
      </c>
      <c r="AL84" s="1006" t="s">
        <v>1</v>
      </c>
      <c r="AM84" s="1006" t="s">
        <v>1</v>
      </c>
      <c r="AN84" s="1006" t="s">
        <v>1</v>
      </c>
      <c r="AO84" s="1006" t="s">
        <v>1</v>
      </c>
      <c r="AP84" s="1066" t="s">
        <v>1</v>
      </c>
      <c r="AQ84" s="1006" t="s">
        <v>1</v>
      </c>
      <c r="AR84" s="818" t="s">
        <v>1</v>
      </c>
    </row>
    <row r="85" spans="1:44" s="11" customFormat="1">
      <c r="A85" s="995" t="s">
        <v>135</v>
      </c>
      <c r="B85" s="4"/>
      <c r="C85" s="311" t="s">
        <v>1</v>
      </c>
      <c r="D85" s="311" t="s">
        <v>1</v>
      </c>
      <c r="E85" s="311" t="s">
        <v>1</v>
      </c>
      <c r="F85" s="311" t="s">
        <v>1</v>
      </c>
      <c r="G85" s="311" t="s">
        <v>1</v>
      </c>
      <c r="H85" s="311" t="s">
        <v>1</v>
      </c>
      <c r="I85" s="311" t="s">
        <v>1</v>
      </c>
      <c r="J85" s="311" t="s">
        <v>1</v>
      </c>
      <c r="K85" s="311" t="s">
        <v>1</v>
      </c>
      <c r="L85" s="311" t="s">
        <v>1</v>
      </c>
      <c r="M85" s="311" t="s">
        <v>1</v>
      </c>
      <c r="N85" s="311" t="s">
        <v>1</v>
      </c>
      <c r="O85" s="311" t="s">
        <v>1</v>
      </c>
      <c r="P85" s="311" t="s">
        <v>1</v>
      </c>
      <c r="Q85" s="311" t="s">
        <v>1</v>
      </c>
      <c r="R85" s="311" t="s">
        <v>1</v>
      </c>
      <c r="S85" s="311" t="s">
        <v>1</v>
      </c>
      <c r="T85" s="311" t="s">
        <v>1</v>
      </c>
      <c r="U85" s="311">
        <v>0.214</v>
      </c>
      <c r="V85" s="311">
        <v>0.191</v>
      </c>
      <c r="W85" s="311">
        <v>0.20799999999999999</v>
      </c>
      <c r="X85" s="311">
        <v>0.26</v>
      </c>
      <c r="Y85" s="311">
        <v>1.7262693156732893</v>
      </c>
      <c r="Z85" s="311">
        <v>0.53200000000000003</v>
      </c>
      <c r="AA85" s="311">
        <v>0.47299999999999998</v>
      </c>
      <c r="AB85" s="311">
        <v>0.44500000000000001</v>
      </c>
      <c r="AC85" s="311">
        <v>0.51900000000000002</v>
      </c>
      <c r="AD85" s="1052">
        <v>0.42099999999999999</v>
      </c>
      <c r="AE85" s="1036">
        <v>0.4</v>
      </c>
      <c r="AF85" s="1006">
        <v>0.4</v>
      </c>
      <c r="AG85" s="1053">
        <v>0.4</v>
      </c>
      <c r="AH85" s="3">
        <v>0.223</v>
      </c>
      <c r="AI85" s="311">
        <v>0.2</v>
      </c>
      <c r="AJ85" s="3">
        <v>0.2</v>
      </c>
      <c r="AK85" s="1039">
        <v>0.1</v>
      </c>
      <c r="AL85" s="1039">
        <v>0.114</v>
      </c>
      <c r="AM85" s="1039">
        <v>0.114</v>
      </c>
      <c r="AN85" s="1039">
        <v>0.121</v>
      </c>
      <c r="AO85" s="1039">
        <v>0.114</v>
      </c>
      <c r="AP85" s="1067">
        <v>0.114</v>
      </c>
      <c r="AQ85" s="1039">
        <v>0.114</v>
      </c>
      <c r="AR85" s="1094">
        <v>0.114</v>
      </c>
    </row>
    <row r="86" spans="1:44" s="11" customFormat="1">
      <c r="A86" s="995" t="s">
        <v>110</v>
      </c>
      <c r="B86" s="4"/>
      <c r="C86" s="311" t="s">
        <v>1</v>
      </c>
      <c r="D86" s="311" t="s">
        <v>1</v>
      </c>
      <c r="E86" s="311" t="s">
        <v>1</v>
      </c>
      <c r="F86" s="311" t="s">
        <v>1</v>
      </c>
      <c r="G86" s="311" t="s">
        <v>1</v>
      </c>
      <c r="H86" s="311" t="s">
        <v>1</v>
      </c>
      <c r="I86" s="311" t="s">
        <v>1</v>
      </c>
      <c r="J86" s="311" t="s">
        <v>1</v>
      </c>
      <c r="K86" s="311" t="s">
        <v>1</v>
      </c>
      <c r="L86" s="311" t="s">
        <v>1</v>
      </c>
      <c r="M86" s="311" t="s">
        <v>1</v>
      </c>
      <c r="N86" s="311" t="s">
        <v>1</v>
      </c>
      <c r="O86" s="311" t="s">
        <v>1</v>
      </c>
      <c r="P86" s="311">
        <v>1.524</v>
      </c>
      <c r="Q86" s="311">
        <v>1.1100000000000001</v>
      </c>
      <c r="R86" s="311">
        <v>1.1950000000000001</v>
      </c>
      <c r="S86" s="311">
        <v>0.98299999999999998</v>
      </c>
      <c r="T86" s="311">
        <v>1.087</v>
      </c>
      <c r="U86" s="311">
        <v>2.9000000000000001E-2</v>
      </c>
      <c r="V86" s="311">
        <v>3.4000000000000002E-2</v>
      </c>
      <c r="W86" s="311">
        <v>3.2000000000000001E-2</v>
      </c>
      <c r="X86" s="311">
        <v>3.5000000000000003E-2</v>
      </c>
      <c r="Y86" s="311">
        <v>4.4843049327354258E-2</v>
      </c>
      <c r="Z86" s="311">
        <v>0.01</v>
      </c>
      <c r="AA86" s="311">
        <v>3.0000000000000001E-3</v>
      </c>
      <c r="AB86" s="311">
        <v>2E-3</v>
      </c>
      <c r="AC86" s="311">
        <v>3.0000000000000001E-3</v>
      </c>
      <c r="AD86" s="1052">
        <v>6.0000000000000001E-3</v>
      </c>
      <c r="AE86" s="1036">
        <v>0.04</v>
      </c>
      <c r="AF86" s="1039">
        <v>0</v>
      </c>
      <c r="AG86" s="1053">
        <v>0</v>
      </c>
      <c r="AH86" s="3">
        <v>1E-3</v>
      </c>
      <c r="AI86" s="311">
        <v>0</v>
      </c>
      <c r="AJ86" s="3">
        <v>0</v>
      </c>
      <c r="AK86" s="3">
        <v>0</v>
      </c>
      <c r="AL86" s="3">
        <v>1E-3</v>
      </c>
      <c r="AM86" s="3">
        <v>1E-3</v>
      </c>
      <c r="AN86" s="3">
        <v>0</v>
      </c>
      <c r="AO86" s="3">
        <v>1E-3</v>
      </c>
      <c r="AP86" s="1064">
        <v>1E-3</v>
      </c>
      <c r="AQ86" s="3">
        <v>1E-3</v>
      </c>
      <c r="AR86" s="817">
        <v>1E-3</v>
      </c>
    </row>
    <row r="87" spans="1:44" s="11" customFormat="1">
      <c r="A87" s="995" t="s">
        <v>111</v>
      </c>
      <c r="B87" s="4"/>
      <c r="C87" s="311" t="s">
        <v>1</v>
      </c>
      <c r="D87" s="311" t="s">
        <v>1</v>
      </c>
      <c r="E87" s="311" t="s">
        <v>1</v>
      </c>
      <c r="F87" s="311" t="s">
        <v>1</v>
      </c>
      <c r="G87" s="311" t="s">
        <v>1</v>
      </c>
      <c r="H87" s="311" t="s">
        <v>1</v>
      </c>
      <c r="I87" s="311" t="s">
        <v>1</v>
      </c>
      <c r="J87" s="311" t="s">
        <v>1</v>
      </c>
      <c r="K87" s="311" t="s">
        <v>1</v>
      </c>
      <c r="L87" s="311" t="s">
        <v>1</v>
      </c>
      <c r="M87" s="311" t="s">
        <v>1</v>
      </c>
      <c r="N87" s="311" t="s">
        <v>1</v>
      </c>
      <c r="O87" s="311" t="s">
        <v>1</v>
      </c>
      <c r="P87" s="311" t="s">
        <v>1</v>
      </c>
      <c r="Q87" s="311" t="s">
        <v>1</v>
      </c>
      <c r="R87" s="311" t="s">
        <v>1</v>
      </c>
      <c r="S87" s="311" t="s">
        <v>1</v>
      </c>
      <c r="T87" s="311">
        <v>5.0000000000000001E-3</v>
      </c>
      <c r="U87" s="311">
        <v>7.0000000000000001E-3</v>
      </c>
      <c r="V87" s="311">
        <v>6.0000000000000001E-3</v>
      </c>
      <c r="W87" s="311">
        <v>8.0000000000000002E-3</v>
      </c>
      <c r="X87" s="311">
        <v>2.9000000000000001E-2</v>
      </c>
      <c r="Y87" s="311">
        <v>0.54908485856905165</v>
      </c>
      <c r="Z87" s="311">
        <v>0.40400000000000003</v>
      </c>
      <c r="AA87" s="311">
        <v>0.35699999999999998</v>
      </c>
      <c r="AB87" s="311">
        <v>0.48399999999999999</v>
      </c>
      <c r="AC87" s="311">
        <v>0.46200000000000002</v>
      </c>
      <c r="AD87" s="1052">
        <v>0.54600000000000004</v>
      </c>
      <c r="AE87" s="1036">
        <v>0.4</v>
      </c>
      <c r="AF87" s="1006">
        <v>0.4</v>
      </c>
      <c r="AG87" s="1053">
        <v>0.5</v>
      </c>
      <c r="AH87" s="3">
        <v>0.54400000000000004</v>
      </c>
      <c r="AI87" s="311">
        <v>0.4</v>
      </c>
      <c r="AJ87" s="3">
        <v>0.3</v>
      </c>
      <c r="AK87" s="3">
        <v>0.3</v>
      </c>
      <c r="AL87" s="3">
        <v>0.2</v>
      </c>
      <c r="AM87" s="3">
        <v>0.3</v>
      </c>
      <c r="AN87" s="3">
        <v>0.25600000000000001</v>
      </c>
      <c r="AO87" s="3">
        <v>0.3</v>
      </c>
      <c r="AP87" s="1064">
        <v>0.3</v>
      </c>
      <c r="AQ87" s="3">
        <v>0.3</v>
      </c>
      <c r="AR87" s="817">
        <v>0.3</v>
      </c>
    </row>
    <row r="88" spans="1:44" s="11" customFormat="1">
      <c r="A88" s="995" t="s">
        <v>388</v>
      </c>
      <c r="B88" s="4"/>
      <c r="C88" s="311" t="s">
        <v>1</v>
      </c>
      <c r="D88" s="311" t="s">
        <v>1</v>
      </c>
      <c r="E88" s="311" t="s">
        <v>1</v>
      </c>
      <c r="F88" s="311" t="s">
        <v>1</v>
      </c>
      <c r="G88" s="311" t="s">
        <v>1</v>
      </c>
      <c r="H88" s="311" t="s">
        <v>1</v>
      </c>
      <c r="I88" s="311" t="s">
        <v>1</v>
      </c>
      <c r="J88" s="311" t="s">
        <v>1</v>
      </c>
      <c r="K88" s="311" t="s">
        <v>1</v>
      </c>
      <c r="L88" s="311" t="s">
        <v>1</v>
      </c>
      <c r="M88" s="311" t="s">
        <v>1</v>
      </c>
      <c r="N88" s="311" t="s">
        <v>1</v>
      </c>
      <c r="O88" s="311" t="s">
        <v>1</v>
      </c>
      <c r="P88" s="311" t="s">
        <v>1</v>
      </c>
      <c r="Q88" s="311" t="s">
        <v>1</v>
      </c>
      <c r="R88" s="311" t="s">
        <v>1</v>
      </c>
      <c r="S88" s="311" t="s">
        <v>1</v>
      </c>
      <c r="T88" s="311">
        <v>0.23599999999999999</v>
      </c>
      <c r="U88" s="311">
        <v>0.155</v>
      </c>
      <c r="V88" s="311">
        <v>5.7000000000000002E-2</v>
      </c>
      <c r="W88" s="311">
        <v>5.1999999999999998E-2</v>
      </c>
      <c r="X88" s="311">
        <v>3.2000000000000001E-2</v>
      </c>
      <c r="Y88" s="311">
        <v>0.18221895664952242</v>
      </c>
      <c r="Z88" s="311">
        <v>0.248</v>
      </c>
      <c r="AA88" s="311">
        <v>0.14099999999999999</v>
      </c>
      <c r="AB88" s="311">
        <v>0.121</v>
      </c>
      <c r="AC88" s="311">
        <v>0.16200000000000001</v>
      </c>
      <c r="AD88" s="1052">
        <v>0.17299999999999999</v>
      </c>
      <c r="AE88" s="1036">
        <v>0.1</v>
      </c>
      <c r="AF88" s="1006">
        <v>0.1</v>
      </c>
      <c r="AG88" s="1053">
        <v>0.1</v>
      </c>
      <c r="AH88" s="3">
        <v>4.2000000000000003E-2</v>
      </c>
      <c r="AI88" s="311">
        <v>0</v>
      </c>
      <c r="AJ88" s="3">
        <v>0</v>
      </c>
      <c r="AK88" s="3">
        <v>0</v>
      </c>
      <c r="AL88" s="3">
        <v>5.8000000000000003E-2</v>
      </c>
      <c r="AM88" s="3">
        <v>0</v>
      </c>
      <c r="AN88" s="3">
        <v>5.0999999999999997E-2</v>
      </c>
      <c r="AO88" s="3">
        <v>0.1</v>
      </c>
      <c r="AP88" s="1064">
        <v>0</v>
      </c>
      <c r="AQ88" s="3">
        <v>0</v>
      </c>
      <c r="AR88" s="817">
        <v>0</v>
      </c>
    </row>
    <row r="89" spans="1:44" s="11" customFormat="1">
      <c r="A89" s="995" t="s">
        <v>136</v>
      </c>
      <c r="B89" s="4"/>
      <c r="C89" s="311" t="s">
        <v>1</v>
      </c>
      <c r="D89" s="311" t="s">
        <v>1</v>
      </c>
      <c r="E89" s="311" t="s">
        <v>1</v>
      </c>
      <c r="F89" s="311" t="s">
        <v>1</v>
      </c>
      <c r="G89" s="311" t="s">
        <v>1</v>
      </c>
      <c r="H89" s="311" t="s">
        <v>1</v>
      </c>
      <c r="I89" s="311" t="s">
        <v>1</v>
      </c>
      <c r="J89" s="311" t="s">
        <v>1</v>
      </c>
      <c r="K89" s="311" t="s">
        <v>1</v>
      </c>
      <c r="L89" s="311" t="s">
        <v>1</v>
      </c>
      <c r="M89" s="311" t="s">
        <v>1</v>
      </c>
      <c r="N89" s="311" t="s">
        <v>1</v>
      </c>
      <c r="O89" s="311" t="s">
        <v>1</v>
      </c>
      <c r="P89" s="311">
        <v>4.0190000000000001</v>
      </c>
      <c r="Q89" s="311">
        <v>3.0209999999999999</v>
      </c>
      <c r="R89" s="311">
        <v>2.181</v>
      </c>
      <c r="S89" s="311">
        <v>1.3089999999999999</v>
      </c>
      <c r="T89" s="311">
        <v>0.35199999999999998</v>
      </c>
      <c r="U89" s="311">
        <v>0.23599999999999999</v>
      </c>
      <c r="V89" s="311">
        <v>0.21</v>
      </c>
      <c r="W89" s="311">
        <v>0.216</v>
      </c>
      <c r="X89" s="311">
        <v>0.252</v>
      </c>
      <c r="Y89" s="311">
        <v>0.51111111111111107</v>
      </c>
      <c r="Z89" s="311">
        <v>0.70499999999999996</v>
      </c>
      <c r="AA89" s="311">
        <v>0.79400000000000004</v>
      </c>
      <c r="AB89" s="311">
        <v>0.78700000000000003</v>
      </c>
      <c r="AC89" s="311">
        <v>0.85299999999999998</v>
      </c>
      <c r="AD89" s="1052">
        <v>0.86499999999999999</v>
      </c>
      <c r="AE89" s="1036">
        <v>0.7</v>
      </c>
      <c r="AF89" s="1006">
        <v>0.8</v>
      </c>
      <c r="AG89" s="1053">
        <v>0.7</v>
      </c>
      <c r="AH89" s="3">
        <v>0.625</v>
      </c>
      <c r="AI89" s="311">
        <v>0.5</v>
      </c>
      <c r="AJ89" s="3">
        <v>0.5</v>
      </c>
      <c r="AK89" s="3">
        <v>0.6</v>
      </c>
      <c r="AL89" s="3">
        <v>0.6</v>
      </c>
      <c r="AM89" s="3">
        <v>0.6</v>
      </c>
      <c r="AN89" s="3">
        <v>0.60099999999999998</v>
      </c>
      <c r="AO89" s="3">
        <v>0.6</v>
      </c>
      <c r="AP89" s="1064">
        <v>0.7</v>
      </c>
      <c r="AQ89" s="3">
        <v>0.6</v>
      </c>
      <c r="AR89" s="817">
        <v>0.6</v>
      </c>
    </row>
    <row r="90" spans="1:44" s="11" customFormat="1">
      <c r="A90" s="995" t="s">
        <v>112</v>
      </c>
      <c r="B90" s="4"/>
      <c r="C90" s="311" t="s">
        <v>1</v>
      </c>
      <c r="D90" s="311" t="s">
        <v>1</v>
      </c>
      <c r="E90" s="311" t="s">
        <v>1</v>
      </c>
      <c r="F90" s="311" t="s">
        <v>1</v>
      </c>
      <c r="G90" s="311" t="s">
        <v>1</v>
      </c>
      <c r="H90" s="311" t="s">
        <v>1</v>
      </c>
      <c r="I90" s="311" t="s">
        <v>1</v>
      </c>
      <c r="J90" s="311" t="s">
        <v>1</v>
      </c>
      <c r="K90" s="311" t="s">
        <v>1</v>
      </c>
      <c r="L90" s="311" t="s">
        <v>1</v>
      </c>
      <c r="M90" s="311" t="s">
        <v>1</v>
      </c>
      <c r="N90" s="311" t="s">
        <v>1</v>
      </c>
      <c r="O90" s="311" t="s">
        <v>1</v>
      </c>
      <c r="P90" s="311" t="s">
        <v>1</v>
      </c>
      <c r="Q90" s="311" t="s">
        <v>1</v>
      </c>
      <c r="R90" s="311" t="s">
        <v>1</v>
      </c>
      <c r="S90" s="311" t="s">
        <v>1</v>
      </c>
      <c r="T90" s="311" t="s">
        <v>1</v>
      </c>
      <c r="U90" s="311" t="s">
        <v>1</v>
      </c>
      <c r="V90" s="311" t="s">
        <v>1</v>
      </c>
      <c r="W90" s="311" t="s">
        <v>1</v>
      </c>
      <c r="X90" s="311" t="s">
        <v>1</v>
      </c>
      <c r="Y90" s="311">
        <v>2.9583333333333335</v>
      </c>
      <c r="Z90" s="311">
        <v>1.0649999999999999</v>
      </c>
      <c r="AA90" s="311">
        <v>0.53600000000000003</v>
      </c>
      <c r="AB90" s="311">
        <v>0.61199999999999999</v>
      </c>
      <c r="AC90" s="311">
        <v>0.71499999999999997</v>
      </c>
      <c r="AD90" s="1052">
        <v>0.82599999999999996</v>
      </c>
      <c r="AE90" s="1036">
        <v>0.6</v>
      </c>
      <c r="AF90" s="1006">
        <v>0.8</v>
      </c>
      <c r="AG90" s="1053">
        <v>0.7</v>
      </c>
      <c r="AH90" s="3">
        <v>0.72399999999999998</v>
      </c>
      <c r="AI90" s="311">
        <v>0.6</v>
      </c>
      <c r="AJ90" s="3">
        <v>0.6</v>
      </c>
      <c r="AK90" s="3">
        <v>0.6</v>
      </c>
      <c r="AL90" s="3">
        <v>0.57799999999999996</v>
      </c>
      <c r="AM90" s="3">
        <v>0.57799999999999996</v>
      </c>
      <c r="AN90" s="3">
        <v>0.61599999999999999</v>
      </c>
      <c r="AO90" s="3">
        <v>0.57799999999999996</v>
      </c>
      <c r="AP90" s="1064">
        <v>0.7</v>
      </c>
      <c r="AQ90" s="3">
        <v>0.6</v>
      </c>
      <c r="AR90" s="817">
        <v>0.6</v>
      </c>
    </row>
    <row r="91" spans="1:44" s="11" customFormat="1">
      <c r="A91" s="995" t="s">
        <v>113</v>
      </c>
      <c r="B91" s="4"/>
      <c r="C91" s="311" t="s">
        <v>1</v>
      </c>
      <c r="D91" s="311" t="s">
        <v>1</v>
      </c>
      <c r="E91" s="311" t="s">
        <v>1</v>
      </c>
      <c r="F91" s="311" t="s">
        <v>1</v>
      </c>
      <c r="G91" s="311" t="s">
        <v>1</v>
      </c>
      <c r="H91" s="311" t="s">
        <v>1</v>
      </c>
      <c r="I91" s="311" t="s">
        <v>1</v>
      </c>
      <c r="J91" s="311" t="s">
        <v>1</v>
      </c>
      <c r="K91" s="311" t="s">
        <v>1</v>
      </c>
      <c r="L91" s="311" t="s">
        <v>1</v>
      </c>
      <c r="M91" s="311" t="s">
        <v>1</v>
      </c>
      <c r="N91" s="311" t="s">
        <v>1</v>
      </c>
      <c r="O91" s="311" t="s">
        <v>1</v>
      </c>
      <c r="P91" s="311">
        <v>4.8000000000000001E-2</v>
      </c>
      <c r="Q91" s="311">
        <v>5.0999999999999997E-2</v>
      </c>
      <c r="R91" s="311">
        <v>5.8000000000000003E-2</v>
      </c>
      <c r="S91" s="311">
        <v>7.0000000000000007E-2</v>
      </c>
      <c r="T91" s="311">
        <v>0.35499999999999998</v>
      </c>
      <c r="U91" s="311">
        <v>0.26600000000000001</v>
      </c>
      <c r="V91" s="311">
        <v>0.193</v>
      </c>
      <c r="W91" s="311">
        <v>0.125</v>
      </c>
      <c r="X91" s="311">
        <v>0.125</v>
      </c>
      <c r="Y91" s="311">
        <v>0.67010309278350522</v>
      </c>
      <c r="Z91" s="311">
        <v>0.52</v>
      </c>
      <c r="AA91" s="311">
        <v>0.38700000000000001</v>
      </c>
      <c r="AB91" s="311">
        <v>0.48</v>
      </c>
      <c r="AC91" s="311">
        <v>0.377</v>
      </c>
      <c r="AD91" s="1052">
        <v>0.35699999999999998</v>
      </c>
      <c r="AE91" s="1036">
        <v>0.3</v>
      </c>
      <c r="AF91" s="1006">
        <v>0.4</v>
      </c>
      <c r="AG91" s="1053">
        <v>0.3</v>
      </c>
      <c r="AH91" s="3">
        <v>0.35899999999999999</v>
      </c>
      <c r="AI91" s="311">
        <v>0.3</v>
      </c>
      <c r="AJ91" s="3">
        <v>0.2</v>
      </c>
      <c r="AK91" s="3">
        <v>0.2</v>
      </c>
      <c r="AL91" s="3">
        <v>0.224</v>
      </c>
      <c r="AM91" s="3">
        <v>0.224</v>
      </c>
      <c r="AN91" s="3">
        <v>0.214</v>
      </c>
      <c r="AO91" s="3">
        <v>0.224</v>
      </c>
      <c r="AP91" s="1064">
        <v>0.224</v>
      </c>
      <c r="AQ91" s="3">
        <v>0.224</v>
      </c>
      <c r="AR91" s="817">
        <v>0.224</v>
      </c>
    </row>
    <row r="92" spans="1:44" s="11" customFormat="1">
      <c r="A92" s="1023" t="s">
        <v>365</v>
      </c>
      <c r="B92" s="4"/>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1"/>
      <c r="AB92" s="311"/>
      <c r="AC92" s="311"/>
      <c r="AD92" s="1052"/>
      <c r="AE92" s="4"/>
      <c r="AF92" s="1006"/>
      <c r="AG92" s="1006"/>
      <c r="AH92" s="4"/>
      <c r="AI92" s="4"/>
      <c r="AJ92" s="4"/>
      <c r="AK92" s="4"/>
      <c r="AL92" s="4"/>
      <c r="AM92" s="4"/>
      <c r="AN92" s="4"/>
      <c r="AO92" s="4"/>
      <c r="AP92" s="242"/>
      <c r="AQ92" s="4"/>
      <c r="AR92" s="811"/>
    </row>
    <row r="93" spans="1:44" s="11" customFormat="1">
      <c r="A93" s="993" t="s">
        <v>108</v>
      </c>
      <c r="B93" s="4"/>
      <c r="C93" s="311">
        <v>2.2999999999999998</v>
      </c>
      <c r="D93" s="311">
        <v>2.4</v>
      </c>
      <c r="E93" s="311">
        <v>3.5</v>
      </c>
      <c r="F93" s="311">
        <v>2.8</v>
      </c>
      <c r="G93" s="311">
        <v>2.5</v>
      </c>
      <c r="H93" s="311">
        <v>1.8</v>
      </c>
      <c r="I93" s="311">
        <v>2.1</v>
      </c>
      <c r="J93" s="311">
        <v>1.5</v>
      </c>
      <c r="K93" s="311">
        <v>1.3</v>
      </c>
      <c r="L93" s="311">
        <v>2.5</v>
      </c>
      <c r="M93" s="311">
        <v>1.7</v>
      </c>
      <c r="N93" s="311">
        <v>0.6</v>
      </c>
      <c r="O93" s="311">
        <v>0.6</v>
      </c>
      <c r="P93" s="311">
        <v>0.9</v>
      </c>
      <c r="Q93" s="311">
        <v>1.1000000000000001</v>
      </c>
      <c r="R93" s="311">
        <v>2.2000000000000002</v>
      </c>
      <c r="S93" s="311">
        <v>1.7</v>
      </c>
      <c r="T93" s="311">
        <v>1.4</v>
      </c>
      <c r="U93" s="311">
        <v>0.8</v>
      </c>
      <c r="V93" s="311">
        <v>0.4</v>
      </c>
      <c r="W93" s="311">
        <v>0.3</v>
      </c>
      <c r="X93" s="311">
        <v>0.3</v>
      </c>
      <c r="Y93" s="311">
        <v>4.4000000000000004</v>
      </c>
      <c r="Z93" s="311">
        <v>2.1</v>
      </c>
      <c r="AA93" s="311">
        <v>1.5</v>
      </c>
      <c r="AB93" s="311">
        <v>1.9</v>
      </c>
      <c r="AC93" s="311">
        <v>2.4180000000000001</v>
      </c>
      <c r="AD93" s="1052">
        <v>2.3149999999999999</v>
      </c>
      <c r="AE93" s="1036">
        <v>1.5</v>
      </c>
      <c r="AF93" s="1039">
        <v>1.7</v>
      </c>
      <c r="AG93" s="1053">
        <v>1.5</v>
      </c>
      <c r="AH93" s="3">
        <v>1.716</v>
      </c>
      <c r="AI93" s="311">
        <v>1.1000000000000001</v>
      </c>
      <c r="AJ93" s="3">
        <v>1.3</v>
      </c>
      <c r="AK93" s="1053">
        <v>1.3</v>
      </c>
      <c r="AL93" s="1053">
        <v>1.3</v>
      </c>
      <c r="AM93" s="1053">
        <v>1.4</v>
      </c>
      <c r="AN93" s="1053">
        <v>1.41</v>
      </c>
      <c r="AO93" s="1053">
        <v>1.5</v>
      </c>
      <c r="AP93" s="1068">
        <v>1.6</v>
      </c>
      <c r="AQ93" s="1053">
        <v>1.6</v>
      </c>
      <c r="AR93" s="1095">
        <v>1.6</v>
      </c>
    </row>
    <row r="94" spans="1:44" s="11" customFormat="1">
      <c r="A94" s="995" t="s">
        <v>109</v>
      </c>
      <c r="B94" s="4"/>
      <c r="C94" s="311" t="s">
        <v>1</v>
      </c>
      <c r="D94" s="311" t="s">
        <v>1</v>
      </c>
      <c r="E94" s="311" t="s">
        <v>1</v>
      </c>
      <c r="F94" s="311" t="s">
        <v>1</v>
      </c>
      <c r="G94" s="311" t="s">
        <v>1</v>
      </c>
      <c r="H94" s="311" t="s">
        <v>1</v>
      </c>
      <c r="I94" s="311" t="s">
        <v>1</v>
      </c>
      <c r="J94" s="311" t="s">
        <v>1</v>
      </c>
      <c r="K94" s="311" t="s">
        <v>1</v>
      </c>
      <c r="L94" s="311" t="s">
        <v>1</v>
      </c>
      <c r="M94" s="311" t="s">
        <v>1</v>
      </c>
      <c r="N94" s="311" t="s">
        <v>1</v>
      </c>
      <c r="O94" s="311" t="s">
        <v>1</v>
      </c>
      <c r="P94" s="311" t="s">
        <v>1</v>
      </c>
      <c r="Q94" s="311" t="s">
        <v>1</v>
      </c>
      <c r="R94" s="311" t="s">
        <v>1</v>
      </c>
      <c r="S94" s="311" t="s">
        <v>1</v>
      </c>
      <c r="T94" s="311">
        <v>1.7000000000000001E-2</v>
      </c>
      <c r="U94" s="311" t="s">
        <v>1</v>
      </c>
      <c r="V94" s="311" t="s">
        <v>1</v>
      </c>
      <c r="W94" s="311" t="s">
        <v>1</v>
      </c>
      <c r="X94" s="311" t="s">
        <v>1</v>
      </c>
      <c r="Y94" s="311" t="s">
        <v>1</v>
      </c>
      <c r="Z94" s="311" t="s">
        <v>1</v>
      </c>
      <c r="AA94" s="311" t="s">
        <v>1</v>
      </c>
      <c r="AB94" s="311" t="s">
        <v>1</v>
      </c>
      <c r="AC94" s="311" t="s">
        <v>1</v>
      </c>
      <c r="AD94" s="1048" t="s">
        <v>1</v>
      </c>
      <c r="AE94" s="1036" t="s">
        <v>1</v>
      </c>
      <c r="AF94" s="1006" t="s">
        <v>1</v>
      </c>
      <c r="AG94" s="1006" t="s">
        <v>1</v>
      </c>
      <c r="AH94" s="1039" t="s">
        <v>1</v>
      </c>
      <c r="AI94" s="1039" t="s">
        <v>1</v>
      </c>
      <c r="AJ94" s="1039" t="s">
        <v>1</v>
      </c>
      <c r="AK94" s="1039" t="s">
        <v>1</v>
      </c>
      <c r="AL94" s="1039" t="s">
        <v>1</v>
      </c>
      <c r="AM94" s="1039" t="s">
        <v>1</v>
      </c>
      <c r="AN94" s="1039" t="s">
        <v>1</v>
      </c>
      <c r="AO94" s="1039" t="s">
        <v>1</v>
      </c>
      <c r="AP94" s="1067" t="s">
        <v>1</v>
      </c>
      <c r="AQ94" s="1039" t="s">
        <v>1</v>
      </c>
      <c r="AR94" s="1094" t="s">
        <v>1</v>
      </c>
    </row>
    <row r="95" spans="1:44" s="11" customFormat="1">
      <c r="A95" s="995" t="s">
        <v>135</v>
      </c>
      <c r="B95" s="4"/>
      <c r="C95" s="311" t="s">
        <v>1</v>
      </c>
      <c r="D95" s="311" t="s">
        <v>1</v>
      </c>
      <c r="E95" s="311" t="s">
        <v>1</v>
      </c>
      <c r="F95" s="311" t="s">
        <v>1</v>
      </c>
      <c r="G95" s="311" t="s">
        <v>1</v>
      </c>
      <c r="H95" s="311" t="s">
        <v>1</v>
      </c>
      <c r="I95" s="311" t="s">
        <v>1</v>
      </c>
      <c r="J95" s="311" t="s">
        <v>1</v>
      </c>
      <c r="K95" s="311" t="s">
        <v>1</v>
      </c>
      <c r="L95" s="311" t="s">
        <v>1</v>
      </c>
      <c r="M95" s="311" t="s">
        <v>1</v>
      </c>
      <c r="N95" s="311" t="s">
        <v>1</v>
      </c>
      <c r="O95" s="311" t="s">
        <v>1</v>
      </c>
      <c r="P95" s="311" t="s">
        <v>1</v>
      </c>
      <c r="Q95" s="311" t="s">
        <v>1</v>
      </c>
      <c r="R95" s="311" t="s">
        <v>1</v>
      </c>
      <c r="S95" s="311" t="s">
        <v>1</v>
      </c>
      <c r="T95" s="311" t="s">
        <v>1</v>
      </c>
      <c r="U95" s="311">
        <v>0.26200000000000001</v>
      </c>
      <c r="V95" s="311">
        <v>9.4E-2</v>
      </c>
      <c r="W95" s="311">
        <v>9.8000000000000004E-2</v>
      </c>
      <c r="X95" s="311">
        <v>8.4000000000000005E-2</v>
      </c>
      <c r="Y95" s="311">
        <v>0.9</v>
      </c>
      <c r="Z95" s="311">
        <v>0.35299999999999998</v>
      </c>
      <c r="AA95" s="311">
        <v>0.20699999999999999</v>
      </c>
      <c r="AB95" s="311">
        <v>0.28299999999999997</v>
      </c>
      <c r="AC95" s="311">
        <v>0.35499999999999998</v>
      </c>
      <c r="AD95" s="1052">
        <v>0.30499999999999999</v>
      </c>
      <c r="AE95" s="1036">
        <v>0.2</v>
      </c>
      <c r="AF95" s="1006">
        <v>0.3</v>
      </c>
      <c r="AG95" s="1053">
        <v>0.2</v>
      </c>
      <c r="AH95" s="3">
        <v>0.151</v>
      </c>
      <c r="AI95" s="311">
        <v>0.3</v>
      </c>
      <c r="AJ95" s="3">
        <v>0.2</v>
      </c>
      <c r="AK95" s="1053">
        <v>0.2</v>
      </c>
      <c r="AL95" s="1053">
        <v>0.18</v>
      </c>
      <c r="AM95" s="1053">
        <v>0.3</v>
      </c>
      <c r="AN95" s="1053">
        <v>0.27600000000000002</v>
      </c>
      <c r="AO95" s="1053">
        <v>0.3</v>
      </c>
      <c r="AP95" s="1068">
        <v>0.3</v>
      </c>
      <c r="AQ95" s="1053">
        <v>0.3</v>
      </c>
      <c r="AR95" s="1095">
        <v>0.3</v>
      </c>
    </row>
    <row r="96" spans="1:44" s="11" customFormat="1">
      <c r="A96" s="995" t="s">
        <v>110</v>
      </c>
      <c r="B96" s="4"/>
      <c r="C96" s="311" t="s">
        <v>1</v>
      </c>
      <c r="D96" s="311" t="s">
        <v>1</v>
      </c>
      <c r="E96" s="311" t="s">
        <v>1</v>
      </c>
      <c r="F96" s="311" t="s">
        <v>1</v>
      </c>
      <c r="G96" s="311" t="s">
        <v>1</v>
      </c>
      <c r="H96" s="311" t="s">
        <v>1</v>
      </c>
      <c r="I96" s="311" t="s">
        <v>1</v>
      </c>
      <c r="J96" s="311" t="s">
        <v>1</v>
      </c>
      <c r="K96" s="311" t="s">
        <v>1</v>
      </c>
      <c r="L96" s="311" t="s">
        <v>1</v>
      </c>
      <c r="M96" s="311" t="s">
        <v>1</v>
      </c>
      <c r="N96" s="311" t="s">
        <v>1</v>
      </c>
      <c r="O96" s="311" t="s">
        <v>1</v>
      </c>
      <c r="P96" s="311" t="s">
        <v>1</v>
      </c>
      <c r="Q96" s="311" t="s">
        <v>1</v>
      </c>
      <c r="R96" s="311" t="s">
        <v>1</v>
      </c>
      <c r="S96" s="311" t="s">
        <v>1</v>
      </c>
      <c r="T96" s="311">
        <v>0.39600000000000002</v>
      </c>
      <c r="U96" s="311" t="s">
        <v>1</v>
      </c>
      <c r="V96" s="311" t="s">
        <v>1</v>
      </c>
      <c r="W96" s="311" t="s">
        <v>1</v>
      </c>
      <c r="X96" s="311" t="s">
        <v>1</v>
      </c>
      <c r="Y96" s="311" t="s">
        <v>1</v>
      </c>
      <c r="Z96" s="311" t="s">
        <v>1</v>
      </c>
      <c r="AA96" s="311">
        <v>2.5999999999999999E-2</v>
      </c>
      <c r="AB96" s="311">
        <v>2.3E-2</v>
      </c>
      <c r="AC96" s="311">
        <v>2.1999999999999999E-2</v>
      </c>
      <c r="AD96" s="1052">
        <v>0.02</v>
      </c>
      <c r="AE96" s="1036">
        <v>1.9E-2</v>
      </c>
      <c r="AF96" s="1039">
        <v>0</v>
      </c>
      <c r="AG96" s="1053">
        <v>0.1</v>
      </c>
      <c r="AH96" s="3">
        <v>3.5999999999999997E-2</v>
      </c>
      <c r="AI96" s="311">
        <v>0</v>
      </c>
      <c r="AJ96" s="3">
        <v>0</v>
      </c>
      <c r="AK96" s="1039">
        <v>0</v>
      </c>
      <c r="AL96" s="1039">
        <v>2E-3</v>
      </c>
      <c r="AM96" s="1039" t="s">
        <v>1</v>
      </c>
      <c r="AN96" s="1039" t="s">
        <v>1</v>
      </c>
      <c r="AO96" s="1039" t="s">
        <v>1</v>
      </c>
      <c r="AP96" s="1067" t="s">
        <v>1</v>
      </c>
      <c r="AQ96" s="1039" t="s">
        <v>1</v>
      </c>
      <c r="AR96" s="1094" t="s">
        <v>1</v>
      </c>
    </row>
    <row r="97" spans="1:44" s="11" customFormat="1">
      <c r="A97" s="995" t="s">
        <v>111</v>
      </c>
      <c r="B97" s="4"/>
      <c r="C97" s="311" t="s">
        <v>1</v>
      </c>
      <c r="D97" s="311" t="s">
        <v>1</v>
      </c>
      <c r="E97" s="311" t="s">
        <v>1</v>
      </c>
      <c r="F97" s="311" t="s">
        <v>1</v>
      </c>
      <c r="G97" s="311" t="s">
        <v>1</v>
      </c>
      <c r="H97" s="311" t="s">
        <v>1</v>
      </c>
      <c r="I97" s="311" t="s">
        <v>1</v>
      </c>
      <c r="J97" s="311" t="s">
        <v>1</v>
      </c>
      <c r="K97" s="311" t="s">
        <v>1</v>
      </c>
      <c r="L97" s="311" t="s">
        <v>1</v>
      </c>
      <c r="M97" s="311" t="s">
        <v>1</v>
      </c>
      <c r="N97" s="311" t="s">
        <v>1</v>
      </c>
      <c r="O97" s="311" t="s">
        <v>1</v>
      </c>
      <c r="P97" s="311" t="s">
        <v>1</v>
      </c>
      <c r="Q97" s="311" t="s">
        <v>1</v>
      </c>
      <c r="R97" s="311" t="s">
        <v>1</v>
      </c>
      <c r="S97" s="311" t="s">
        <v>1</v>
      </c>
      <c r="T97" s="311">
        <v>1.0999999999999999E-2</v>
      </c>
      <c r="U97" s="311">
        <v>5.0000000000000001E-3</v>
      </c>
      <c r="V97" s="311">
        <v>1E-3</v>
      </c>
      <c r="W97" s="311">
        <v>1E-3</v>
      </c>
      <c r="X97" s="311" t="s">
        <v>1</v>
      </c>
      <c r="Y97" s="311">
        <v>0</v>
      </c>
      <c r="Z97" s="311">
        <v>0.18099999999999999</v>
      </c>
      <c r="AA97" s="311">
        <v>0.128</v>
      </c>
      <c r="AB97" s="311">
        <v>0.20799999999999999</v>
      </c>
      <c r="AC97" s="311">
        <v>0.34599999999999997</v>
      </c>
      <c r="AD97" s="1052">
        <v>0.39600000000000002</v>
      </c>
      <c r="AE97" s="1036">
        <v>0.1</v>
      </c>
      <c r="AF97" s="1006">
        <v>0.2</v>
      </c>
      <c r="AG97" s="1053">
        <v>0.2</v>
      </c>
      <c r="AH97" s="3">
        <v>0.51500000000000001</v>
      </c>
      <c r="AI97" s="311">
        <v>0.3</v>
      </c>
      <c r="AJ97" s="3">
        <v>0.3</v>
      </c>
      <c r="AK97" s="1053">
        <v>0.2</v>
      </c>
      <c r="AL97" s="1053">
        <v>0.26100000000000001</v>
      </c>
      <c r="AM97" s="1053">
        <v>0.26100000000000001</v>
      </c>
      <c r="AN97" s="1053">
        <v>0.26100000000000001</v>
      </c>
      <c r="AO97" s="1053">
        <v>0.26100000000000001</v>
      </c>
      <c r="AP97" s="1068">
        <v>0.2</v>
      </c>
      <c r="AQ97" s="1053">
        <v>0.2</v>
      </c>
      <c r="AR97" s="1095">
        <v>0.2</v>
      </c>
    </row>
    <row r="98" spans="1:44" s="11" customFormat="1">
      <c r="A98" s="995" t="s">
        <v>388</v>
      </c>
      <c r="B98" s="4"/>
      <c r="C98" s="311" t="s">
        <v>1</v>
      </c>
      <c r="D98" s="311" t="s">
        <v>1</v>
      </c>
      <c r="E98" s="311" t="s">
        <v>1</v>
      </c>
      <c r="F98" s="311" t="s">
        <v>1</v>
      </c>
      <c r="G98" s="311" t="s">
        <v>1</v>
      </c>
      <c r="H98" s="311" t="s">
        <v>1</v>
      </c>
      <c r="I98" s="311" t="s">
        <v>1</v>
      </c>
      <c r="J98" s="311" t="s">
        <v>1</v>
      </c>
      <c r="K98" s="311" t="s">
        <v>1</v>
      </c>
      <c r="L98" s="311" t="s">
        <v>1</v>
      </c>
      <c r="M98" s="311" t="s">
        <v>1</v>
      </c>
      <c r="N98" s="311" t="s">
        <v>1</v>
      </c>
      <c r="O98" s="311" t="s">
        <v>1</v>
      </c>
      <c r="P98" s="311" t="s">
        <v>1</v>
      </c>
      <c r="Q98" s="311" t="s">
        <v>1</v>
      </c>
      <c r="R98" s="311" t="s">
        <v>1</v>
      </c>
      <c r="S98" s="311" t="s">
        <v>1</v>
      </c>
      <c r="T98" s="311">
        <v>0.128</v>
      </c>
      <c r="U98" s="311" t="s">
        <v>1</v>
      </c>
      <c r="V98" s="311" t="s">
        <v>1</v>
      </c>
      <c r="W98" s="311" t="s">
        <v>1</v>
      </c>
      <c r="X98" s="311">
        <v>1.4999999999999999E-2</v>
      </c>
      <c r="Y98" s="311">
        <v>0.1</v>
      </c>
      <c r="Z98" s="311">
        <v>0.14000000000000001</v>
      </c>
      <c r="AA98" s="311">
        <v>9.8000000000000004E-2</v>
      </c>
      <c r="AB98" s="311">
        <v>9.4E-2</v>
      </c>
      <c r="AC98" s="311">
        <v>9.6000000000000002E-2</v>
      </c>
      <c r="AD98" s="1052">
        <v>5.8999999999999997E-2</v>
      </c>
      <c r="AE98" s="1036">
        <v>0.1</v>
      </c>
      <c r="AF98" s="1039">
        <v>0</v>
      </c>
      <c r="AG98" s="1053">
        <v>0.1</v>
      </c>
      <c r="AH98" s="3">
        <v>3.7999999999999999E-2</v>
      </c>
      <c r="AI98" s="311">
        <v>0</v>
      </c>
      <c r="AJ98" s="3">
        <v>0.1</v>
      </c>
      <c r="AK98" s="1053">
        <v>0.2</v>
      </c>
      <c r="AL98" s="1053">
        <v>0.153</v>
      </c>
      <c r="AM98" s="1053">
        <v>0.153</v>
      </c>
      <c r="AN98" s="1053">
        <v>0.24</v>
      </c>
      <c r="AO98" s="1053">
        <v>0.3</v>
      </c>
      <c r="AP98" s="1068">
        <v>0.3</v>
      </c>
      <c r="AQ98" s="1053">
        <v>0.3</v>
      </c>
      <c r="AR98" s="1095">
        <v>0.3</v>
      </c>
    </row>
    <row r="99" spans="1:44" s="11" customFormat="1">
      <c r="A99" s="995" t="s">
        <v>136</v>
      </c>
      <c r="B99" s="4"/>
      <c r="C99" s="311" t="s">
        <v>1</v>
      </c>
      <c r="D99" s="311" t="s">
        <v>1</v>
      </c>
      <c r="E99" s="311" t="s">
        <v>1</v>
      </c>
      <c r="F99" s="311" t="s">
        <v>1</v>
      </c>
      <c r="G99" s="311" t="s">
        <v>1</v>
      </c>
      <c r="H99" s="311" t="s">
        <v>1</v>
      </c>
      <c r="I99" s="311" t="s">
        <v>1</v>
      </c>
      <c r="J99" s="311" t="s">
        <v>1</v>
      </c>
      <c r="K99" s="311" t="s">
        <v>1</v>
      </c>
      <c r="L99" s="311" t="s">
        <v>1</v>
      </c>
      <c r="M99" s="311" t="s">
        <v>1</v>
      </c>
      <c r="N99" s="311" t="s">
        <v>1</v>
      </c>
      <c r="O99" s="311" t="s">
        <v>1</v>
      </c>
      <c r="P99" s="311">
        <v>0.92800000000000005</v>
      </c>
      <c r="Q99" s="311">
        <v>1.1739999999999999</v>
      </c>
      <c r="R99" s="311">
        <v>1.36</v>
      </c>
      <c r="S99" s="311">
        <v>1.73</v>
      </c>
      <c r="T99" s="311">
        <v>0.60299999999999998</v>
      </c>
      <c r="U99" s="311">
        <v>0.41</v>
      </c>
      <c r="V99" s="311">
        <v>0.21099999999999999</v>
      </c>
      <c r="W99" s="311">
        <v>0.158</v>
      </c>
      <c r="X99" s="311">
        <v>0.17</v>
      </c>
      <c r="Y99" s="311">
        <v>0.4</v>
      </c>
      <c r="Z99" s="311">
        <v>0.36099999999999999</v>
      </c>
      <c r="AA99" s="311">
        <v>0.34899999999999998</v>
      </c>
      <c r="AB99" s="311">
        <v>0.50600000000000001</v>
      </c>
      <c r="AC99" s="311">
        <v>0.80800000000000005</v>
      </c>
      <c r="AD99" s="1052">
        <v>0.7</v>
      </c>
      <c r="AE99" s="1036">
        <v>0.6</v>
      </c>
      <c r="AF99" s="1006">
        <v>0.6</v>
      </c>
      <c r="AG99" s="1053">
        <v>0.4</v>
      </c>
      <c r="AH99" s="3">
        <v>0.35599999999999998</v>
      </c>
      <c r="AI99" s="311">
        <v>0.2</v>
      </c>
      <c r="AJ99" s="3">
        <v>0.3</v>
      </c>
      <c r="AK99" s="1053">
        <v>0.4</v>
      </c>
      <c r="AL99" s="1053">
        <v>0.28799999999999998</v>
      </c>
      <c r="AM99" s="1053">
        <v>0.28799999999999998</v>
      </c>
      <c r="AN99" s="1053">
        <v>0.33600000000000002</v>
      </c>
      <c r="AO99" s="1053">
        <v>0.28799999999999998</v>
      </c>
      <c r="AP99" s="1068">
        <v>0.4</v>
      </c>
      <c r="AQ99" s="1053">
        <v>0.4</v>
      </c>
      <c r="AR99" s="1095">
        <v>0.4</v>
      </c>
    </row>
    <row r="100" spans="1:44" s="11" customFormat="1">
      <c r="A100" s="995" t="s">
        <v>112</v>
      </c>
      <c r="B100" s="4"/>
      <c r="C100" s="311" t="s">
        <v>1</v>
      </c>
      <c r="D100" s="311" t="s">
        <v>1</v>
      </c>
      <c r="E100" s="311" t="s">
        <v>1</v>
      </c>
      <c r="F100" s="311" t="s">
        <v>1</v>
      </c>
      <c r="G100" s="311" t="s">
        <v>1</v>
      </c>
      <c r="H100" s="311" t="s">
        <v>1</v>
      </c>
      <c r="I100" s="311" t="s">
        <v>1</v>
      </c>
      <c r="J100" s="311" t="s">
        <v>1</v>
      </c>
      <c r="K100" s="311" t="s">
        <v>1</v>
      </c>
      <c r="L100" s="311" t="s">
        <v>1</v>
      </c>
      <c r="M100" s="311" t="s">
        <v>1</v>
      </c>
      <c r="N100" s="311" t="s">
        <v>1</v>
      </c>
      <c r="O100" s="311" t="s">
        <v>1</v>
      </c>
      <c r="P100" s="311" t="s">
        <v>1</v>
      </c>
      <c r="Q100" s="311" t="s">
        <v>1</v>
      </c>
      <c r="R100" s="311" t="s">
        <v>1</v>
      </c>
      <c r="S100" s="311" t="s">
        <v>1</v>
      </c>
      <c r="T100" s="311" t="s">
        <v>1</v>
      </c>
      <c r="U100" s="311" t="s">
        <v>1</v>
      </c>
      <c r="V100" s="311" t="s">
        <v>1</v>
      </c>
      <c r="W100" s="311" t="s">
        <v>1</v>
      </c>
      <c r="X100" s="311" t="s">
        <v>1</v>
      </c>
      <c r="Y100" s="311">
        <v>2.2999999999999998</v>
      </c>
      <c r="Z100" s="311">
        <v>0.40400000000000003</v>
      </c>
      <c r="AA100" s="311">
        <v>0.216</v>
      </c>
      <c r="AB100" s="311">
        <v>0.36599999999999999</v>
      </c>
      <c r="AC100" s="311">
        <v>0.51100000000000001</v>
      </c>
      <c r="AD100" s="1052">
        <v>0.59599999999999997</v>
      </c>
      <c r="AE100" s="1036">
        <v>0.3</v>
      </c>
      <c r="AF100" s="1006">
        <v>0.4</v>
      </c>
      <c r="AG100" s="1053">
        <v>0.3</v>
      </c>
      <c r="AH100" s="3">
        <v>0.36799999999999999</v>
      </c>
      <c r="AI100" s="311">
        <v>0.1</v>
      </c>
      <c r="AJ100" s="3">
        <v>0.2</v>
      </c>
      <c r="AK100" s="1053">
        <v>0.2</v>
      </c>
      <c r="AL100" s="1053">
        <v>0.2</v>
      </c>
      <c r="AM100" s="1053">
        <v>0.2</v>
      </c>
      <c r="AN100" s="1053">
        <v>0.189</v>
      </c>
      <c r="AO100" s="1053">
        <v>0.2</v>
      </c>
      <c r="AP100" s="1068">
        <v>0.2</v>
      </c>
      <c r="AQ100" s="1053">
        <v>0.3</v>
      </c>
      <c r="AR100" s="1095">
        <v>0.3</v>
      </c>
    </row>
    <row r="101" spans="1:44" s="11" customFormat="1">
      <c r="A101" s="995" t="s">
        <v>113</v>
      </c>
      <c r="B101" s="4"/>
      <c r="C101" s="311" t="s">
        <v>1</v>
      </c>
      <c r="D101" s="311" t="s">
        <v>1</v>
      </c>
      <c r="E101" s="311" t="s">
        <v>1</v>
      </c>
      <c r="F101" s="311" t="s">
        <v>1</v>
      </c>
      <c r="G101" s="311" t="s">
        <v>1</v>
      </c>
      <c r="H101" s="311" t="s">
        <v>1</v>
      </c>
      <c r="I101" s="311" t="s">
        <v>1</v>
      </c>
      <c r="J101" s="311" t="s">
        <v>1</v>
      </c>
      <c r="K101" s="311" t="s">
        <v>1</v>
      </c>
      <c r="L101" s="311" t="s">
        <v>1</v>
      </c>
      <c r="M101" s="311" t="s">
        <v>1</v>
      </c>
      <c r="N101" s="311" t="s">
        <v>1</v>
      </c>
      <c r="O101" s="311" t="s">
        <v>1</v>
      </c>
      <c r="P101" s="311">
        <v>8.0000000000000002E-3</v>
      </c>
      <c r="Q101" s="311" t="s">
        <v>1</v>
      </c>
      <c r="R101" s="311" t="s">
        <v>1</v>
      </c>
      <c r="S101" s="311" t="s">
        <v>1</v>
      </c>
      <c r="T101" s="311">
        <v>0.26</v>
      </c>
      <c r="U101" s="311">
        <v>0.14799999999999999</v>
      </c>
      <c r="V101" s="311">
        <v>6.8000000000000005E-2</v>
      </c>
      <c r="W101" s="311">
        <v>2.8000000000000001E-2</v>
      </c>
      <c r="X101" s="311">
        <v>0.06</v>
      </c>
      <c r="Y101" s="311">
        <v>0.7</v>
      </c>
      <c r="Z101" s="311">
        <v>0.66700000000000004</v>
      </c>
      <c r="AA101" s="311">
        <v>0.45</v>
      </c>
      <c r="AB101" s="311">
        <v>0.40300000000000002</v>
      </c>
      <c r="AC101" s="311">
        <v>0.28000000000000003</v>
      </c>
      <c r="AD101" s="1052">
        <v>0.187</v>
      </c>
      <c r="AE101" s="1036">
        <v>0.2</v>
      </c>
      <c r="AF101" s="1006">
        <v>0.2</v>
      </c>
      <c r="AG101" s="1053">
        <v>0.2</v>
      </c>
      <c r="AH101" s="3">
        <v>0.252</v>
      </c>
      <c r="AI101" s="311">
        <v>0.2</v>
      </c>
      <c r="AJ101" s="3">
        <v>0.2</v>
      </c>
      <c r="AK101" s="1053">
        <v>0.1</v>
      </c>
      <c r="AL101" s="1053">
        <v>0.1</v>
      </c>
      <c r="AM101" s="1053">
        <v>0.1</v>
      </c>
      <c r="AN101" s="1053">
        <v>0.108</v>
      </c>
      <c r="AO101" s="1053">
        <v>0.1</v>
      </c>
      <c r="AP101" s="1068">
        <v>0.2</v>
      </c>
      <c r="AQ101" s="1053">
        <v>0.1</v>
      </c>
      <c r="AR101" s="1095">
        <v>0.1</v>
      </c>
    </row>
    <row r="102" spans="1:44" s="11" customFormat="1">
      <c r="A102" s="1023" t="s">
        <v>366</v>
      </c>
      <c r="B102" s="4"/>
      <c r="C102" s="311"/>
      <c r="D102" s="311"/>
      <c r="E102" s="311"/>
      <c r="F102" s="311"/>
      <c r="G102" s="311"/>
      <c r="H102" s="311"/>
      <c r="I102" s="311"/>
      <c r="J102" s="311"/>
      <c r="K102" s="311"/>
      <c r="L102" s="311"/>
      <c r="M102" s="311"/>
      <c r="N102" s="311"/>
      <c r="O102" s="311"/>
      <c r="P102" s="311"/>
      <c r="Q102" s="311"/>
      <c r="R102" s="311"/>
      <c r="S102" s="311"/>
      <c r="T102" s="311"/>
      <c r="U102" s="311"/>
      <c r="V102" s="311"/>
      <c r="W102" s="311"/>
      <c r="X102" s="311"/>
      <c r="Y102" s="311"/>
      <c r="Z102" s="311"/>
      <c r="AA102" s="311"/>
      <c r="AB102" s="311"/>
      <c r="AC102" s="311"/>
      <c r="AD102" s="1052"/>
      <c r="AE102" s="4"/>
      <c r="AF102" s="1006"/>
      <c r="AG102" s="1006"/>
      <c r="AH102" s="4"/>
      <c r="AI102" s="4"/>
      <c r="AJ102" s="4"/>
      <c r="AK102" s="4"/>
      <c r="AL102" s="4"/>
      <c r="AM102" s="4"/>
      <c r="AN102" s="4"/>
      <c r="AO102" s="4"/>
      <c r="AP102" s="242"/>
      <c r="AQ102" s="4"/>
      <c r="AR102" s="811"/>
    </row>
    <row r="103" spans="1:44" s="11" customFormat="1">
      <c r="A103" s="993" t="s">
        <v>108</v>
      </c>
      <c r="B103" s="4"/>
      <c r="C103" s="311">
        <v>2.2999999999999998</v>
      </c>
      <c r="D103" s="311">
        <v>2.7</v>
      </c>
      <c r="E103" s="311">
        <v>1.9</v>
      </c>
      <c r="F103" s="311">
        <v>1.8</v>
      </c>
      <c r="G103" s="311">
        <v>1.3</v>
      </c>
      <c r="H103" s="311">
        <v>1</v>
      </c>
      <c r="I103" s="311">
        <v>1.2</v>
      </c>
      <c r="J103" s="311">
        <v>1.1000000000000001</v>
      </c>
      <c r="K103" s="311">
        <v>2.8</v>
      </c>
      <c r="L103" s="311">
        <v>2.9</v>
      </c>
      <c r="M103" s="311">
        <v>3</v>
      </c>
      <c r="N103" s="311">
        <v>1.6</v>
      </c>
      <c r="O103" s="311">
        <v>1.9</v>
      </c>
      <c r="P103" s="311">
        <v>1.9</v>
      </c>
      <c r="Q103" s="311">
        <v>1.4</v>
      </c>
      <c r="R103" s="311">
        <v>1.4</v>
      </c>
      <c r="S103" s="311">
        <v>0.7</v>
      </c>
      <c r="T103" s="311">
        <v>0.6</v>
      </c>
      <c r="U103" s="311">
        <v>0.3</v>
      </c>
      <c r="V103" s="311">
        <v>0.2</v>
      </c>
      <c r="W103" s="311">
        <v>0.2</v>
      </c>
      <c r="X103" s="311">
        <v>0.4</v>
      </c>
      <c r="Y103" s="311">
        <v>2.2000000000000002</v>
      </c>
      <c r="Z103" s="311">
        <v>0.4</v>
      </c>
      <c r="AA103" s="311">
        <v>0.2</v>
      </c>
      <c r="AB103" s="311">
        <v>0.4</v>
      </c>
      <c r="AC103" s="311">
        <v>0.189</v>
      </c>
      <c r="AD103" s="1052">
        <v>0.33</v>
      </c>
      <c r="AE103" s="1036">
        <v>0.3</v>
      </c>
      <c r="AF103" s="1006">
        <v>0.2</v>
      </c>
      <c r="AG103" s="1053">
        <v>0.2</v>
      </c>
      <c r="AH103" s="3">
        <v>0.26200000000000001</v>
      </c>
      <c r="AI103" s="311">
        <v>0.1</v>
      </c>
      <c r="AJ103" s="3">
        <v>0.1</v>
      </c>
      <c r="AK103" s="3">
        <v>0.1</v>
      </c>
      <c r="AL103" s="3">
        <v>0.1</v>
      </c>
      <c r="AM103" s="3">
        <v>0.1</v>
      </c>
      <c r="AN103" s="3">
        <v>0.13100000000000001</v>
      </c>
      <c r="AO103" s="3">
        <v>0.1</v>
      </c>
      <c r="AP103" s="1064">
        <v>0.1</v>
      </c>
      <c r="AQ103" s="3">
        <v>0.1</v>
      </c>
      <c r="AR103" s="817">
        <v>0.1</v>
      </c>
    </row>
    <row r="104" spans="1:44" s="11" customFormat="1">
      <c r="A104" s="995" t="s">
        <v>109</v>
      </c>
      <c r="B104" s="4"/>
      <c r="C104" s="311" t="s">
        <v>1</v>
      </c>
      <c r="D104" s="311" t="s">
        <v>1</v>
      </c>
      <c r="E104" s="311" t="s">
        <v>1</v>
      </c>
      <c r="F104" s="311" t="s">
        <v>1</v>
      </c>
      <c r="G104" s="311" t="s">
        <v>1</v>
      </c>
      <c r="H104" s="311" t="s">
        <v>1</v>
      </c>
      <c r="I104" s="311" t="s">
        <v>1</v>
      </c>
      <c r="J104" s="311" t="s">
        <v>1</v>
      </c>
      <c r="K104" s="311" t="s">
        <v>1</v>
      </c>
      <c r="L104" s="311" t="s">
        <v>1</v>
      </c>
      <c r="M104" s="311" t="s">
        <v>1</v>
      </c>
      <c r="N104" s="311" t="s">
        <v>1</v>
      </c>
      <c r="O104" s="311" t="s">
        <v>1</v>
      </c>
      <c r="P104" s="311" t="s">
        <v>1</v>
      </c>
      <c r="Q104" s="311" t="s">
        <v>1</v>
      </c>
      <c r="R104" s="311" t="s">
        <v>1</v>
      </c>
      <c r="S104" s="311" t="s">
        <v>1</v>
      </c>
      <c r="T104" s="311">
        <v>7.5999999999999998E-2</v>
      </c>
      <c r="U104" s="311" t="s">
        <v>1</v>
      </c>
      <c r="V104" s="311" t="s">
        <v>1</v>
      </c>
      <c r="W104" s="311" t="s">
        <v>1</v>
      </c>
      <c r="X104" s="311" t="s">
        <v>1</v>
      </c>
      <c r="Y104" s="311" t="s">
        <v>1</v>
      </c>
      <c r="Z104" s="311" t="s">
        <v>1</v>
      </c>
      <c r="AA104" s="311" t="s">
        <v>1</v>
      </c>
      <c r="AB104" s="311" t="s">
        <v>1</v>
      </c>
      <c r="AC104" s="311" t="s">
        <v>1</v>
      </c>
      <c r="AD104" s="1048" t="s">
        <v>1</v>
      </c>
      <c r="AE104" s="1036" t="s">
        <v>1</v>
      </c>
      <c r="AF104" s="1006" t="s">
        <v>1</v>
      </c>
      <c r="AG104" s="1006" t="s">
        <v>1</v>
      </c>
      <c r="AH104" s="1039" t="s">
        <v>1</v>
      </c>
      <c r="AI104" s="1039" t="s">
        <v>1</v>
      </c>
      <c r="AJ104" s="1039" t="s">
        <v>1</v>
      </c>
      <c r="AK104" s="1039" t="s">
        <v>1</v>
      </c>
      <c r="AL104" s="1039" t="s">
        <v>1</v>
      </c>
      <c r="AM104" s="1039" t="s">
        <v>1</v>
      </c>
      <c r="AN104" s="1039" t="s">
        <v>1</v>
      </c>
      <c r="AO104" s="1039" t="s">
        <v>1</v>
      </c>
      <c r="AP104" s="1067" t="s">
        <v>1</v>
      </c>
      <c r="AQ104" s="1039" t="s">
        <v>1</v>
      </c>
      <c r="AR104" s="1094" t="s">
        <v>1</v>
      </c>
    </row>
    <row r="105" spans="1:44" s="11" customFormat="1">
      <c r="A105" s="995" t="s">
        <v>135</v>
      </c>
      <c r="B105" s="4"/>
      <c r="C105" s="311" t="s">
        <v>1</v>
      </c>
      <c r="D105" s="311" t="s">
        <v>1</v>
      </c>
      <c r="E105" s="311" t="s">
        <v>1</v>
      </c>
      <c r="F105" s="311" t="s">
        <v>1</v>
      </c>
      <c r="G105" s="311" t="s">
        <v>1</v>
      </c>
      <c r="H105" s="311" t="s">
        <v>1</v>
      </c>
      <c r="I105" s="311" t="s">
        <v>1</v>
      </c>
      <c r="J105" s="311" t="s">
        <v>1</v>
      </c>
      <c r="K105" s="311" t="s">
        <v>1</v>
      </c>
      <c r="L105" s="311" t="s">
        <v>1</v>
      </c>
      <c r="M105" s="311" t="s">
        <v>1</v>
      </c>
      <c r="N105" s="311" t="s">
        <v>1</v>
      </c>
      <c r="O105" s="311" t="s">
        <v>1</v>
      </c>
      <c r="P105" s="311" t="s">
        <v>1</v>
      </c>
      <c r="Q105" s="311" t="s">
        <v>1</v>
      </c>
      <c r="R105" s="311" t="s">
        <v>1</v>
      </c>
      <c r="S105" s="311" t="s">
        <v>1</v>
      </c>
      <c r="T105" s="311" t="s">
        <v>1</v>
      </c>
      <c r="U105" s="311">
        <v>0.17</v>
      </c>
      <c r="V105" s="311">
        <v>0.12</v>
      </c>
      <c r="W105" s="311">
        <v>7.1999999999999995E-2</v>
      </c>
      <c r="X105" s="311">
        <v>0.08</v>
      </c>
      <c r="Y105" s="311">
        <v>0.9</v>
      </c>
      <c r="Z105" s="311">
        <v>7.4999999999999997E-2</v>
      </c>
      <c r="AA105" s="311" t="s">
        <v>1</v>
      </c>
      <c r="AB105" s="311" t="s">
        <v>1</v>
      </c>
      <c r="AC105" s="311" t="s">
        <v>1</v>
      </c>
      <c r="AD105" s="1048" t="s">
        <v>1</v>
      </c>
      <c r="AE105" s="1036">
        <v>1E-3</v>
      </c>
      <c r="AF105" s="1006" t="s">
        <v>1</v>
      </c>
      <c r="AG105" s="1006" t="s">
        <v>1</v>
      </c>
      <c r="AH105" s="3">
        <v>1.7999999999999999E-2</v>
      </c>
      <c r="AI105" s="311">
        <v>0</v>
      </c>
      <c r="AJ105" s="3">
        <v>0</v>
      </c>
      <c r="AK105" s="1039" t="s">
        <v>1</v>
      </c>
      <c r="AL105" s="1039">
        <v>0</v>
      </c>
      <c r="AM105" s="1039" t="s">
        <v>1</v>
      </c>
      <c r="AN105" s="1039" t="s">
        <v>1</v>
      </c>
      <c r="AO105" s="1039" t="s">
        <v>1</v>
      </c>
      <c r="AP105" s="1067" t="s">
        <v>1</v>
      </c>
      <c r="AQ105" s="1039" t="s">
        <v>1</v>
      </c>
      <c r="AR105" s="1094" t="s">
        <v>1</v>
      </c>
    </row>
    <row r="106" spans="1:44" s="11" customFormat="1">
      <c r="A106" s="995" t="s">
        <v>110</v>
      </c>
      <c r="B106" s="4"/>
      <c r="C106" s="311" t="s">
        <v>1</v>
      </c>
      <c r="D106" s="311" t="s">
        <v>1</v>
      </c>
      <c r="E106" s="311" t="s">
        <v>1</v>
      </c>
      <c r="F106" s="311" t="s">
        <v>1</v>
      </c>
      <c r="G106" s="311" t="s">
        <v>1</v>
      </c>
      <c r="H106" s="311" t="s">
        <v>1</v>
      </c>
      <c r="I106" s="311" t="s">
        <v>1</v>
      </c>
      <c r="J106" s="311" t="s">
        <v>1</v>
      </c>
      <c r="K106" s="311" t="s">
        <v>1</v>
      </c>
      <c r="L106" s="311" t="s">
        <v>1</v>
      </c>
      <c r="M106" s="311" t="s">
        <v>1</v>
      </c>
      <c r="N106" s="311" t="s">
        <v>1</v>
      </c>
      <c r="O106" s="311" t="s">
        <v>1</v>
      </c>
      <c r="P106" s="311">
        <v>0.43099999999999999</v>
      </c>
      <c r="Q106" s="311">
        <v>0.56699999999999995</v>
      </c>
      <c r="R106" s="311">
        <v>0.38800000000000001</v>
      </c>
      <c r="S106" s="311" t="s">
        <v>1</v>
      </c>
      <c r="T106" s="311">
        <v>0.193</v>
      </c>
      <c r="U106" s="311">
        <v>0.01</v>
      </c>
      <c r="V106" s="311" t="s">
        <v>1</v>
      </c>
      <c r="W106" s="311" t="s">
        <v>1</v>
      </c>
      <c r="X106" s="311" t="s">
        <v>1</v>
      </c>
      <c r="Y106" s="311" t="s">
        <v>1</v>
      </c>
      <c r="Z106" s="311" t="s">
        <v>1</v>
      </c>
      <c r="AA106" s="311" t="s">
        <v>1</v>
      </c>
      <c r="AB106" s="311" t="s">
        <v>1</v>
      </c>
      <c r="AC106" s="311" t="s">
        <v>1</v>
      </c>
      <c r="AD106" s="1048" t="s">
        <v>1</v>
      </c>
      <c r="AE106" s="1036" t="s">
        <v>1</v>
      </c>
      <c r="AF106" s="1006" t="s">
        <v>1</v>
      </c>
      <c r="AG106" s="1006" t="s">
        <v>1</v>
      </c>
      <c r="AH106" s="1039" t="s">
        <v>1</v>
      </c>
      <c r="AI106" s="1039" t="s">
        <v>1</v>
      </c>
      <c r="AJ106" s="1039" t="s">
        <v>1</v>
      </c>
      <c r="AK106" s="1039" t="s">
        <v>1</v>
      </c>
      <c r="AL106" s="1039" t="s">
        <v>1</v>
      </c>
      <c r="AM106" s="1039" t="s">
        <v>1</v>
      </c>
      <c r="AN106" s="1039" t="s">
        <v>1</v>
      </c>
      <c r="AO106" s="1039" t="s">
        <v>1</v>
      </c>
      <c r="AP106" s="1067" t="s">
        <v>1</v>
      </c>
      <c r="AQ106" s="1039" t="s">
        <v>1</v>
      </c>
      <c r="AR106" s="1094" t="s">
        <v>1</v>
      </c>
    </row>
    <row r="107" spans="1:44" s="11" customFormat="1">
      <c r="A107" s="995" t="s">
        <v>111</v>
      </c>
      <c r="B107" s="4"/>
      <c r="C107" s="311" t="s">
        <v>1</v>
      </c>
      <c r="D107" s="311" t="s">
        <v>1</v>
      </c>
      <c r="E107" s="311" t="s">
        <v>1</v>
      </c>
      <c r="F107" s="311" t="s">
        <v>1</v>
      </c>
      <c r="G107" s="311" t="s">
        <v>1</v>
      </c>
      <c r="H107" s="311" t="s">
        <v>1</v>
      </c>
      <c r="I107" s="311" t="s">
        <v>1</v>
      </c>
      <c r="J107" s="311" t="s">
        <v>1</v>
      </c>
      <c r="K107" s="311" t="s">
        <v>1</v>
      </c>
      <c r="L107" s="311" t="s">
        <v>1</v>
      </c>
      <c r="M107" s="311" t="s">
        <v>1</v>
      </c>
      <c r="N107" s="311" t="s">
        <v>1</v>
      </c>
      <c r="O107" s="311" t="s">
        <v>1</v>
      </c>
      <c r="P107" s="311" t="s">
        <v>1</v>
      </c>
      <c r="Q107" s="311" t="s">
        <v>1</v>
      </c>
      <c r="R107" s="311" t="s">
        <v>1</v>
      </c>
      <c r="S107" s="311" t="s">
        <v>1</v>
      </c>
      <c r="T107" s="311" t="s">
        <v>1</v>
      </c>
      <c r="U107" s="311" t="s">
        <v>1</v>
      </c>
      <c r="V107" s="311" t="s">
        <v>1</v>
      </c>
      <c r="W107" s="311" t="s">
        <v>1</v>
      </c>
      <c r="X107" s="311" t="s">
        <v>1</v>
      </c>
      <c r="Y107" s="311" t="s">
        <v>1</v>
      </c>
      <c r="Z107" s="311" t="s">
        <v>1</v>
      </c>
      <c r="AA107" s="311" t="s">
        <v>1</v>
      </c>
      <c r="AB107" s="311" t="s">
        <v>1</v>
      </c>
      <c r="AC107" s="311" t="s">
        <v>1</v>
      </c>
      <c r="AD107" s="1048" t="s">
        <v>1</v>
      </c>
      <c r="AE107" s="1036" t="s">
        <v>1</v>
      </c>
      <c r="AF107" s="1006" t="s">
        <v>1</v>
      </c>
      <c r="AG107" s="1006" t="s">
        <v>1</v>
      </c>
      <c r="AH107" s="3">
        <v>0.01</v>
      </c>
      <c r="AI107" s="311">
        <v>0</v>
      </c>
      <c r="AJ107" s="3">
        <v>0</v>
      </c>
      <c r="AK107" s="1039" t="s">
        <v>1</v>
      </c>
      <c r="AL107" s="1039">
        <v>0</v>
      </c>
      <c r="AM107" s="1039" t="s">
        <v>1</v>
      </c>
      <c r="AN107" s="1039" t="s">
        <v>1</v>
      </c>
      <c r="AO107" s="1039" t="s">
        <v>1</v>
      </c>
      <c r="AP107" s="1067" t="s">
        <v>1</v>
      </c>
      <c r="AQ107" s="1039" t="s">
        <v>1</v>
      </c>
      <c r="AR107" s="1094" t="s">
        <v>1</v>
      </c>
    </row>
    <row r="108" spans="1:44" s="11" customFormat="1">
      <c r="A108" s="995" t="s">
        <v>388</v>
      </c>
      <c r="B108" s="4"/>
      <c r="C108" s="311" t="s">
        <v>1</v>
      </c>
      <c r="D108" s="311" t="s">
        <v>1</v>
      </c>
      <c r="E108" s="311" t="s">
        <v>1</v>
      </c>
      <c r="F108" s="311" t="s">
        <v>1</v>
      </c>
      <c r="G108" s="311" t="s">
        <v>1</v>
      </c>
      <c r="H108" s="311" t="s">
        <v>1</v>
      </c>
      <c r="I108" s="311" t="s">
        <v>1</v>
      </c>
      <c r="J108" s="311" t="s">
        <v>1</v>
      </c>
      <c r="K108" s="311" t="s">
        <v>1</v>
      </c>
      <c r="L108" s="311" t="s">
        <v>1</v>
      </c>
      <c r="M108" s="311" t="s">
        <v>1</v>
      </c>
      <c r="N108" s="311" t="s">
        <v>1</v>
      </c>
      <c r="O108" s="311" t="s">
        <v>1</v>
      </c>
      <c r="P108" s="311" t="s">
        <v>1</v>
      </c>
      <c r="Q108" s="311" t="s">
        <v>1</v>
      </c>
      <c r="R108" s="311" t="s">
        <v>1</v>
      </c>
      <c r="S108" s="311" t="s">
        <v>1</v>
      </c>
      <c r="T108" s="311">
        <v>7.0000000000000007E-2</v>
      </c>
      <c r="U108" s="311">
        <v>3.6999999999999998E-2</v>
      </c>
      <c r="V108" s="311">
        <v>4.0000000000000001E-3</v>
      </c>
      <c r="W108" s="311">
        <v>8.9999999999999993E-3</v>
      </c>
      <c r="X108" s="311">
        <v>1.0999999999999999E-2</v>
      </c>
      <c r="Y108" s="311">
        <v>1.2</v>
      </c>
      <c r="Z108" s="311">
        <v>0.01</v>
      </c>
      <c r="AA108" s="311" t="s">
        <v>1</v>
      </c>
      <c r="AB108" s="311" t="s">
        <v>1</v>
      </c>
      <c r="AC108" s="311" t="s">
        <v>1</v>
      </c>
      <c r="AD108" s="1048" t="s">
        <v>1</v>
      </c>
      <c r="AE108" s="1036" t="s">
        <v>1</v>
      </c>
      <c r="AF108" s="1006" t="s">
        <v>1</v>
      </c>
      <c r="AG108" s="1039" t="s">
        <v>1</v>
      </c>
      <c r="AH108" s="1039" t="s">
        <v>1</v>
      </c>
      <c r="AI108" s="1039" t="s">
        <v>1</v>
      </c>
      <c r="AJ108" s="1039" t="s">
        <v>1</v>
      </c>
      <c r="AK108" s="1039">
        <v>0</v>
      </c>
      <c r="AL108" s="1039">
        <v>0</v>
      </c>
      <c r="AM108" s="1039">
        <v>0</v>
      </c>
      <c r="AN108" s="1039">
        <v>0.04</v>
      </c>
      <c r="AO108" s="1039">
        <v>0</v>
      </c>
      <c r="AP108" s="1067">
        <v>0</v>
      </c>
      <c r="AQ108" s="1039">
        <v>0</v>
      </c>
      <c r="AR108" s="1094">
        <v>0</v>
      </c>
    </row>
    <row r="109" spans="1:44" s="11" customFormat="1">
      <c r="A109" s="995" t="s">
        <v>136</v>
      </c>
      <c r="B109" s="4"/>
      <c r="C109" s="311" t="s">
        <v>1</v>
      </c>
      <c r="D109" s="311" t="s">
        <v>1</v>
      </c>
      <c r="E109" s="311" t="s">
        <v>1</v>
      </c>
      <c r="F109" s="311" t="s">
        <v>1</v>
      </c>
      <c r="G109" s="311" t="s">
        <v>1</v>
      </c>
      <c r="H109" s="311" t="s">
        <v>1</v>
      </c>
      <c r="I109" s="311" t="s">
        <v>1</v>
      </c>
      <c r="J109" s="311" t="s">
        <v>1</v>
      </c>
      <c r="K109" s="311" t="s">
        <v>1</v>
      </c>
      <c r="L109" s="311" t="s">
        <v>1</v>
      </c>
      <c r="M109" s="311" t="s">
        <v>1</v>
      </c>
      <c r="N109" s="311" t="s">
        <v>1</v>
      </c>
      <c r="O109" s="311" t="s">
        <v>1</v>
      </c>
      <c r="P109" s="311">
        <v>1.1910000000000001</v>
      </c>
      <c r="Q109" s="311">
        <v>0.755</v>
      </c>
      <c r="R109" s="311">
        <v>0.73399999999999999</v>
      </c>
      <c r="S109" s="311">
        <v>0.66300000000000003</v>
      </c>
      <c r="T109" s="311">
        <v>0.254</v>
      </c>
      <c r="U109" s="311">
        <v>7.2999999999999995E-2</v>
      </c>
      <c r="V109" s="311">
        <v>0.04</v>
      </c>
      <c r="W109" s="311">
        <v>0.106</v>
      </c>
      <c r="X109" s="311">
        <v>0.20399999999999999</v>
      </c>
      <c r="Y109" s="311">
        <v>0.1</v>
      </c>
      <c r="Z109" s="311">
        <v>0.182</v>
      </c>
      <c r="AA109" s="311">
        <v>0.115</v>
      </c>
      <c r="AB109" s="311">
        <v>0.192</v>
      </c>
      <c r="AC109" s="311">
        <v>0.16</v>
      </c>
      <c r="AD109" s="1052">
        <v>0.32900000000000001</v>
      </c>
      <c r="AE109" s="1036">
        <v>0.2</v>
      </c>
      <c r="AF109" s="1039">
        <v>0.2</v>
      </c>
      <c r="AG109" s="1053">
        <v>0.2</v>
      </c>
      <c r="AH109" s="3">
        <v>0.23100000000000001</v>
      </c>
      <c r="AI109" s="311">
        <v>0.1</v>
      </c>
      <c r="AJ109" s="3">
        <v>0.1</v>
      </c>
      <c r="AK109" s="3">
        <v>0.1</v>
      </c>
      <c r="AL109" s="3">
        <v>0.1</v>
      </c>
      <c r="AM109" s="3">
        <v>0.1</v>
      </c>
      <c r="AN109" s="3">
        <v>9.0999999999999998E-2</v>
      </c>
      <c r="AO109" s="3">
        <v>0.1</v>
      </c>
      <c r="AP109" s="404">
        <v>0.1</v>
      </c>
      <c r="AQ109" s="3">
        <v>0.1</v>
      </c>
      <c r="AR109" s="783">
        <v>0.1</v>
      </c>
    </row>
    <row r="110" spans="1:44" s="11" customFormat="1">
      <c r="A110" s="995" t="s">
        <v>112</v>
      </c>
      <c r="B110" s="4"/>
      <c r="C110" s="311" t="s">
        <v>1</v>
      </c>
      <c r="D110" s="311" t="s">
        <v>1</v>
      </c>
      <c r="E110" s="311" t="s">
        <v>1</v>
      </c>
      <c r="F110" s="311" t="s">
        <v>1</v>
      </c>
      <c r="G110" s="311" t="s">
        <v>1</v>
      </c>
      <c r="H110" s="311" t="s">
        <v>1</v>
      </c>
      <c r="I110" s="311" t="s">
        <v>1</v>
      </c>
      <c r="J110" s="311" t="s">
        <v>1</v>
      </c>
      <c r="K110" s="311" t="s">
        <v>1</v>
      </c>
      <c r="L110" s="311" t="s">
        <v>1</v>
      </c>
      <c r="M110" s="311" t="s">
        <v>1</v>
      </c>
      <c r="N110" s="311" t="s">
        <v>1</v>
      </c>
      <c r="O110" s="311" t="s">
        <v>1</v>
      </c>
      <c r="P110" s="311" t="s">
        <v>1</v>
      </c>
      <c r="Q110" s="311" t="s">
        <v>1</v>
      </c>
      <c r="R110" s="311" t="s">
        <v>1</v>
      </c>
      <c r="S110" s="311" t="s">
        <v>1</v>
      </c>
      <c r="T110" s="311" t="s">
        <v>1</v>
      </c>
      <c r="U110" s="311" t="s">
        <v>1</v>
      </c>
      <c r="V110" s="311" t="s">
        <v>1</v>
      </c>
      <c r="W110" s="311" t="s">
        <v>1</v>
      </c>
      <c r="X110" s="311" t="s">
        <v>1</v>
      </c>
      <c r="Y110" s="311" t="s">
        <v>1</v>
      </c>
      <c r="Z110" s="311">
        <v>2.1000000000000001E-2</v>
      </c>
      <c r="AA110" s="311">
        <v>0.01</v>
      </c>
      <c r="AB110" s="311">
        <v>1.0999999999999999E-2</v>
      </c>
      <c r="AC110" s="311">
        <v>1.0999999999999999E-2</v>
      </c>
      <c r="AD110" s="1052">
        <v>1E-3</v>
      </c>
      <c r="AE110" s="1036">
        <v>0.1</v>
      </c>
      <c r="AF110" s="1039">
        <v>0</v>
      </c>
      <c r="AG110" s="1039" t="s">
        <v>1</v>
      </c>
      <c r="AH110" s="3">
        <v>3.0000000000000001E-3</v>
      </c>
      <c r="AI110" s="311">
        <v>0</v>
      </c>
      <c r="AJ110" s="3">
        <v>0</v>
      </c>
      <c r="AK110" s="1039" t="s">
        <v>1</v>
      </c>
      <c r="AL110" s="1039">
        <v>0</v>
      </c>
      <c r="AM110" s="1039" t="s">
        <v>1</v>
      </c>
      <c r="AN110" s="1039" t="s">
        <v>1</v>
      </c>
      <c r="AO110" s="1039" t="s">
        <v>1</v>
      </c>
      <c r="AP110" s="1067" t="s">
        <v>1</v>
      </c>
      <c r="AQ110" s="1039" t="s">
        <v>1</v>
      </c>
      <c r="AR110" s="1094" t="s">
        <v>1</v>
      </c>
    </row>
    <row r="111" spans="1:44" s="11" customFormat="1">
      <c r="A111" s="995" t="s">
        <v>113</v>
      </c>
      <c r="B111" s="4"/>
      <c r="C111" s="311" t="s">
        <v>1</v>
      </c>
      <c r="D111" s="311" t="s">
        <v>1</v>
      </c>
      <c r="E111" s="311" t="s">
        <v>1</v>
      </c>
      <c r="F111" s="311" t="s">
        <v>1</v>
      </c>
      <c r="G111" s="311" t="s">
        <v>1</v>
      </c>
      <c r="H111" s="311" t="s">
        <v>1</v>
      </c>
      <c r="I111" s="311" t="s">
        <v>1</v>
      </c>
      <c r="J111" s="311" t="s">
        <v>1</v>
      </c>
      <c r="K111" s="311" t="s">
        <v>1</v>
      </c>
      <c r="L111" s="311" t="s">
        <v>1</v>
      </c>
      <c r="M111" s="311" t="s">
        <v>1</v>
      </c>
      <c r="N111" s="311" t="s">
        <v>1</v>
      </c>
      <c r="O111" s="311" t="s">
        <v>1</v>
      </c>
      <c r="P111" s="311">
        <v>0.27800000000000002</v>
      </c>
      <c r="Q111" s="311">
        <v>4.7E-2</v>
      </c>
      <c r="R111" s="311" t="s">
        <v>1</v>
      </c>
      <c r="S111" s="311" t="s">
        <v>1</v>
      </c>
      <c r="T111" s="311">
        <v>2.3E-2</v>
      </c>
      <c r="U111" s="311">
        <v>2.5000000000000001E-2</v>
      </c>
      <c r="V111" s="311">
        <v>1.7999999999999999E-2</v>
      </c>
      <c r="W111" s="311">
        <v>0.02</v>
      </c>
      <c r="X111" s="311">
        <v>5.8000000000000003E-2</v>
      </c>
      <c r="Y111" s="311">
        <v>0</v>
      </c>
      <c r="Z111" s="311">
        <v>9.1999999999999998E-2</v>
      </c>
      <c r="AA111" s="311">
        <v>0.12</v>
      </c>
      <c r="AB111" s="311">
        <v>0.159</v>
      </c>
      <c r="AC111" s="311">
        <v>1.7999999999999999E-2</v>
      </c>
      <c r="AD111" s="1048" t="s">
        <v>1</v>
      </c>
      <c r="AE111" s="1036" t="s">
        <v>1</v>
      </c>
      <c r="AF111" s="1006" t="s">
        <v>1</v>
      </c>
      <c r="AG111" s="1006" t="s">
        <v>1</v>
      </c>
      <c r="AH111" s="1006" t="s">
        <v>1</v>
      </c>
      <c r="AI111" s="1006" t="s">
        <v>1</v>
      </c>
      <c r="AJ111" s="1006" t="s">
        <v>1</v>
      </c>
      <c r="AK111" s="1006" t="s">
        <v>1</v>
      </c>
      <c r="AL111" s="1006" t="s">
        <v>1</v>
      </c>
      <c r="AM111" s="1006" t="s">
        <v>1</v>
      </c>
      <c r="AN111" s="1006" t="s">
        <v>1</v>
      </c>
      <c r="AO111" s="1006" t="s">
        <v>1</v>
      </c>
      <c r="AP111" s="1066" t="s">
        <v>1</v>
      </c>
      <c r="AQ111" s="1006" t="s">
        <v>1</v>
      </c>
      <c r="AR111" s="818" t="s">
        <v>1</v>
      </c>
    </row>
    <row r="112" spans="1:44" s="11" customFormat="1">
      <c r="A112" s="1023" t="s">
        <v>367</v>
      </c>
      <c r="B112" s="4"/>
      <c r="C112" s="311"/>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1052"/>
      <c r="AE112" s="4"/>
      <c r="AF112" s="1006"/>
      <c r="AG112" s="1006"/>
      <c r="AH112" s="4"/>
      <c r="AI112" s="4"/>
      <c r="AJ112" s="4"/>
      <c r="AK112" s="4"/>
      <c r="AL112" s="4"/>
      <c r="AM112" s="4"/>
      <c r="AN112" s="4"/>
      <c r="AO112" s="4"/>
      <c r="AP112" s="242"/>
      <c r="AQ112" s="4"/>
      <c r="AR112" s="811"/>
    </row>
    <row r="113" spans="1:44" s="11" customFormat="1">
      <c r="A113" s="993" t="s">
        <v>108</v>
      </c>
      <c r="B113" s="4"/>
      <c r="C113" s="311">
        <v>0.2</v>
      </c>
      <c r="D113" s="311">
        <v>0.2</v>
      </c>
      <c r="E113" s="311">
        <v>0.1</v>
      </c>
      <c r="F113" s="311">
        <v>0.1</v>
      </c>
      <c r="G113" s="311">
        <v>0.1</v>
      </c>
      <c r="H113" s="311">
        <v>0.1</v>
      </c>
      <c r="I113" s="311">
        <v>0.1</v>
      </c>
      <c r="J113" s="311">
        <v>0.1</v>
      </c>
      <c r="K113" s="311">
        <v>0.2</v>
      </c>
      <c r="L113" s="311">
        <v>0.2</v>
      </c>
      <c r="M113" s="311">
        <v>0.2</v>
      </c>
      <c r="N113" s="311">
        <v>0.2</v>
      </c>
      <c r="O113" s="311">
        <v>0.2</v>
      </c>
      <c r="P113" s="311">
        <v>0.3</v>
      </c>
      <c r="Q113" s="311">
        <v>0.3</v>
      </c>
      <c r="R113" s="311">
        <v>0.5</v>
      </c>
      <c r="S113" s="311">
        <v>0.4</v>
      </c>
      <c r="T113" s="311">
        <v>0.4</v>
      </c>
      <c r="U113" s="311">
        <v>0.3</v>
      </c>
      <c r="V113" s="311">
        <v>0.3</v>
      </c>
      <c r="W113" s="311">
        <v>0.3</v>
      </c>
      <c r="X113" s="311">
        <v>0.3</v>
      </c>
      <c r="Y113" s="311">
        <v>0.9</v>
      </c>
      <c r="Z113" s="311">
        <v>0.9</v>
      </c>
      <c r="AA113" s="311">
        <v>0.4</v>
      </c>
      <c r="AB113" s="311">
        <v>0.8</v>
      </c>
      <c r="AC113" s="311">
        <v>0.82299999999999995</v>
      </c>
      <c r="AD113" s="1052">
        <v>0.74199999999999999</v>
      </c>
      <c r="AE113" s="1036">
        <v>0.77</v>
      </c>
      <c r="AF113" s="1006">
        <v>0.8</v>
      </c>
      <c r="AG113" s="1053">
        <v>0.9</v>
      </c>
      <c r="AH113" s="3">
        <v>1.3380000000000001</v>
      </c>
      <c r="AI113" s="311">
        <v>1.4</v>
      </c>
      <c r="AJ113" s="3">
        <v>1.1000000000000001</v>
      </c>
      <c r="AK113" s="3">
        <v>1.3</v>
      </c>
      <c r="AL113" s="3">
        <v>1.4</v>
      </c>
      <c r="AM113" s="3">
        <v>1.5</v>
      </c>
      <c r="AN113" s="3">
        <v>1.49</v>
      </c>
      <c r="AO113" s="3">
        <v>1.5</v>
      </c>
      <c r="AP113" s="1064">
        <v>1.5</v>
      </c>
      <c r="AQ113" s="3">
        <v>1.7</v>
      </c>
      <c r="AR113" s="817">
        <v>1.7</v>
      </c>
    </row>
    <row r="114" spans="1:44" s="11" customFormat="1">
      <c r="A114" s="995" t="s">
        <v>109</v>
      </c>
      <c r="B114" s="4"/>
      <c r="C114" s="311" t="s">
        <v>1</v>
      </c>
      <c r="D114" s="311" t="s">
        <v>1</v>
      </c>
      <c r="E114" s="311" t="s">
        <v>1</v>
      </c>
      <c r="F114" s="311" t="s">
        <v>1</v>
      </c>
      <c r="G114" s="311" t="s">
        <v>1</v>
      </c>
      <c r="H114" s="311" t="s">
        <v>1</v>
      </c>
      <c r="I114" s="311" t="s">
        <v>1</v>
      </c>
      <c r="J114" s="311" t="s">
        <v>1</v>
      </c>
      <c r="K114" s="311" t="s">
        <v>1</v>
      </c>
      <c r="L114" s="311" t="s">
        <v>1</v>
      </c>
      <c r="M114" s="311" t="s">
        <v>1</v>
      </c>
      <c r="N114" s="311" t="s">
        <v>1</v>
      </c>
      <c r="O114" s="311" t="s">
        <v>1</v>
      </c>
      <c r="P114" s="311" t="s">
        <v>1</v>
      </c>
      <c r="Q114" s="311" t="s">
        <v>1</v>
      </c>
      <c r="R114" s="311" t="s">
        <v>1</v>
      </c>
      <c r="S114" s="311" t="s">
        <v>1</v>
      </c>
      <c r="T114" s="311" t="s">
        <v>1</v>
      </c>
      <c r="U114" s="311" t="s">
        <v>1</v>
      </c>
      <c r="V114" s="311" t="s">
        <v>1</v>
      </c>
      <c r="W114" s="311" t="s">
        <v>1</v>
      </c>
      <c r="X114" s="311" t="s">
        <v>1</v>
      </c>
      <c r="Y114" s="311" t="s">
        <v>1</v>
      </c>
      <c r="Z114" s="311" t="s">
        <v>1</v>
      </c>
      <c r="AA114" s="311" t="s">
        <v>1</v>
      </c>
      <c r="AB114" s="311" t="s">
        <v>1</v>
      </c>
      <c r="AC114" s="311" t="s">
        <v>1</v>
      </c>
      <c r="AD114" s="1048" t="s">
        <v>1</v>
      </c>
      <c r="AE114" s="1036" t="s">
        <v>1</v>
      </c>
      <c r="AF114" s="1006" t="s">
        <v>1</v>
      </c>
      <c r="AG114" s="1006" t="s">
        <v>1</v>
      </c>
      <c r="AH114" s="1039" t="s">
        <v>1</v>
      </c>
      <c r="AI114" s="1039" t="s">
        <v>1</v>
      </c>
      <c r="AJ114" s="1039" t="s">
        <v>1</v>
      </c>
      <c r="AK114" s="1039" t="s">
        <v>1</v>
      </c>
      <c r="AL114" s="1039" t="s">
        <v>1</v>
      </c>
      <c r="AM114" s="1039" t="s">
        <v>1</v>
      </c>
      <c r="AN114" s="1039" t="s">
        <v>1</v>
      </c>
      <c r="AO114" s="1039" t="s">
        <v>1</v>
      </c>
      <c r="AP114" s="1067" t="s">
        <v>1</v>
      </c>
      <c r="AQ114" s="1039" t="s">
        <v>1</v>
      </c>
      <c r="AR114" s="1094" t="s">
        <v>1</v>
      </c>
    </row>
    <row r="115" spans="1:44" s="11" customFormat="1">
      <c r="A115" s="995" t="s">
        <v>135</v>
      </c>
      <c r="B115" s="4"/>
      <c r="C115" s="311" t="s">
        <v>1</v>
      </c>
      <c r="D115" s="311" t="s">
        <v>1</v>
      </c>
      <c r="E115" s="311" t="s">
        <v>1</v>
      </c>
      <c r="F115" s="311" t="s">
        <v>1</v>
      </c>
      <c r="G115" s="311" t="s">
        <v>1</v>
      </c>
      <c r="H115" s="311" t="s">
        <v>1</v>
      </c>
      <c r="I115" s="311" t="s">
        <v>1</v>
      </c>
      <c r="J115" s="311" t="s">
        <v>1</v>
      </c>
      <c r="K115" s="311" t="s">
        <v>1</v>
      </c>
      <c r="L115" s="311" t="s">
        <v>1</v>
      </c>
      <c r="M115" s="311" t="s">
        <v>1</v>
      </c>
      <c r="N115" s="311" t="s">
        <v>1</v>
      </c>
      <c r="O115" s="311" t="s">
        <v>1</v>
      </c>
      <c r="P115" s="311" t="s">
        <v>1</v>
      </c>
      <c r="Q115" s="311" t="s">
        <v>1</v>
      </c>
      <c r="R115" s="311" t="s">
        <v>1</v>
      </c>
      <c r="S115" s="311" t="s">
        <v>1</v>
      </c>
      <c r="T115" s="311" t="s">
        <v>1</v>
      </c>
      <c r="U115" s="311">
        <v>2.5000000000000001E-2</v>
      </c>
      <c r="V115" s="311">
        <v>2.8000000000000001E-2</v>
      </c>
      <c r="W115" s="311">
        <v>2.8000000000000001E-2</v>
      </c>
      <c r="X115" s="311">
        <v>3.4000000000000002E-2</v>
      </c>
      <c r="Y115" s="311">
        <v>0.1</v>
      </c>
      <c r="Z115" s="311">
        <v>0.108</v>
      </c>
      <c r="AA115" s="311">
        <v>7.5999999999999998E-2</v>
      </c>
      <c r="AB115" s="311">
        <v>0.13200000000000001</v>
      </c>
      <c r="AC115" s="311">
        <v>0.11799999999999999</v>
      </c>
      <c r="AD115" s="1052">
        <v>0.13200000000000001</v>
      </c>
      <c r="AE115" s="1036">
        <v>0.2</v>
      </c>
      <c r="AF115" s="1006">
        <v>0.2</v>
      </c>
      <c r="AG115" s="1053">
        <v>0.2</v>
      </c>
      <c r="AH115" s="3">
        <v>0.17699999999999999</v>
      </c>
      <c r="AI115" s="311">
        <v>0.2</v>
      </c>
      <c r="AJ115" s="3">
        <v>0.1</v>
      </c>
      <c r="AK115" s="3">
        <v>0.2</v>
      </c>
      <c r="AL115" s="3">
        <v>0.2</v>
      </c>
      <c r="AM115" s="3">
        <v>0.2</v>
      </c>
      <c r="AN115" s="3">
        <v>0.19400000000000001</v>
      </c>
      <c r="AO115" s="3">
        <v>0.2</v>
      </c>
      <c r="AP115" s="1064">
        <v>0.1</v>
      </c>
      <c r="AQ115" s="3">
        <v>0.2</v>
      </c>
      <c r="AR115" s="817">
        <v>0.2</v>
      </c>
    </row>
    <row r="116" spans="1:44" s="11" customFormat="1">
      <c r="A116" s="995" t="s">
        <v>110</v>
      </c>
      <c r="B116" s="4"/>
      <c r="C116" s="311" t="s">
        <v>1</v>
      </c>
      <c r="D116" s="311" t="s">
        <v>1</v>
      </c>
      <c r="E116" s="311" t="s">
        <v>1</v>
      </c>
      <c r="F116" s="311" t="s">
        <v>1</v>
      </c>
      <c r="G116" s="311" t="s">
        <v>1</v>
      </c>
      <c r="H116" s="311" t="s">
        <v>1</v>
      </c>
      <c r="I116" s="311" t="s">
        <v>1</v>
      </c>
      <c r="J116" s="311" t="s">
        <v>1</v>
      </c>
      <c r="K116" s="311" t="s">
        <v>1</v>
      </c>
      <c r="L116" s="311" t="s">
        <v>1</v>
      </c>
      <c r="M116" s="311" t="s">
        <v>1</v>
      </c>
      <c r="N116" s="311" t="s">
        <v>1</v>
      </c>
      <c r="O116" s="311" t="s">
        <v>1</v>
      </c>
      <c r="P116" s="311">
        <v>0.04</v>
      </c>
      <c r="Q116" s="311">
        <v>4.2999999999999997E-2</v>
      </c>
      <c r="R116" s="311">
        <v>4.3999999999999997E-2</v>
      </c>
      <c r="S116" s="311">
        <v>3.1E-2</v>
      </c>
      <c r="T116" s="311">
        <v>6.7000000000000004E-2</v>
      </c>
      <c r="U116" s="311" t="s">
        <v>1</v>
      </c>
      <c r="V116" s="311" t="s">
        <v>1</v>
      </c>
      <c r="W116" s="311" t="s">
        <v>1</v>
      </c>
      <c r="X116" s="311" t="s">
        <v>1</v>
      </c>
      <c r="Y116" s="311" t="s">
        <v>1</v>
      </c>
      <c r="Z116" s="311" t="s">
        <v>1</v>
      </c>
      <c r="AA116" s="311" t="s">
        <v>1</v>
      </c>
      <c r="AB116" s="311" t="s">
        <v>1</v>
      </c>
      <c r="AC116" s="311" t="s">
        <v>1</v>
      </c>
      <c r="AD116" s="1048" t="s">
        <v>1</v>
      </c>
      <c r="AE116" s="1036" t="s">
        <v>1</v>
      </c>
      <c r="AF116" s="1006" t="s">
        <v>1</v>
      </c>
      <c r="AG116" s="1006" t="s">
        <v>1</v>
      </c>
      <c r="AH116" s="1039" t="s">
        <v>1</v>
      </c>
      <c r="AI116" s="1039" t="s">
        <v>1</v>
      </c>
      <c r="AJ116" s="1039" t="s">
        <v>1</v>
      </c>
      <c r="AK116" s="1039" t="s">
        <v>1</v>
      </c>
      <c r="AL116" s="1039" t="s">
        <v>1</v>
      </c>
      <c r="AM116" s="1039" t="s">
        <v>1</v>
      </c>
      <c r="AN116" s="1039" t="s">
        <v>1</v>
      </c>
      <c r="AO116" s="1039" t="s">
        <v>1</v>
      </c>
      <c r="AP116" s="1067" t="s">
        <v>1</v>
      </c>
      <c r="AQ116" s="1039" t="s">
        <v>1</v>
      </c>
      <c r="AR116" s="1094" t="s">
        <v>1</v>
      </c>
    </row>
    <row r="117" spans="1:44" s="11" customFormat="1">
      <c r="A117" s="995" t="s">
        <v>111</v>
      </c>
      <c r="B117" s="4"/>
      <c r="C117" s="311" t="s">
        <v>1</v>
      </c>
      <c r="D117" s="311" t="s">
        <v>1</v>
      </c>
      <c r="E117" s="311" t="s">
        <v>1</v>
      </c>
      <c r="F117" s="311" t="s">
        <v>1</v>
      </c>
      <c r="G117" s="311" t="s">
        <v>1</v>
      </c>
      <c r="H117" s="311" t="s">
        <v>1</v>
      </c>
      <c r="I117" s="311" t="s">
        <v>1</v>
      </c>
      <c r="J117" s="311" t="s">
        <v>1</v>
      </c>
      <c r="K117" s="311" t="s">
        <v>1</v>
      </c>
      <c r="L117" s="311" t="s">
        <v>1</v>
      </c>
      <c r="M117" s="311" t="s">
        <v>1</v>
      </c>
      <c r="N117" s="311" t="s">
        <v>1</v>
      </c>
      <c r="O117" s="311" t="s">
        <v>1</v>
      </c>
      <c r="P117" s="311" t="s">
        <v>1</v>
      </c>
      <c r="Q117" s="311" t="s">
        <v>1</v>
      </c>
      <c r="R117" s="311" t="s">
        <v>1</v>
      </c>
      <c r="S117" s="311" t="s">
        <v>1</v>
      </c>
      <c r="T117" s="311">
        <v>1E-3</v>
      </c>
      <c r="U117" s="311">
        <v>1E-3</v>
      </c>
      <c r="V117" s="311">
        <v>1E-3</v>
      </c>
      <c r="W117" s="311">
        <v>1E-3</v>
      </c>
      <c r="X117" s="311">
        <v>1.2E-2</v>
      </c>
      <c r="Y117" s="311">
        <v>0.1</v>
      </c>
      <c r="Z117" s="311">
        <v>0.129</v>
      </c>
      <c r="AA117" s="311">
        <v>7.0999999999999994E-2</v>
      </c>
      <c r="AB117" s="311">
        <v>0.12</v>
      </c>
      <c r="AC117" s="311">
        <v>0.17899999999999999</v>
      </c>
      <c r="AD117" s="1052">
        <v>0.161</v>
      </c>
      <c r="AE117" s="1036">
        <v>0.11799999999999999</v>
      </c>
      <c r="AF117" s="1006">
        <v>0.1</v>
      </c>
      <c r="AG117" s="1053">
        <v>0.2</v>
      </c>
      <c r="AH117" s="3">
        <v>0.254</v>
      </c>
      <c r="AI117" s="311">
        <v>0.3</v>
      </c>
      <c r="AJ117" s="3">
        <v>0.2</v>
      </c>
      <c r="AK117" s="3">
        <v>0.3</v>
      </c>
      <c r="AL117" s="3">
        <v>0.4</v>
      </c>
      <c r="AM117" s="3">
        <v>0.4</v>
      </c>
      <c r="AN117" s="3">
        <v>0.38800000000000001</v>
      </c>
      <c r="AO117" s="3">
        <v>0.4</v>
      </c>
      <c r="AP117" s="1064">
        <v>0.4</v>
      </c>
      <c r="AQ117" s="3">
        <v>0.4</v>
      </c>
      <c r="AR117" s="817">
        <v>0.4</v>
      </c>
    </row>
    <row r="118" spans="1:44" s="11" customFormat="1">
      <c r="A118" s="995" t="s">
        <v>388</v>
      </c>
      <c r="B118" s="4"/>
      <c r="C118" s="311" t="s">
        <v>1</v>
      </c>
      <c r="D118" s="311" t="s">
        <v>1</v>
      </c>
      <c r="E118" s="311" t="s">
        <v>1</v>
      </c>
      <c r="F118" s="311" t="s">
        <v>1</v>
      </c>
      <c r="G118" s="311" t="s">
        <v>1</v>
      </c>
      <c r="H118" s="311" t="s">
        <v>1</v>
      </c>
      <c r="I118" s="311" t="s">
        <v>1</v>
      </c>
      <c r="J118" s="311" t="s">
        <v>1</v>
      </c>
      <c r="K118" s="311" t="s">
        <v>1</v>
      </c>
      <c r="L118" s="311" t="s">
        <v>1</v>
      </c>
      <c r="M118" s="311" t="s">
        <v>1</v>
      </c>
      <c r="N118" s="311" t="s">
        <v>1</v>
      </c>
      <c r="O118" s="311" t="s">
        <v>1</v>
      </c>
      <c r="P118" s="311" t="s">
        <v>1</v>
      </c>
      <c r="Q118" s="311" t="s">
        <v>1</v>
      </c>
      <c r="R118" s="311" t="s">
        <v>1</v>
      </c>
      <c r="S118" s="311" t="s">
        <v>1</v>
      </c>
      <c r="T118" s="311">
        <v>7.9000000000000001E-2</v>
      </c>
      <c r="U118" s="311">
        <v>7.0999999999999994E-2</v>
      </c>
      <c r="V118" s="311">
        <v>7.3999999999999996E-2</v>
      </c>
      <c r="W118" s="311">
        <v>7.8E-2</v>
      </c>
      <c r="X118" s="311">
        <v>7.8E-2</v>
      </c>
      <c r="Y118" s="311">
        <v>0.1</v>
      </c>
      <c r="Z118" s="311">
        <v>0.10100000000000001</v>
      </c>
      <c r="AA118" s="311">
        <v>0.104</v>
      </c>
      <c r="AB118" s="311">
        <v>0.189</v>
      </c>
      <c r="AC118" s="311">
        <v>0.11899999999999999</v>
      </c>
      <c r="AD118" s="1052">
        <v>8.5000000000000006E-2</v>
      </c>
      <c r="AE118" s="1036">
        <v>0.125</v>
      </c>
      <c r="AF118" s="1006">
        <v>0.1</v>
      </c>
      <c r="AG118" s="1053">
        <v>0.1</v>
      </c>
      <c r="AH118" s="3">
        <v>0.245</v>
      </c>
      <c r="AI118" s="311">
        <v>0.2</v>
      </c>
      <c r="AJ118" s="3">
        <v>0.1</v>
      </c>
      <c r="AK118" s="1039">
        <v>0</v>
      </c>
      <c r="AL118" s="1039" t="s">
        <v>1</v>
      </c>
      <c r="AM118" s="1039">
        <v>0</v>
      </c>
      <c r="AN118" s="1039">
        <v>2.8000000000000001E-2</v>
      </c>
      <c r="AO118" s="1039">
        <v>0</v>
      </c>
      <c r="AP118" s="1067">
        <v>0</v>
      </c>
      <c r="AQ118" s="1039">
        <v>0.3</v>
      </c>
      <c r="AR118" s="1094">
        <v>0.3</v>
      </c>
    </row>
    <row r="119" spans="1:44" s="11" customFormat="1">
      <c r="A119" s="995" t="s">
        <v>136</v>
      </c>
      <c r="B119" s="4"/>
      <c r="C119" s="311" t="s">
        <v>1</v>
      </c>
      <c r="D119" s="311" t="s">
        <v>1</v>
      </c>
      <c r="E119" s="311" t="s">
        <v>1</v>
      </c>
      <c r="F119" s="311" t="s">
        <v>1</v>
      </c>
      <c r="G119" s="311" t="s">
        <v>1</v>
      </c>
      <c r="H119" s="311" t="s">
        <v>1</v>
      </c>
      <c r="I119" s="311" t="s">
        <v>1</v>
      </c>
      <c r="J119" s="311" t="s">
        <v>1</v>
      </c>
      <c r="K119" s="311" t="s">
        <v>1</v>
      </c>
      <c r="L119" s="311" t="s">
        <v>1</v>
      </c>
      <c r="M119" s="311" t="s">
        <v>1</v>
      </c>
      <c r="N119" s="311" t="s">
        <v>1</v>
      </c>
      <c r="O119" s="311" t="s">
        <v>1</v>
      </c>
      <c r="P119" s="311">
        <v>0.13900000000000001</v>
      </c>
      <c r="Q119" s="311">
        <v>0.156</v>
      </c>
      <c r="R119" s="311">
        <v>0.16900000000000001</v>
      </c>
      <c r="S119" s="311">
        <v>0.26600000000000001</v>
      </c>
      <c r="T119" s="311">
        <v>0.13800000000000001</v>
      </c>
      <c r="U119" s="311">
        <v>0.113</v>
      </c>
      <c r="V119" s="311">
        <v>0.107</v>
      </c>
      <c r="W119" s="311">
        <v>0.105</v>
      </c>
      <c r="X119" s="311">
        <v>0.104</v>
      </c>
      <c r="Y119" s="311">
        <v>0.1</v>
      </c>
      <c r="Z119" s="311">
        <v>0.15</v>
      </c>
      <c r="AA119" s="311">
        <v>0.114</v>
      </c>
      <c r="AB119" s="311">
        <v>0.20499999999999999</v>
      </c>
      <c r="AC119" s="311">
        <v>0.23699999999999999</v>
      </c>
      <c r="AD119" s="1052">
        <v>0.16200000000000001</v>
      </c>
      <c r="AE119" s="1036">
        <v>0.18099999999999999</v>
      </c>
      <c r="AF119" s="1006">
        <v>0.2</v>
      </c>
      <c r="AG119" s="1053">
        <v>0.2</v>
      </c>
      <c r="AH119" s="3">
        <v>0.25800000000000001</v>
      </c>
      <c r="AI119" s="311">
        <v>0.3</v>
      </c>
      <c r="AJ119" s="3">
        <v>0.3</v>
      </c>
      <c r="AK119" s="1053">
        <v>0.4</v>
      </c>
      <c r="AL119" s="1053">
        <v>0.4</v>
      </c>
      <c r="AM119" s="1053">
        <v>0.4</v>
      </c>
      <c r="AN119" s="1053">
        <v>0.41699999999999998</v>
      </c>
      <c r="AO119" s="1053">
        <v>0.4</v>
      </c>
      <c r="AP119" s="1068">
        <v>0.4</v>
      </c>
      <c r="AQ119" s="1053">
        <v>0.4</v>
      </c>
      <c r="AR119" s="1095">
        <v>0.4</v>
      </c>
    </row>
    <row r="120" spans="1:44" s="11" customFormat="1">
      <c r="A120" s="995" t="s">
        <v>112</v>
      </c>
      <c r="B120" s="4"/>
      <c r="C120" s="311" t="s">
        <v>1</v>
      </c>
      <c r="D120" s="311" t="s">
        <v>1</v>
      </c>
      <c r="E120" s="311" t="s">
        <v>1</v>
      </c>
      <c r="F120" s="311" t="s">
        <v>1</v>
      </c>
      <c r="G120" s="311" t="s">
        <v>1</v>
      </c>
      <c r="H120" s="311" t="s">
        <v>1</v>
      </c>
      <c r="I120" s="311" t="s">
        <v>1</v>
      </c>
      <c r="J120" s="311" t="s">
        <v>1</v>
      </c>
      <c r="K120" s="311" t="s">
        <v>1</v>
      </c>
      <c r="L120" s="311" t="s">
        <v>1</v>
      </c>
      <c r="M120" s="311" t="s">
        <v>1</v>
      </c>
      <c r="N120" s="311" t="s">
        <v>1</v>
      </c>
      <c r="O120" s="311" t="s">
        <v>1</v>
      </c>
      <c r="P120" s="311" t="s">
        <v>1</v>
      </c>
      <c r="Q120" s="311" t="s">
        <v>1</v>
      </c>
      <c r="R120" s="311" t="s">
        <v>1</v>
      </c>
      <c r="S120" s="311" t="s">
        <v>1</v>
      </c>
      <c r="T120" s="311" t="s">
        <v>1</v>
      </c>
      <c r="U120" s="311" t="s">
        <v>1</v>
      </c>
      <c r="V120" s="311" t="s">
        <v>1</v>
      </c>
      <c r="W120" s="311" t="s">
        <v>1</v>
      </c>
      <c r="X120" s="311" t="s">
        <v>1</v>
      </c>
      <c r="Y120" s="311">
        <v>0.4</v>
      </c>
      <c r="Z120" s="311">
        <v>0.26800000000000002</v>
      </c>
      <c r="AA120" s="311">
        <v>2.9000000000000001E-2</v>
      </c>
      <c r="AB120" s="311">
        <v>0.128</v>
      </c>
      <c r="AC120" s="311">
        <v>0.13700000000000001</v>
      </c>
      <c r="AD120" s="1052">
        <v>0.1</v>
      </c>
      <c r="AE120" s="1036">
        <v>0.16500000000000001</v>
      </c>
      <c r="AF120" s="1006">
        <v>0.2</v>
      </c>
      <c r="AG120" s="1053">
        <v>0.2</v>
      </c>
      <c r="AH120" s="3">
        <v>0.36</v>
      </c>
      <c r="AI120" s="311">
        <v>0.4</v>
      </c>
      <c r="AJ120" s="3">
        <v>0.4</v>
      </c>
      <c r="AK120" s="1053">
        <v>0.4</v>
      </c>
      <c r="AL120" s="1053">
        <v>0.4</v>
      </c>
      <c r="AM120" s="1053">
        <v>0.5</v>
      </c>
      <c r="AN120" s="1053">
        <v>0.45</v>
      </c>
      <c r="AO120" s="1053">
        <v>0.4</v>
      </c>
      <c r="AP120" s="1068">
        <v>0.5</v>
      </c>
      <c r="AQ120" s="1053">
        <v>0.4</v>
      </c>
      <c r="AR120" s="1095">
        <v>0.4</v>
      </c>
    </row>
    <row r="121" spans="1:44" s="11" customFormat="1">
      <c r="A121" s="995" t="s">
        <v>113</v>
      </c>
      <c r="B121" s="4"/>
      <c r="C121" s="311" t="s">
        <v>1</v>
      </c>
      <c r="D121" s="311" t="s">
        <v>1</v>
      </c>
      <c r="E121" s="311" t="s">
        <v>1</v>
      </c>
      <c r="F121" s="311" t="s">
        <v>1</v>
      </c>
      <c r="G121" s="311" t="s">
        <v>1</v>
      </c>
      <c r="H121" s="311" t="s">
        <v>1</v>
      </c>
      <c r="I121" s="311" t="s">
        <v>1</v>
      </c>
      <c r="J121" s="311" t="s">
        <v>1</v>
      </c>
      <c r="K121" s="311" t="s">
        <v>1</v>
      </c>
      <c r="L121" s="311" t="s">
        <v>1</v>
      </c>
      <c r="M121" s="311" t="s">
        <v>1</v>
      </c>
      <c r="N121" s="311" t="s">
        <v>1</v>
      </c>
      <c r="O121" s="311" t="s">
        <v>1</v>
      </c>
      <c r="P121" s="311">
        <v>9.6000000000000002E-2</v>
      </c>
      <c r="Q121" s="311">
        <v>9.6000000000000002E-2</v>
      </c>
      <c r="R121" s="311">
        <v>0.107</v>
      </c>
      <c r="S121" s="311">
        <v>6.9000000000000006E-2</v>
      </c>
      <c r="T121" s="311">
        <v>0.09</v>
      </c>
      <c r="U121" s="311">
        <v>6.4000000000000001E-2</v>
      </c>
      <c r="V121" s="311">
        <v>6.5000000000000002E-2</v>
      </c>
      <c r="W121" s="311">
        <v>6.4000000000000001E-2</v>
      </c>
      <c r="X121" s="311">
        <v>6.5000000000000002E-2</v>
      </c>
      <c r="Y121" s="311">
        <v>0.1</v>
      </c>
      <c r="Z121" s="311">
        <v>0.155</v>
      </c>
      <c r="AA121" s="311">
        <v>8.0000000000000002E-3</v>
      </c>
      <c r="AB121" s="311">
        <v>3.3000000000000002E-2</v>
      </c>
      <c r="AC121" s="311">
        <v>3.3000000000000002E-2</v>
      </c>
      <c r="AD121" s="1052">
        <v>4.4999999999999998E-2</v>
      </c>
      <c r="AE121" s="1036">
        <v>0</v>
      </c>
      <c r="AF121" s="1039">
        <v>0</v>
      </c>
      <c r="AG121" s="1053">
        <v>0</v>
      </c>
      <c r="AH121" s="3">
        <v>4.3999999999999997E-2</v>
      </c>
      <c r="AI121" s="311">
        <v>0</v>
      </c>
      <c r="AJ121" s="3">
        <v>0</v>
      </c>
      <c r="AK121" s="1053">
        <v>0</v>
      </c>
      <c r="AL121" s="1053">
        <v>3.6999999999999998E-2</v>
      </c>
      <c r="AM121" s="1053">
        <v>3.6999999999999998E-2</v>
      </c>
      <c r="AN121" s="1053">
        <v>1.2999999999999999E-2</v>
      </c>
      <c r="AO121" s="1053">
        <v>3.6999999999999998E-2</v>
      </c>
      <c r="AP121" s="1068">
        <v>3.6999999999999998E-2</v>
      </c>
      <c r="AQ121" s="1053">
        <v>3.6999999999999998E-2</v>
      </c>
      <c r="AR121" s="1095">
        <v>3.6999999999999998E-2</v>
      </c>
    </row>
    <row r="122" spans="1:44" s="11" customFormat="1">
      <c r="A122" s="1023" t="s">
        <v>389</v>
      </c>
      <c r="B122" s="1046" t="s">
        <v>270</v>
      </c>
      <c r="C122" s="311"/>
      <c r="D122" s="311"/>
      <c r="E122" s="311"/>
      <c r="F122" s="311"/>
      <c r="G122" s="311"/>
      <c r="H122" s="311"/>
      <c r="I122" s="311"/>
      <c r="J122" s="311"/>
      <c r="K122" s="311"/>
      <c r="L122" s="311"/>
      <c r="M122" s="311"/>
      <c r="N122" s="311"/>
      <c r="O122" s="311"/>
      <c r="P122" s="311"/>
      <c r="Q122" s="311"/>
      <c r="R122" s="311"/>
      <c r="S122" s="311"/>
      <c r="T122" s="311"/>
      <c r="U122" s="311"/>
      <c r="V122" s="311"/>
      <c r="W122" s="311"/>
      <c r="X122" s="311"/>
      <c r="Y122" s="311"/>
      <c r="Z122" s="311"/>
      <c r="AA122" s="311"/>
      <c r="AB122" s="311"/>
      <c r="AC122" s="311"/>
      <c r="AD122" s="1052"/>
      <c r="AE122" s="4"/>
      <c r="AF122" s="1006"/>
      <c r="AG122" s="1006"/>
      <c r="AH122" s="4"/>
      <c r="AI122" s="4"/>
      <c r="AJ122" s="4"/>
      <c r="AK122" s="4"/>
      <c r="AL122" s="4"/>
      <c r="AM122" s="4"/>
      <c r="AN122" s="4"/>
      <c r="AO122" s="4"/>
      <c r="AP122" s="242"/>
      <c r="AQ122" s="4"/>
      <c r="AR122" s="811"/>
    </row>
    <row r="123" spans="1:44" s="11" customFormat="1">
      <c r="A123" s="993" t="s">
        <v>108</v>
      </c>
      <c r="B123" s="4"/>
      <c r="C123" s="311">
        <v>3.1</v>
      </c>
      <c r="D123" s="311">
        <v>3.4</v>
      </c>
      <c r="E123" s="311">
        <v>2.7</v>
      </c>
      <c r="F123" s="311">
        <v>1.7</v>
      </c>
      <c r="G123" s="311">
        <v>71.900000000000006</v>
      </c>
      <c r="H123" s="311">
        <v>56.1</v>
      </c>
      <c r="I123" s="311">
        <v>66.7</v>
      </c>
      <c r="J123" s="311">
        <v>27.8</v>
      </c>
      <c r="K123" s="311">
        <v>42.1</v>
      </c>
      <c r="L123" s="311">
        <v>48.4</v>
      </c>
      <c r="M123" s="311">
        <v>85.3</v>
      </c>
      <c r="N123" s="311">
        <v>29.2</v>
      </c>
      <c r="O123" s="311">
        <v>28</v>
      </c>
      <c r="P123" s="311">
        <v>24.5</v>
      </c>
      <c r="Q123" s="311">
        <v>23.5</v>
      </c>
      <c r="R123" s="311">
        <v>48.4</v>
      </c>
      <c r="S123" s="311">
        <v>47.8</v>
      </c>
      <c r="T123" s="311">
        <v>45</v>
      </c>
      <c r="U123" s="311">
        <v>43.7</v>
      </c>
      <c r="V123" s="311">
        <v>39.799999999999997</v>
      </c>
      <c r="W123" s="311">
        <v>34.5</v>
      </c>
      <c r="X123" s="311">
        <v>21.7</v>
      </c>
      <c r="Y123" s="311">
        <v>60.5</v>
      </c>
      <c r="Z123" s="311">
        <v>13.3</v>
      </c>
      <c r="AA123" s="311">
        <v>6</v>
      </c>
      <c r="AB123" s="311">
        <v>6</v>
      </c>
      <c r="AC123" s="311">
        <v>5.4950000000000001</v>
      </c>
      <c r="AD123" s="1052">
        <v>5.3689999999999998</v>
      </c>
      <c r="AE123" s="1036">
        <v>5.7</v>
      </c>
      <c r="AF123" s="1039">
        <v>6.9</v>
      </c>
      <c r="AG123" s="1053">
        <v>9.5</v>
      </c>
      <c r="AH123" s="3">
        <v>9.5709999999999997</v>
      </c>
      <c r="AI123" s="311">
        <v>8.6</v>
      </c>
      <c r="AJ123" s="3">
        <v>7.6</v>
      </c>
      <c r="AK123" s="3">
        <v>6.8</v>
      </c>
      <c r="AL123" s="3">
        <v>6.7</v>
      </c>
      <c r="AM123" s="3">
        <v>6.6</v>
      </c>
      <c r="AN123" s="3">
        <v>6.5369999999999999</v>
      </c>
      <c r="AO123" s="3">
        <v>6.5</v>
      </c>
      <c r="AP123" s="1064">
        <v>6.4</v>
      </c>
      <c r="AQ123" s="3">
        <v>6.3</v>
      </c>
      <c r="AR123" s="817">
        <v>6.3</v>
      </c>
    </row>
    <row r="124" spans="1:44" s="11" customFormat="1">
      <c r="A124" s="995" t="s">
        <v>109</v>
      </c>
      <c r="B124" s="4"/>
      <c r="C124" s="311" t="s">
        <v>1</v>
      </c>
      <c r="D124" s="311" t="s">
        <v>1</v>
      </c>
      <c r="E124" s="311" t="s">
        <v>1</v>
      </c>
      <c r="F124" s="311" t="s">
        <v>1</v>
      </c>
      <c r="G124" s="311" t="s">
        <v>1</v>
      </c>
      <c r="H124" s="311" t="s">
        <v>1</v>
      </c>
      <c r="I124" s="311" t="s">
        <v>1</v>
      </c>
      <c r="J124" s="311" t="s">
        <v>1</v>
      </c>
      <c r="K124" s="311" t="s">
        <v>1</v>
      </c>
      <c r="L124" s="311" t="s">
        <v>1</v>
      </c>
      <c r="M124" s="311" t="s">
        <v>1</v>
      </c>
      <c r="N124" s="311" t="s">
        <v>1</v>
      </c>
      <c r="O124" s="311" t="s">
        <v>1</v>
      </c>
      <c r="P124" s="311" t="s">
        <v>1</v>
      </c>
      <c r="Q124" s="311" t="s">
        <v>1</v>
      </c>
      <c r="R124" s="311" t="s">
        <v>1</v>
      </c>
      <c r="S124" s="311" t="s">
        <v>1</v>
      </c>
      <c r="T124" s="311">
        <v>3.5680000000000001</v>
      </c>
      <c r="U124" s="311">
        <v>3.3839999999999999</v>
      </c>
      <c r="V124" s="311">
        <v>3.254</v>
      </c>
      <c r="W124" s="311">
        <v>3.0430000000000001</v>
      </c>
      <c r="X124" s="311">
        <v>1.609</v>
      </c>
      <c r="Y124" s="311">
        <v>0.3</v>
      </c>
      <c r="Z124" s="311">
        <v>0.5</v>
      </c>
      <c r="AA124" s="311">
        <v>0.5</v>
      </c>
      <c r="AB124" s="311">
        <v>0.49299999999999999</v>
      </c>
      <c r="AC124" s="311">
        <v>0.443</v>
      </c>
      <c r="AD124" s="1052">
        <v>0.42099999999999999</v>
      </c>
      <c r="AE124" s="1036">
        <v>0.4</v>
      </c>
      <c r="AF124" s="1039" t="s">
        <v>1</v>
      </c>
      <c r="AG124" s="1053" t="s">
        <v>1</v>
      </c>
      <c r="AH124" s="1039" t="s">
        <v>1</v>
      </c>
      <c r="AI124" s="1039" t="s">
        <v>1</v>
      </c>
      <c r="AJ124" s="1039" t="s">
        <v>1</v>
      </c>
      <c r="AK124" s="1039" t="s">
        <v>1</v>
      </c>
      <c r="AL124" s="1039" t="s">
        <v>1</v>
      </c>
      <c r="AM124" s="1039" t="s">
        <v>1</v>
      </c>
      <c r="AN124" s="1039" t="s">
        <v>1</v>
      </c>
      <c r="AO124" s="1039" t="s">
        <v>1</v>
      </c>
      <c r="AP124" s="1067" t="s">
        <v>1</v>
      </c>
      <c r="AQ124" s="1039" t="s">
        <v>1</v>
      </c>
      <c r="AR124" s="1094" t="s">
        <v>1</v>
      </c>
    </row>
    <row r="125" spans="1:44" s="11" customFormat="1">
      <c r="A125" s="995" t="s">
        <v>135</v>
      </c>
      <c r="B125" s="4"/>
      <c r="C125" s="311" t="s">
        <v>1</v>
      </c>
      <c r="D125" s="311" t="s">
        <v>1</v>
      </c>
      <c r="E125" s="311" t="s">
        <v>1</v>
      </c>
      <c r="F125" s="311" t="s">
        <v>1</v>
      </c>
      <c r="G125" s="311" t="s">
        <v>1</v>
      </c>
      <c r="H125" s="311" t="s">
        <v>1</v>
      </c>
      <c r="I125" s="311" t="s">
        <v>1</v>
      </c>
      <c r="J125" s="311" t="s">
        <v>1</v>
      </c>
      <c r="K125" s="311" t="s">
        <v>1</v>
      </c>
      <c r="L125" s="311" t="s">
        <v>1</v>
      </c>
      <c r="M125" s="311" t="s">
        <v>1</v>
      </c>
      <c r="N125" s="311" t="s">
        <v>1</v>
      </c>
      <c r="O125" s="311" t="s">
        <v>1</v>
      </c>
      <c r="P125" s="311" t="s">
        <v>1</v>
      </c>
      <c r="Q125" s="311" t="s">
        <v>1</v>
      </c>
      <c r="R125" s="311" t="s">
        <v>1</v>
      </c>
      <c r="S125" s="311" t="s">
        <v>1</v>
      </c>
      <c r="T125" s="311" t="s">
        <v>1</v>
      </c>
      <c r="U125" s="311">
        <v>7.0720000000000001</v>
      </c>
      <c r="V125" s="311">
        <v>6.319</v>
      </c>
      <c r="W125" s="311">
        <v>5.7</v>
      </c>
      <c r="X125" s="311">
        <v>2.9950000000000001</v>
      </c>
      <c r="Y125" s="311">
        <v>22.2</v>
      </c>
      <c r="Z125" s="311">
        <v>5.5229999999999997</v>
      </c>
      <c r="AA125" s="311">
        <v>0.85</v>
      </c>
      <c r="AB125" s="311">
        <v>0.84</v>
      </c>
      <c r="AC125" s="311">
        <v>0.74399999999999999</v>
      </c>
      <c r="AD125" s="1052">
        <v>0.73199999999999998</v>
      </c>
      <c r="AE125" s="1036">
        <v>1</v>
      </c>
      <c r="AF125" s="1039">
        <v>0.7</v>
      </c>
      <c r="AG125" s="1053">
        <v>1.4</v>
      </c>
      <c r="AH125" s="3">
        <v>1.157</v>
      </c>
      <c r="AI125" s="311">
        <v>1</v>
      </c>
      <c r="AJ125" s="3">
        <v>0.9</v>
      </c>
      <c r="AK125" s="1039">
        <v>0.8</v>
      </c>
      <c r="AL125" s="1039">
        <v>0.8</v>
      </c>
      <c r="AM125" s="1039">
        <v>0.8</v>
      </c>
      <c r="AN125" s="1039">
        <v>0.8</v>
      </c>
      <c r="AO125" s="1039">
        <v>0.8</v>
      </c>
      <c r="AP125" s="1067">
        <v>0.8</v>
      </c>
      <c r="AQ125" s="1039">
        <v>0.8</v>
      </c>
      <c r="AR125" s="1094">
        <v>0.8</v>
      </c>
    </row>
    <row r="126" spans="1:44" s="11" customFormat="1">
      <c r="A126" s="995" t="s">
        <v>110</v>
      </c>
      <c r="B126" s="4"/>
      <c r="C126" s="311" t="s">
        <v>1</v>
      </c>
      <c r="D126" s="311" t="s">
        <v>1</v>
      </c>
      <c r="E126" s="311" t="s">
        <v>1</v>
      </c>
      <c r="F126" s="311" t="s">
        <v>1</v>
      </c>
      <c r="G126" s="311" t="s">
        <v>1</v>
      </c>
      <c r="H126" s="311" t="s">
        <v>1</v>
      </c>
      <c r="I126" s="311" t="s">
        <v>1</v>
      </c>
      <c r="J126" s="311" t="s">
        <v>1</v>
      </c>
      <c r="K126" s="311" t="s">
        <v>1</v>
      </c>
      <c r="L126" s="311" t="s">
        <v>1</v>
      </c>
      <c r="M126" s="311" t="s">
        <v>1</v>
      </c>
      <c r="N126" s="311" t="s">
        <v>1</v>
      </c>
      <c r="O126" s="311" t="s">
        <v>1</v>
      </c>
      <c r="P126" s="311">
        <v>0.79500000000000004</v>
      </c>
      <c r="Q126" s="311">
        <v>0.91900000000000004</v>
      </c>
      <c r="R126" s="311">
        <v>0.85</v>
      </c>
      <c r="S126" s="311">
        <v>0.95899999999999996</v>
      </c>
      <c r="T126" s="311">
        <v>8.609</v>
      </c>
      <c r="U126" s="311">
        <v>1.407</v>
      </c>
      <c r="V126" s="311">
        <v>1.514</v>
      </c>
      <c r="W126" s="311">
        <v>1.147</v>
      </c>
      <c r="X126" s="311">
        <v>0.44500000000000001</v>
      </c>
      <c r="Y126" s="311">
        <v>0.1</v>
      </c>
      <c r="Z126" s="311">
        <v>0.5</v>
      </c>
      <c r="AA126" s="311">
        <v>0.5</v>
      </c>
      <c r="AB126" s="311">
        <v>0.49399999999999999</v>
      </c>
      <c r="AC126" s="311">
        <v>0.49399999999999999</v>
      </c>
      <c r="AD126" s="1052">
        <v>0.5</v>
      </c>
      <c r="AE126" s="1036">
        <v>0.45400000000000001</v>
      </c>
      <c r="AF126" s="1039">
        <v>0</v>
      </c>
      <c r="AG126" s="1053">
        <v>0.1</v>
      </c>
      <c r="AH126" s="3">
        <v>7.2999999999999995E-2</v>
      </c>
      <c r="AI126" s="311">
        <v>0</v>
      </c>
      <c r="AJ126" s="3">
        <v>0</v>
      </c>
      <c r="AK126" s="3">
        <v>0</v>
      </c>
      <c r="AL126" s="3">
        <v>3.4000000000000002E-2</v>
      </c>
      <c r="AM126" s="3">
        <v>3.4000000000000002E-2</v>
      </c>
      <c r="AN126" s="3">
        <v>7.0000000000000001E-3</v>
      </c>
      <c r="AO126" s="3">
        <v>3.4000000000000002E-2</v>
      </c>
      <c r="AP126" s="1064">
        <v>0</v>
      </c>
      <c r="AQ126" s="3" t="s">
        <v>1</v>
      </c>
      <c r="AR126" s="1094" t="s">
        <v>1</v>
      </c>
    </row>
    <row r="127" spans="1:44" s="11" customFormat="1">
      <c r="A127" s="995" t="s">
        <v>111</v>
      </c>
      <c r="B127" s="4"/>
      <c r="C127" s="311" t="s">
        <v>1</v>
      </c>
      <c r="D127" s="311" t="s">
        <v>1</v>
      </c>
      <c r="E127" s="311" t="s">
        <v>1</v>
      </c>
      <c r="F127" s="311" t="s">
        <v>1</v>
      </c>
      <c r="G127" s="311" t="s">
        <v>1</v>
      </c>
      <c r="H127" s="311" t="s">
        <v>1</v>
      </c>
      <c r="I127" s="311" t="s">
        <v>1</v>
      </c>
      <c r="J127" s="311" t="s">
        <v>1</v>
      </c>
      <c r="K127" s="311" t="s">
        <v>1</v>
      </c>
      <c r="L127" s="311" t="s">
        <v>1</v>
      </c>
      <c r="M127" s="311" t="s">
        <v>1</v>
      </c>
      <c r="N127" s="311" t="s">
        <v>1</v>
      </c>
      <c r="O127" s="311" t="s">
        <v>1</v>
      </c>
      <c r="P127" s="311" t="s">
        <v>1</v>
      </c>
      <c r="Q127" s="311" t="s">
        <v>1</v>
      </c>
      <c r="R127" s="311" t="s">
        <v>1</v>
      </c>
      <c r="S127" s="311" t="s">
        <v>1</v>
      </c>
      <c r="T127" s="311">
        <v>3.3069999999999999</v>
      </c>
      <c r="U127" s="311">
        <v>3.3279999999999998</v>
      </c>
      <c r="V127" s="311">
        <v>2.7509999999999999</v>
      </c>
      <c r="W127" s="311">
        <v>2.2010000000000001</v>
      </c>
      <c r="X127" s="311">
        <v>1.1890000000000001</v>
      </c>
      <c r="Y127" s="311">
        <v>6.7</v>
      </c>
      <c r="Z127" s="311">
        <v>1.02</v>
      </c>
      <c r="AA127" s="311">
        <v>0.88</v>
      </c>
      <c r="AB127" s="311">
        <v>0.877</v>
      </c>
      <c r="AC127" s="311">
        <v>0.87</v>
      </c>
      <c r="AD127" s="1052">
        <v>0.754</v>
      </c>
      <c r="AE127" s="1036">
        <v>0.8</v>
      </c>
      <c r="AF127" s="1039">
        <v>1</v>
      </c>
      <c r="AG127" s="1053">
        <v>1</v>
      </c>
      <c r="AH127" s="3">
        <v>0.55400000000000005</v>
      </c>
      <c r="AI127" s="311">
        <v>0.5</v>
      </c>
      <c r="AJ127" s="3">
        <v>0.4</v>
      </c>
      <c r="AK127" s="3">
        <v>0.4</v>
      </c>
      <c r="AL127" s="3">
        <v>0.435</v>
      </c>
      <c r="AM127" s="3">
        <v>0.435</v>
      </c>
      <c r="AN127" s="3">
        <v>0.372</v>
      </c>
      <c r="AO127" s="3">
        <v>0.435</v>
      </c>
      <c r="AP127" s="1064">
        <v>0.4</v>
      </c>
      <c r="AQ127" s="3">
        <v>0.4</v>
      </c>
      <c r="AR127" s="817">
        <v>0.4</v>
      </c>
    </row>
    <row r="128" spans="1:44" s="11" customFormat="1">
      <c r="A128" s="995" t="s">
        <v>388</v>
      </c>
      <c r="B128" s="4"/>
      <c r="C128" s="311" t="s">
        <v>1</v>
      </c>
      <c r="D128" s="311" t="s">
        <v>1</v>
      </c>
      <c r="E128" s="311" t="s">
        <v>1</v>
      </c>
      <c r="F128" s="311" t="s">
        <v>1</v>
      </c>
      <c r="G128" s="311" t="s">
        <v>1</v>
      </c>
      <c r="H128" s="311" t="s">
        <v>1</v>
      </c>
      <c r="I128" s="311" t="s">
        <v>1</v>
      </c>
      <c r="J128" s="311" t="s">
        <v>1</v>
      </c>
      <c r="K128" s="311" t="s">
        <v>1</v>
      </c>
      <c r="L128" s="311" t="s">
        <v>1</v>
      </c>
      <c r="M128" s="311" t="s">
        <v>1</v>
      </c>
      <c r="N128" s="311" t="s">
        <v>1</v>
      </c>
      <c r="O128" s="311" t="s">
        <v>1</v>
      </c>
      <c r="P128" s="311" t="s">
        <v>1</v>
      </c>
      <c r="Q128" s="311" t="s">
        <v>1</v>
      </c>
      <c r="R128" s="311" t="s">
        <v>1</v>
      </c>
      <c r="S128" s="311" t="s">
        <v>1</v>
      </c>
      <c r="T128" s="311">
        <v>4.5750000000000002</v>
      </c>
      <c r="U128" s="311">
        <v>4.3419999999999996</v>
      </c>
      <c r="V128" s="311">
        <v>3.5760000000000001</v>
      </c>
      <c r="W128" s="311">
        <v>2.8410000000000002</v>
      </c>
      <c r="X128" s="311">
        <v>1.7490000000000001</v>
      </c>
      <c r="Y128" s="311">
        <v>7.1</v>
      </c>
      <c r="Z128" s="311">
        <v>0.98</v>
      </c>
      <c r="AA128" s="311">
        <v>0.75</v>
      </c>
      <c r="AB128" s="311">
        <v>0.745</v>
      </c>
      <c r="AC128" s="311">
        <v>0.436</v>
      </c>
      <c r="AD128" s="1052">
        <v>0.45600000000000002</v>
      </c>
      <c r="AE128" s="1036">
        <v>0.4</v>
      </c>
      <c r="AF128" s="1039">
        <v>0.7</v>
      </c>
      <c r="AG128" s="1053">
        <v>0.8</v>
      </c>
      <c r="AH128" s="3">
        <v>2.1709999999999998</v>
      </c>
      <c r="AI128" s="311">
        <v>2</v>
      </c>
      <c r="AJ128" s="3">
        <v>1.7</v>
      </c>
      <c r="AK128" s="3">
        <v>1.6</v>
      </c>
      <c r="AL128" s="3">
        <v>1.5</v>
      </c>
      <c r="AM128" s="3">
        <v>1.5</v>
      </c>
      <c r="AN128" s="3">
        <v>1.502</v>
      </c>
      <c r="AO128" s="3">
        <v>1.5</v>
      </c>
      <c r="AP128" s="1064">
        <v>1.5</v>
      </c>
      <c r="AQ128" s="3">
        <v>1.5</v>
      </c>
      <c r="AR128" s="817">
        <v>1.4</v>
      </c>
    </row>
    <row r="129" spans="1:147" s="11" customFormat="1">
      <c r="A129" s="995" t="s">
        <v>136</v>
      </c>
      <c r="B129" s="4"/>
      <c r="C129" s="311" t="s">
        <v>1</v>
      </c>
      <c r="D129" s="311" t="s">
        <v>1</v>
      </c>
      <c r="E129" s="311" t="s">
        <v>1</v>
      </c>
      <c r="F129" s="311" t="s">
        <v>1</v>
      </c>
      <c r="G129" s="311" t="s">
        <v>1</v>
      </c>
      <c r="H129" s="311" t="s">
        <v>1</v>
      </c>
      <c r="I129" s="311" t="s">
        <v>1</v>
      </c>
      <c r="J129" s="311" t="s">
        <v>1</v>
      </c>
      <c r="K129" s="311" t="s">
        <v>1</v>
      </c>
      <c r="L129" s="311" t="s">
        <v>1</v>
      </c>
      <c r="M129" s="311" t="s">
        <v>1</v>
      </c>
      <c r="N129" s="311" t="s">
        <v>1</v>
      </c>
      <c r="O129" s="311" t="s">
        <v>1</v>
      </c>
      <c r="P129" s="311">
        <v>23.731000000000002</v>
      </c>
      <c r="Q129" s="311">
        <v>22.606999999999999</v>
      </c>
      <c r="R129" s="311">
        <v>18.382999999999999</v>
      </c>
      <c r="S129" s="311">
        <v>46.878</v>
      </c>
      <c r="T129" s="311">
        <v>12.4</v>
      </c>
      <c r="U129" s="311">
        <v>11.964</v>
      </c>
      <c r="V129" s="311">
        <v>11.185</v>
      </c>
      <c r="W129" s="311">
        <v>9.7989999999999995</v>
      </c>
      <c r="X129" s="311">
        <v>7.0279999999999996</v>
      </c>
      <c r="Y129" s="311">
        <v>2.7</v>
      </c>
      <c r="Z129" s="311">
        <v>0.89600000000000002</v>
      </c>
      <c r="AA129" s="311">
        <v>0.62</v>
      </c>
      <c r="AB129" s="311">
        <v>0.61099999999999999</v>
      </c>
      <c r="AC129" s="311">
        <v>0.60499999999999998</v>
      </c>
      <c r="AD129" s="1052">
        <v>0.61</v>
      </c>
      <c r="AE129" s="1036">
        <v>0.6</v>
      </c>
      <c r="AF129" s="1039">
        <v>3.3</v>
      </c>
      <c r="AG129" s="1053">
        <v>4</v>
      </c>
      <c r="AH129" s="3">
        <v>2.431</v>
      </c>
      <c r="AI129" s="311">
        <v>2.2000000000000002</v>
      </c>
      <c r="AJ129" s="3">
        <v>2</v>
      </c>
      <c r="AK129" s="3">
        <v>1.7</v>
      </c>
      <c r="AL129" s="3">
        <v>1.7</v>
      </c>
      <c r="AM129" s="3">
        <v>1.7</v>
      </c>
      <c r="AN129" s="3">
        <v>1.6639999999999999</v>
      </c>
      <c r="AO129" s="3">
        <v>1.6</v>
      </c>
      <c r="AP129" s="1064">
        <v>1.6</v>
      </c>
      <c r="AQ129" s="3">
        <v>1.6</v>
      </c>
      <c r="AR129" s="817">
        <v>1.6</v>
      </c>
    </row>
    <row r="130" spans="1:147" s="11" customFormat="1">
      <c r="A130" s="995" t="s">
        <v>112</v>
      </c>
      <c r="B130" s="4"/>
      <c r="C130" s="311" t="s">
        <v>1</v>
      </c>
      <c r="D130" s="311" t="s">
        <v>1</v>
      </c>
      <c r="E130" s="311" t="s">
        <v>1</v>
      </c>
      <c r="F130" s="311" t="s">
        <v>1</v>
      </c>
      <c r="G130" s="311" t="s">
        <v>1</v>
      </c>
      <c r="H130" s="311" t="s">
        <v>1</v>
      </c>
      <c r="I130" s="311" t="s">
        <v>1</v>
      </c>
      <c r="J130" s="311" t="s">
        <v>1</v>
      </c>
      <c r="K130" s="311" t="s">
        <v>1</v>
      </c>
      <c r="L130" s="311" t="s">
        <v>1</v>
      </c>
      <c r="M130" s="311" t="s">
        <v>1</v>
      </c>
      <c r="N130" s="311" t="s">
        <v>1</v>
      </c>
      <c r="O130" s="311" t="s">
        <v>1</v>
      </c>
      <c r="P130" s="311" t="s">
        <v>1</v>
      </c>
      <c r="Q130" s="311" t="s">
        <v>1</v>
      </c>
      <c r="R130" s="311" t="s">
        <v>1</v>
      </c>
      <c r="S130" s="311" t="s">
        <v>1</v>
      </c>
      <c r="T130" s="311" t="s">
        <v>1</v>
      </c>
      <c r="U130" s="311" t="s">
        <v>1</v>
      </c>
      <c r="V130" s="311" t="s">
        <v>1</v>
      </c>
      <c r="W130" s="311" t="s">
        <v>1</v>
      </c>
      <c r="X130" s="311" t="s">
        <v>1</v>
      </c>
      <c r="Y130" s="311">
        <v>18.3</v>
      </c>
      <c r="Z130" s="311">
        <v>2.8</v>
      </c>
      <c r="AA130" s="311">
        <v>1.1499999999999999</v>
      </c>
      <c r="AB130" s="311">
        <v>1.1459999999999999</v>
      </c>
      <c r="AC130" s="311">
        <v>1.1459999999999999</v>
      </c>
      <c r="AD130" s="1052">
        <v>1.1459999999999999</v>
      </c>
      <c r="AE130" s="1036">
        <v>1.2</v>
      </c>
      <c r="AF130" s="1039">
        <v>0.7</v>
      </c>
      <c r="AG130" s="1053">
        <v>1.5</v>
      </c>
      <c r="AH130" s="3">
        <v>2.44</v>
      </c>
      <c r="AI130" s="311">
        <v>2.2000000000000002</v>
      </c>
      <c r="AJ130" s="3">
        <v>2</v>
      </c>
      <c r="AK130" s="3">
        <v>1.8</v>
      </c>
      <c r="AL130" s="3">
        <v>1.7</v>
      </c>
      <c r="AM130" s="3">
        <v>1.7</v>
      </c>
      <c r="AN130" s="3">
        <v>1.6890000000000001</v>
      </c>
      <c r="AO130" s="3">
        <v>1.7</v>
      </c>
      <c r="AP130" s="1064">
        <v>1.7</v>
      </c>
      <c r="AQ130" s="3">
        <v>1.6</v>
      </c>
      <c r="AR130" s="817">
        <v>1.6</v>
      </c>
    </row>
    <row r="131" spans="1:147" s="11" customFormat="1">
      <c r="A131" s="995" t="s">
        <v>113</v>
      </c>
      <c r="B131" s="4"/>
      <c r="C131" s="311" t="s">
        <v>1</v>
      </c>
      <c r="D131" s="311" t="s">
        <v>1</v>
      </c>
      <c r="E131" s="311" t="s">
        <v>1</v>
      </c>
      <c r="F131" s="311" t="s">
        <v>1</v>
      </c>
      <c r="G131" s="311" t="s">
        <v>1</v>
      </c>
      <c r="H131" s="311" t="s">
        <v>1</v>
      </c>
      <c r="I131" s="311" t="s">
        <v>1</v>
      </c>
      <c r="J131" s="311" t="s">
        <v>1</v>
      </c>
      <c r="K131" s="311" t="s">
        <v>1</v>
      </c>
      <c r="L131" s="311" t="s">
        <v>1</v>
      </c>
      <c r="M131" s="311" t="s">
        <v>1</v>
      </c>
      <c r="N131" s="311" t="s">
        <v>1</v>
      </c>
      <c r="O131" s="311" t="s">
        <v>1</v>
      </c>
      <c r="P131" s="311" t="s">
        <v>1</v>
      </c>
      <c r="Q131" s="311" t="s">
        <v>1</v>
      </c>
      <c r="R131" s="311" t="s">
        <v>1</v>
      </c>
      <c r="S131" s="311" t="s">
        <v>1</v>
      </c>
      <c r="T131" s="311">
        <v>12.491</v>
      </c>
      <c r="U131" s="311">
        <v>12.199</v>
      </c>
      <c r="V131" s="311">
        <v>11.195</v>
      </c>
      <c r="W131" s="311">
        <v>9.77</v>
      </c>
      <c r="X131" s="311">
        <v>6.6429999999999998</v>
      </c>
      <c r="Y131" s="311">
        <v>3.1</v>
      </c>
      <c r="Z131" s="311">
        <v>1.115</v>
      </c>
      <c r="AA131" s="311">
        <v>0.76700000000000002</v>
      </c>
      <c r="AB131" s="311">
        <v>0.75700000000000001</v>
      </c>
      <c r="AC131" s="311">
        <v>0.75700000000000001</v>
      </c>
      <c r="AD131" s="1052">
        <v>0.75</v>
      </c>
      <c r="AE131" s="1036">
        <v>0.8</v>
      </c>
      <c r="AF131" s="1039">
        <v>0.5</v>
      </c>
      <c r="AG131" s="1053">
        <v>0.7</v>
      </c>
      <c r="AH131" s="3">
        <v>0.745</v>
      </c>
      <c r="AI131" s="311">
        <v>0.7</v>
      </c>
      <c r="AJ131" s="3">
        <v>0.6</v>
      </c>
      <c r="AK131" s="3">
        <v>0.5</v>
      </c>
      <c r="AL131" s="3">
        <v>0.5</v>
      </c>
      <c r="AM131" s="3">
        <v>0.5</v>
      </c>
      <c r="AN131" s="3">
        <v>0.503</v>
      </c>
      <c r="AO131" s="3">
        <v>0.5</v>
      </c>
      <c r="AP131" s="1064">
        <v>0.5</v>
      </c>
      <c r="AQ131" s="3">
        <v>0.5</v>
      </c>
      <c r="AR131" s="817">
        <v>0.5</v>
      </c>
    </row>
    <row r="132" spans="1:147" s="11" customFormat="1" ht="27.75">
      <c r="A132" s="1054" t="s">
        <v>440</v>
      </c>
      <c r="B132" s="1054"/>
      <c r="C132" s="1054"/>
      <c r="D132" s="1054"/>
      <c r="E132" s="1054"/>
      <c r="F132" s="1054"/>
      <c r="G132" s="1054"/>
      <c r="H132" s="1054"/>
      <c r="I132" s="1054"/>
      <c r="J132" s="1054"/>
      <c r="K132" s="1054"/>
      <c r="L132" s="1054"/>
      <c r="M132" s="1054"/>
      <c r="N132" s="1054"/>
      <c r="O132" s="1054"/>
      <c r="P132" s="1054"/>
      <c r="Q132" s="1054"/>
      <c r="R132" s="1054"/>
      <c r="S132" s="1054"/>
      <c r="T132" s="1054"/>
      <c r="U132" s="1054"/>
      <c r="V132" s="1054"/>
      <c r="W132" s="1054"/>
      <c r="X132" s="1054"/>
      <c r="Y132" s="1054"/>
      <c r="Z132" s="1054"/>
      <c r="AA132" s="1054"/>
      <c r="AB132" s="1054"/>
      <c r="AC132" s="1054"/>
      <c r="AD132" s="1054"/>
      <c r="AE132" s="1054"/>
      <c r="AF132" s="4"/>
      <c r="AG132" s="4"/>
      <c r="AH132" s="4"/>
      <c r="AI132" s="4"/>
      <c r="AJ132" s="4"/>
      <c r="AK132" s="4"/>
      <c r="AL132" s="4"/>
      <c r="AM132" s="4"/>
      <c r="AN132" s="4"/>
      <c r="AO132" s="4"/>
      <c r="AP132" s="1069"/>
      <c r="AQ132" s="4"/>
      <c r="AR132" s="1096"/>
      <c r="AS132" s="1055"/>
      <c r="AT132" s="1055"/>
      <c r="AU132" s="1055"/>
      <c r="AV132" s="1055"/>
      <c r="AW132" s="1055"/>
      <c r="AX132" s="1055"/>
      <c r="AY132" s="1055"/>
      <c r="AZ132" s="1055"/>
      <c r="BA132" s="1055"/>
      <c r="BB132" s="1055"/>
      <c r="BC132" s="1055"/>
      <c r="BD132" s="1055"/>
      <c r="BE132" s="1055"/>
      <c r="BF132" s="1055"/>
      <c r="BG132" s="1055"/>
      <c r="BH132" s="1055"/>
      <c r="BI132" s="1055"/>
      <c r="BJ132" s="1055"/>
      <c r="BK132" s="1055"/>
      <c r="BL132" s="1055"/>
      <c r="BM132" s="1055"/>
      <c r="BN132" s="1055"/>
      <c r="BO132" s="1055"/>
      <c r="BP132" s="1055"/>
      <c r="BQ132" s="1055"/>
      <c r="BR132" s="1055"/>
      <c r="BS132" s="1055"/>
      <c r="BT132" s="1055"/>
      <c r="BU132" s="1055"/>
      <c r="BV132" s="1055"/>
      <c r="BW132" s="1055"/>
      <c r="BX132" s="1055"/>
      <c r="BY132" s="1055"/>
      <c r="BZ132" s="1055"/>
      <c r="CA132" s="1055"/>
      <c r="CB132" s="1055"/>
      <c r="CC132" s="1055"/>
      <c r="CD132" s="1055"/>
      <c r="CE132" s="1055"/>
      <c r="CF132" s="1055"/>
      <c r="CG132" s="1055"/>
      <c r="CH132" s="1055"/>
      <c r="CI132" s="1055"/>
      <c r="CJ132" s="1055"/>
      <c r="CK132" s="1055"/>
      <c r="CL132" s="1055"/>
      <c r="CM132" s="1055"/>
      <c r="CN132" s="1055"/>
      <c r="CO132" s="1055"/>
      <c r="CP132" s="1055"/>
      <c r="CQ132" s="1055"/>
      <c r="CR132" s="1055"/>
      <c r="CS132" s="1055"/>
      <c r="CT132" s="1055"/>
      <c r="CU132" s="1055"/>
      <c r="CV132" s="1055"/>
      <c r="CW132" s="1055"/>
      <c r="CX132" s="1055"/>
      <c r="CY132" s="1055"/>
      <c r="CZ132" s="1055"/>
      <c r="DA132" s="1055"/>
      <c r="DB132" s="1055"/>
      <c r="DC132" s="1055"/>
      <c r="DD132" s="1055"/>
      <c r="DE132" s="1055"/>
      <c r="DF132" s="1055"/>
      <c r="DG132" s="1055"/>
      <c r="DH132" s="1055"/>
      <c r="DI132" s="1055"/>
      <c r="DJ132" s="1055"/>
      <c r="DK132" s="1055"/>
      <c r="DL132" s="1055"/>
      <c r="DM132" s="1055"/>
      <c r="DN132" s="1055"/>
      <c r="DO132" s="1055"/>
      <c r="DP132" s="1055"/>
      <c r="DQ132" s="1055"/>
      <c r="DR132" s="1055"/>
      <c r="DS132" s="1055"/>
      <c r="DT132" s="1055"/>
      <c r="DU132" s="1055"/>
      <c r="DV132" s="1055"/>
      <c r="DW132" s="1055"/>
      <c r="DX132" s="1055"/>
      <c r="DY132" s="1055"/>
      <c r="DZ132" s="1055"/>
      <c r="EA132" s="1055"/>
      <c r="EB132" s="1055"/>
      <c r="EC132" s="1055"/>
      <c r="ED132" s="1055"/>
      <c r="EE132" s="1055"/>
    </row>
    <row r="133" spans="1:147" s="11" customFormat="1" ht="91.5">
      <c r="A133" s="1056" t="s">
        <v>441</v>
      </c>
      <c r="B133" s="1057"/>
      <c r="C133" s="1057"/>
      <c r="D133" s="1057"/>
      <c r="E133" s="1057"/>
      <c r="F133" s="1057"/>
      <c r="G133" s="1057"/>
      <c r="H133" s="1057"/>
      <c r="I133" s="1057"/>
      <c r="J133" s="1057"/>
      <c r="K133" s="1057"/>
      <c r="L133" s="1057"/>
      <c r="M133" s="1057"/>
      <c r="N133" s="1057"/>
      <c r="O133" s="1057"/>
      <c r="P133" s="1057"/>
      <c r="Q133" s="1057"/>
      <c r="R133" s="1057"/>
      <c r="S133" s="1057"/>
      <c r="T133" s="1057"/>
      <c r="U133" s="1057"/>
      <c r="V133" s="1057"/>
      <c r="W133" s="1057"/>
      <c r="X133" s="1057"/>
      <c r="Y133" s="1057"/>
      <c r="Z133" s="1057"/>
      <c r="AA133" s="1057"/>
      <c r="AB133" s="1057"/>
      <c r="AC133" s="1057"/>
      <c r="AD133" s="1054"/>
      <c r="AE133" s="1054"/>
      <c r="AF133" s="4"/>
      <c r="AG133" s="4"/>
      <c r="AH133" s="4"/>
      <c r="AI133" s="4"/>
      <c r="AJ133" s="4"/>
      <c r="AK133" s="4"/>
      <c r="AL133" s="4"/>
      <c r="AM133" s="4"/>
      <c r="AN133" s="4"/>
      <c r="AO133" s="4"/>
      <c r="AP133" s="1069"/>
      <c r="AQ133" s="4"/>
      <c r="AR133" s="1096"/>
      <c r="AS133" s="1058"/>
      <c r="AT133" s="1058"/>
      <c r="AU133" s="1058"/>
      <c r="AV133" s="1058"/>
      <c r="AW133" s="1058"/>
      <c r="AX133" s="1058"/>
      <c r="AY133" s="1058"/>
      <c r="AZ133" s="1058"/>
      <c r="BA133" s="1058"/>
      <c r="BB133" s="1058"/>
      <c r="BC133" s="1058"/>
      <c r="BD133" s="1058"/>
      <c r="BE133" s="1058"/>
      <c r="BF133" s="1058"/>
      <c r="BG133" s="1058"/>
      <c r="BH133" s="1058"/>
      <c r="BI133" s="1058"/>
      <c r="BJ133" s="1058"/>
      <c r="BK133" s="1058"/>
      <c r="BL133" s="1058"/>
      <c r="BM133" s="1058"/>
      <c r="BN133" s="1058"/>
      <c r="BO133" s="1058"/>
      <c r="BP133" s="1058"/>
      <c r="BQ133" s="1058"/>
      <c r="BR133" s="1058"/>
      <c r="BS133" s="1058"/>
      <c r="BT133" s="1058"/>
      <c r="BU133" s="1058"/>
      <c r="BV133" s="1058"/>
      <c r="BW133" s="1058"/>
      <c r="BX133" s="1058"/>
      <c r="BY133" s="1058"/>
      <c r="BZ133" s="1058"/>
      <c r="CA133" s="1058"/>
      <c r="CB133" s="1058"/>
      <c r="CC133" s="1058"/>
      <c r="CD133" s="1058"/>
      <c r="CE133" s="1058"/>
      <c r="CF133" s="1058"/>
      <c r="CG133" s="1058"/>
      <c r="CH133" s="1058"/>
      <c r="CI133" s="1058"/>
      <c r="CJ133" s="1058"/>
      <c r="CK133" s="1058"/>
      <c r="CL133" s="1058"/>
      <c r="CM133" s="1058"/>
      <c r="CN133" s="1058"/>
      <c r="CO133" s="1058"/>
      <c r="CP133" s="1058"/>
      <c r="CQ133" s="1058"/>
      <c r="CR133" s="1058"/>
      <c r="CS133" s="1058"/>
      <c r="CT133" s="1058"/>
      <c r="CU133" s="1058"/>
      <c r="CV133" s="1058"/>
      <c r="CW133" s="1058"/>
      <c r="CX133" s="1058"/>
      <c r="CY133" s="1058"/>
      <c r="CZ133" s="1058"/>
      <c r="DA133" s="1058"/>
      <c r="DB133" s="1058"/>
      <c r="DC133" s="1058"/>
      <c r="DD133" s="1058"/>
      <c r="DE133" s="1058"/>
      <c r="DF133" s="1058"/>
      <c r="DG133" s="1058"/>
      <c r="DH133" s="1058"/>
      <c r="DI133" s="1058"/>
      <c r="DJ133" s="1058"/>
      <c r="DK133" s="1058"/>
      <c r="DL133" s="1058"/>
      <c r="DM133" s="1058"/>
      <c r="DN133" s="1058"/>
      <c r="DO133" s="1058"/>
      <c r="DP133" s="1058"/>
      <c r="DQ133" s="1058"/>
      <c r="DR133" s="1058"/>
      <c r="DS133" s="1058"/>
      <c r="DT133" s="1058"/>
      <c r="DU133" s="1058"/>
      <c r="DV133" s="1058"/>
      <c r="DW133" s="1058"/>
      <c r="DX133" s="1058"/>
      <c r="DY133" s="1058"/>
      <c r="DZ133" s="1058"/>
      <c r="EA133" s="1058"/>
      <c r="EB133" s="1058"/>
      <c r="EC133" s="1058"/>
      <c r="ED133" s="1058"/>
      <c r="EE133" s="1058"/>
    </row>
    <row r="134" spans="1:147" s="1059" customFormat="1" ht="40.5">
      <c r="A134" s="1027" t="s">
        <v>442</v>
      </c>
      <c r="B134" s="1057"/>
      <c r="C134" s="1057"/>
      <c r="D134" s="1057"/>
      <c r="E134" s="1057"/>
      <c r="F134" s="1057"/>
      <c r="G134" s="1057"/>
      <c r="H134" s="1057"/>
      <c r="I134" s="1057"/>
      <c r="J134" s="1057"/>
      <c r="K134" s="1057"/>
      <c r="L134" s="1057"/>
      <c r="M134" s="1057"/>
      <c r="N134" s="1057"/>
      <c r="O134" s="1057"/>
      <c r="P134" s="1057"/>
      <c r="Q134" s="1057"/>
      <c r="R134" s="1057"/>
      <c r="S134" s="1057"/>
      <c r="T134" s="1057"/>
      <c r="U134" s="1057"/>
      <c r="V134" s="1057"/>
      <c r="W134" s="1057"/>
      <c r="X134" s="1057"/>
      <c r="Y134" s="1057"/>
      <c r="Z134" s="1057"/>
      <c r="AA134" s="1057"/>
      <c r="AB134" s="1057"/>
      <c r="AC134" s="1057"/>
      <c r="AD134" s="1054"/>
      <c r="AE134" s="1054"/>
      <c r="AF134" s="321"/>
      <c r="AG134" s="321"/>
      <c r="AH134" s="321"/>
      <c r="AI134" s="321"/>
      <c r="AJ134" s="321"/>
      <c r="AK134" s="321"/>
      <c r="AL134" s="321"/>
      <c r="AM134" s="321"/>
      <c r="AN134" s="321"/>
      <c r="AO134" s="321"/>
      <c r="AP134" s="321"/>
      <c r="AQ134" s="321"/>
      <c r="AR134" s="1097"/>
    </row>
    <row r="135" spans="1:147" s="1063" customFormat="1" ht="15">
      <c r="A135" s="1054" t="s">
        <v>443</v>
      </c>
      <c r="B135" s="1054"/>
      <c r="C135" s="1054"/>
      <c r="D135" s="1054"/>
      <c r="E135" s="1054"/>
      <c r="F135" s="1054"/>
      <c r="G135" s="1054"/>
      <c r="H135" s="1054"/>
      <c r="I135" s="1054"/>
      <c r="J135" s="1054"/>
      <c r="K135" s="1054"/>
      <c r="L135" s="1054"/>
      <c r="M135" s="1054"/>
      <c r="N135" s="1054"/>
      <c r="O135" s="1054"/>
      <c r="P135" s="1054"/>
      <c r="Q135" s="1054"/>
      <c r="R135" s="1054"/>
      <c r="S135" s="1054"/>
      <c r="T135" s="1054"/>
      <c r="U135" s="1054"/>
      <c r="V135" s="1054"/>
      <c r="W135" s="1054"/>
      <c r="X135" s="1054"/>
      <c r="Y135" s="1054"/>
      <c r="Z135" s="1054"/>
      <c r="AA135" s="1054"/>
      <c r="AB135" s="1054"/>
      <c r="AC135" s="1054"/>
      <c r="AD135" s="1054"/>
      <c r="AE135" s="1054"/>
      <c r="AF135" s="1060"/>
      <c r="AG135" s="1060"/>
      <c r="AH135" s="1060"/>
      <c r="AI135" s="324"/>
      <c r="AJ135" s="324"/>
      <c r="AK135" s="324"/>
      <c r="AL135" s="324"/>
      <c r="AM135" s="324"/>
      <c r="AN135" s="324"/>
      <c r="AO135" s="324"/>
      <c r="AP135" s="324"/>
      <c r="AQ135" s="324"/>
      <c r="AR135" s="1098"/>
      <c r="AS135" s="1058"/>
      <c r="AT135" s="1058"/>
      <c r="AU135" s="1058"/>
      <c r="AV135" s="1058"/>
      <c r="AW135" s="1058"/>
      <c r="AX135" s="1058"/>
      <c r="AY135" s="1058"/>
      <c r="AZ135" s="1058"/>
      <c r="BA135" s="1058"/>
      <c r="BB135" s="1058"/>
      <c r="BC135" s="1058"/>
      <c r="BD135" s="1058"/>
      <c r="BE135" s="1058"/>
      <c r="BF135" s="1058"/>
      <c r="BG135" s="1058"/>
      <c r="BH135" s="1058"/>
      <c r="BI135" s="1058"/>
      <c r="BJ135" s="1058"/>
      <c r="BK135" s="1058"/>
      <c r="BL135" s="1058"/>
      <c r="BM135" s="1058"/>
      <c r="BN135" s="1058"/>
      <c r="BO135" s="1058"/>
      <c r="BP135" s="1058"/>
      <c r="BQ135" s="1058"/>
      <c r="BR135" s="1058"/>
      <c r="BS135" s="1058"/>
      <c r="BT135" s="1058"/>
      <c r="BU135" s="1058"/>
      <c r="BV135" s="1058"/>
      <c r="BW135" s="1058"/>
      <c r="BX135" s="1058"/>
      <c r="BY135" s="1058"/>
      <c r="BZ135" s="1058"/>
      <c r="CA135" s="1058"/>
      <c r="CB135" s="1058"/>
      <c r="CC135" s="1058"/>
      <c r="CD135" s="1058"/>
      <c r="CE135" s="1058"/>
      <c r="CF135" s="1058"/>
      <c r="CG135" s="1058"/>
      <c r="CH135" s="1058"/>
      <c r="CI135" s="1058"/>
      <c r="CJ135" s="1058"/>
      <c r="CK135" s="1058"/>
      <c r="CL135" s="1058"/>
      <c r="CM135" s="1058"/>
      <c r="CN135" s="1058"/>
      <c r="CO135" s="1058"/>
      <c r="CP135" s="1058"/>
      <c r="CQ135" s="1058"/>
      <c r="CR135" s="1058"/>
      <c r="CS135" s="1058"/>
      <c r="CT135" s="1058"/>
      <c r="CU135" s="1058"/>
      <c r="CV135" s="1058"/>
      <c r="CW135" s="1058"/>
      <c r="CX135" s="1058"/>
      <c r="CY135" s="1058"/>
      <c r="CZ135" s="1058"/>
      <c r="DA135" s="1058"/>
      <c r="DB135" s="1058"/>
      <c r="DC135" s="1058"/>
      <c r="DD135" s="1058"/>
      <c r="DE135" s="1058"/>
      <c r="DF135" s="1058"/>
      <c r="DG135" s="1058"/>
      <c r="DH135" s="1058"/>
      <c r="DI135" s="1058"/>
      <c r="DJ135" s="1058"/>
      <c r="DK135" s="1058"/>
      <c r="DL135" s="1058"/>
      <c r="DM135" s="1058"/>
      <c r="DN135" s="1058"/>
      <c r="DO135" s="1058"/>
      <c r="DP135" s="1058"/>
      <c r="DQ135" s="1058"/>
      <c r="DR135" s="1058"/>
      <c r="DS135" s="1058"/>
      <c r="DT135" s="1058"/>
      <c r="DU135" s="1058"/>
      <c r="DV135" s="1058"/>
      <c r="DW135" s="1058"/>
      <c r="DX135" s="1058"/>
      <c r="DY135" s="1058"/>
      <c r="DZ135" s="1058"/>
      <c r="EA135" s="1058"/>
      <c r="EB135" s="1058"/>
      <c r="EC135" s="1058"/>
      <c r="ED135" s="1058"/>
      <c r="EE135" s="1058"/>
      <c r="EF135" s="1061"/>
      <c r="EG135" s="1062"/>
      <c r="EH135" s="1062"/>
      <c r="EI135" s="1062"/>
      <c r="EJ135" s="1061"/>
      <c r="EK135" s="1062"/>
      <c r="EL135" s="1062"/>
      <c r="EM135" s="1062"/>
      <c r="EN135" s="1061"/>
      <c r="EO135" s="1062"/>
      <c r="EP135" s="1062"/>
      <c r="EQ135" s="106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DT86"/>
  <sheetViews>
    <sheetView workbookViewId="0">
      <pane xSplit="1" topLeftCell="AF1" activePane="topRight" state="frozen"/>
      <selection pane="topRight" activeCell="AT12" sqref="AT12"/>
    </sheetView>
  </sheetViews>
  <sheetFormatPr defaultRowHeight="12.75"/>
  <cols>
    <col min="1" max="1" width="57.5703125" bestFit="1" customWidth="1"/>
    <col min="2" max="2" width="13.85546875" bestFit="1" customWidth="1"/>
    <col min="3" max="5" width="5.42578125" bestFit="1" customWidth="1"/>
    <col min="6" max="8" width="6.85546875" bestFit="1" customWidth="1"/>
    <col min="9" max="16" width="7.85546875" bestFit="1" customWidth="1"/>
    <col min="17" max="30" width="8.85546875" bestFit="1" customWidth="1"/>
    <col min="31" max="31" width="8.28515625" bestFit="1" customWidth="1"/>
    <col min="32" max="36" width="7.42578125" bestFit="1" customWidth="1"/>
    <col min="37" max="37" width="9" style="15" customWidth="1"/>
    <col min="38" max="41" width="11.7109375" customWidth="1"/>
    <col min="42" max="42" width="11.7109375" style="924" customWidth="1"/>
    <col min="43" max="43" width="11.7109375" style="15" customWidth="1"/>
    <col min="44" max="44" width="11" customWidth="1"/>
  </cols>
  <sheetData>
    <row r="1" spans="1:44" s="15" customFormat="1" ht="38.25">
      <c r="A1" s="326" t="s">
        <v>216</v>
      </c>
      <c r="B1" s="293" t="s">
        <v>217</v>
      </c>
      <c r="C1" s="294">
        <v>1991</v>
      </c>
      <c r="D1" s="294">
        <v>1992</v>
      </c>
      <c r="E1" s="294">
        <v>1993</v>
      </c>
      <c r="F1" s="294">
        <v>1994</v>
      </c>
      <c r="G1" s="294">
        <v>1995</v>
      </c>
      <c r="H1" s="294">
        <v>1996</v>
      </c>
      <c r="I1" s="294">
        <v>1997</v>
      </c>
      <c r="J1" s="294">
        <v>1998</v>
      </c>
      <c r="K1" s="294">
        <v>1999</v>
      </c>
      <c r="L1" s="294">
        <v>2000</v>
      </c>
      <c r="M1" s="294">
        <v>2001</v>
      </c>
      <c r="N1" s="294">
        <v>2002</v>
      </c>
      <c r="O1" s="294">
        <v>2003</v>
      </c>
      <c r="P1" s="294">
        <v>2004</v>
      </c>
      <c r="Q1" s="294">
        <v>2005</v>
      </c>
      <c r="R1" s="294">
        <v>2006</v>
      </c>
      <c r="S1" s="294">
        <v>2007</v>
      </c>
      <c r="T1" s="294">
        <v>2008</v>
      </c>
      <c r="U1" s="294">
        <v>2009</v>
      </c>
      <c r="V1" s="294">
        <v>2010</v>
      </c>
      <c r="W1" s="294">
        <v>2011</v>
      </c>
      <c r="X1" s="294">
        <v>2012</v>
      </c>
      <c r="Y1" s="294">
        <v>2013</v>
      </c>
      <c r="Z1" s="294">
        <v>2014</v>
      </c>
      <c r="AA1" s="294">
        <v>2015</v>
      </c>
      <c r="AB1" s="294">
        <v>2016</v>
      </c>
      <c r="AC1" s="294">
        <v>2017</v>
      </c>
      <c r="AD1" s="294">
        <v>2018</v>
      </c>
      <c r="AE1" s="294">
        <v>2019</v>
      </c>
      <c r="AF1" s="309" t="s">
        <v>166</v>
      </c>
      <c r="AG1" s="294">
        <v>2021</v>
      </c>
      <c r="AH1" s="295">
        <v>2022</v>
      </c>
      <c r="AI1" s="296">
        <v>2023</v>
      </c>
      <c r="AJ1" s="785">
        <v>2024</v>
      </c>
      <c r="AK1" s="328">
        <v>2025</v>
      </c>
      <c r="AL1" s="851" t="s">
        <v>469</v>
      </c>
      <c r="AM1" s="885" t="s">
        <v>477</v>
      </c>
      <c r="AN1" s="885" t="s">
        <v>485</v>
      </c>
      <c r="AO1" s="885" t="s">
        <v>491</v>
      </c>
      <c r="AP1" s="915" t="s">
        <v>501</v>
      </c>
      <c r="AQ1" s="966" t="s">
        <v>527</v>
      </c>
      <c r="AR1" s="885" t="s">
        <v>538</v>
      </c>
    </row>
    <row r="2" spans="1:44" s="15" customFormat="1" ht="15">
      <c r="A2" s="329" t="s">
        <v>444</v>
      </c>
      <c r="B2" s="298" t="s">
        <v>214</v>
      </c>
      <c r="C2" s="36"/>
      <c r="D2" s="36"/>
      <c r="E2" s="36"/>
      <c r="F2" s="36"/>
      <c r="G2" s="36"/>
      <c r="H2" s="36"/>
      <c r="I2" s="36"/>
      <c r="J2" s="36"/>
      <c r="K2" s="36"/>
      <c r="L2" s="36"/>
      <c r="M2" s="36"/>
      <c r="N2" s="36"/>
      <c r="O2" s="36"/>
      <c r="P2" s="36"/>
      <c r="Q2" s="36"/>
      <c r="R2" s="36"/>
      <c r="S2" s="36"/>
      <c r="T2" s="36"/>
      <c r="U2" s="36"/>
      <c r="V2" s="36"/>
      <c r="W2" s="36"/>
      <c r="X2" s="36"/>
      <c r="Y2" s="36"/>
      <c r="Z2" s="36"/>
      <c r="AA2" s="36"/>
      <c r="AB2" s="330"/>
      <c r="AC2" s="330"/>
      <c r="AD2" s="330"/>
      <c r="AE2" s="330"/>
      <c r="AF2" s="331"/>
      <c r="AG2" s="332"/>
      <c r="AJ2" s="786"/>
      <c r="AK2" s="18"/>
      <c r="AL2" s="852"/>
      <c r="AM2" s="811"/>
      <c r="AN2" s="811"/>
      <c r="AO2" s="811"/>
      <c r="AP2" s="916"/>
      <c r="AQ2" s="34"/>
      <c r="AR2" s="1078"/>
    </row>
    <row r="3" spans="1:44" s="15" customFormat="1">
      <c r="A3" s="333" t="s">
        <v>108</v>
      </c>
      <c r="B3" s="283"/>
      <c r="C3" s="36">
        <v>1</v>
      </c>
      <c r="D3" s="36">
        <v>17</v>
      </c>
      <c r="E3" s="36">
        <v>318</v>
      </c>
      <c r="F3" s="36">
        <v>5161</v>
      </c>
      <c r="G3" s="36">
        <v>8872</v>
      </c>
      <c r="H3" s="36">
        <v>8362</v>
      </c>
      <c r="I3" s="36">
        <v>11133</v>
      </c>
      <c r="J3" s="36">
        <v>14388</v>
      </c>
      <c r="K3" s="36">
        <v>11761</v>
      </c>
      <c r="L3" s="36">
        <v>22665</v>
      </c>
      <c r="M3" s="36">
        <v>39344</v>
      </c>
      <c r="N3" s="36">
        <v>61885</v>
      </c>
      <c r="O3" s="36">
        <v>80314</v>
      </c>
      <c r="P3" s="36">
        <v>80746</v>
      </c>
      <c r="Q3" s="36">
        <v>216193</v>
      </c>
      <c r="R3" s="36">
        <v>338736</v>
      </c>
      <c r="S3" s="36">
        <v>396869</v>
      </c>
      <c r="T3" s="36">
        <v>273297</v>
      </c>
      <c r="U3" s="36">
        <v>228938</v>
      </c>
      <c r="V3" s="36">
        <v>212368</v>
      </c>
      <c r="W3" s="36">
        <v>208892</v>
      </c>
      <c r="X3" s="36">
        <v>232415</v>
      </c>
      <c r="Y3" s="36">
        <v>219408</v>
      </c>
      <c r="Z3" s="36">
        <v>269079</v>
      </c>
      <c r="AA3" s="36">
        <v>278875.2</v>
      </c>
      <c r="AB3" s="36">
        <v>291074.2</v>
      </c>
      <c r="AC3" s="36">
        <v>315795.90000000002</v>
      </c>
      <c r="AD3" s="36">
        <v>346131.3</v>
      </c>
      <c r="AE3" s="300">
        <v>364594</v>
      </c>
      <c r="AF3" s="58">
        <v>403039</v>
      </c>
      <c r="AG3" s="58">
        <v>509110</v>
      </c>
      <c r="AH3" s="334">
        <v>567878.88300000003</v>
      </c>
      <c r="AI3" s="70">
        <v>605905.08900000004</v>
      </c>
      <c r="AJ3" s="768">
        <v>735158.46100000001</v>
      </c>
      <c r="AK3" s="73">
        <v>1135241.798</v>
      </c>
      <c r="AL3" s="867">
        <v>10983.64</v>
      </c>
      <c r="AM3" s="806">
        <v>41006</v>
      </c>
      <c r="AN3" s="806">
        <v>140814</v>
      </c>
      <c r="AO3" s="806">
        <v>181646.242</v>
      </c>
      <c r="AP3" s="917">
        <v>271028</v>
      </c>
      <c r="AQ3" s="967">
        <v>436153.13</v>
      </c>
      <c r="AR3" s="1085">
        <v>560590.54500000004</v>
      </c>
    </row>
    <row r="4" spans="1:44" s="15" customFormat="1">
      <c r="A4" s="335" t="s">
        <v>109</v>
      </c>
      <c r="B4" s="283"/>
      <c r="C4" s="36" t="s">
        <v>1</v>
      </c>
      <c r="D4" s="36" t="s">
        <v>1</v>
      </c>
      <c r="E4" s="36" t="s">
        <v>1</v>
      </c>
      <c r="F4" s="36" t="s">
        <v>1</v>
      </c>
      <c r="G4" s="36" t="s">
        <v>1</v>
      </c>
      <c r="H4" s="36" t="s">
        <v>1</v>
      </c>
      <c r="I4" s="36" t="s">
        <v>1</v>
      </c>
      <c r="J4" s="36">
        <v>1022.449</v>
      </c>
      <c r="K4" s="36">
        <v>835.79100000000005</v>
      </c>
      <c r="L4" s="36">
        <v>3218.4870000000001</v>
      </c>
      <c r="M4" s="36">
        <v>7160.1149999999998</v>
      </c>
      <c r="N4" s="36">
        <v>10592.619000000001</v>
      </c>
      <c r="O4" s="36">
        <v>15779.583000000001</v>
      </c>
      <c r="P4" s="36">
        <v>16322.107</v>
      </c>
      <c r="Q4" s="36">
        <v>40155.328999999998</v>
      </c>
      <c r="R4" s="36">
        <v>62787.43</v>
      </c>
      <c r="S4" s="36">
        <v>90133.468999999997</v>
      </c>
      <c r="T4" s="36">
        <v>47231.851999999999</v>
      </c>
      <c r="U4" s="36">
        <v>56953.563000000002</v>
      </c>
      <c r="V4" s="36">
        <v>45501.519</v>
      </c>
      <c r="W4" s="36">
        <v>34599.309000000001</v>
      </c>
      <c r="X4" s="36">
        <v>45473.735999999997</v>
      </c>
      <c r="Y4" s="36">
        <v>34684.839999999997</v>
      </c>
      <c r="Z4" s="36">
        <v>39843.828000000001</v>
      </c>
      <c r="AA4" s="36">
        <v>31990.7</v>
      </c>
      <c r="AB4" s="36">
        <v>33057.699999999997</v>
      </c>
      <c r="AC4" s="36">
        <v>37886.400000000001</v>
      </c>
      <c r="AD4" s="36">
        <v>42393.9</v>
      </c>
      <c r="AE4" s="300">
        <v>46027</v>
      </c>
      <c r="AF4" s="58">
        <v>50246</v>
      </c>
      <c r="AG4" s="58">
        <v>64985</v>
      </c>
      <c r="AH4" s="334">
        <v>70194.623000000007</v>
      </c>
      <c r="AI4" s="70">
        <v>74187.12</v>
      </c>
      <c r="AJ4" s="768">
        <v>87663.851999999999</v>
      </c>
      <c r="AK4" s="73">
        <v>132587.90599999999</v>
      </c>
      <c r="AL4" s="867">
        <v>2569.7649999999999</v>
      </c>
      <c r="AM4" s="806">
        <v>5765</v>
      </c>
      <c r="AN4" s="806">
        <v>16731</v>
      </c>
      <c r="AO4" s="806">
        <v>20110.126</v>
      </c>
      <c r="AP4" s="917">
        <v>24347</v>
      </c>
      <c r="AQ4" s="967">
        <v>40924.122000000003</v>
      </c>
      <c r="AR4" s="1085">
        <v>53859.709000000003</v>
      </c>
    </row>
    <row r="5" spans="1:44" s="15" customFormat="1">
      <c r="A5" s="335" t="s">
        <v>135</v>
      </c>
      <c r="B5" s="283"/>
      <c r="C5" s="36" t="s">
        <v>1</v>
      </c>
      <c r="D5" s="36" t="s">
        <v>1</v>
      </c>
      <c r="E5" s="36" t="s">
        <v>1</v>
      </c>
      <c r="F5" s="36" t="s">
        <v>1</v>
      </c>
      <c r="G5" s="36" t="s">
        <v>1</v>
      </c>
      <c r="H5" s="36" t="s">
        <v>1</v>
      </c>
      <c r="I5" s="36" t="s">
        <v>1</v>
      </c>
      <c r="J5" s="36" t="s">
        <v>1</v>
      </c>
      <c r="K5" s="36" t="s">
        <v>1</v>
      </c>
      <c r="L5" s="36" t="s">
        <v>1</v>
      </c>
      <c r="M5" s="36" t="s">
        <v>1</v>
      </c>
      <c r="N5" s="36" t="s">
        <v>1</v>
      </c>
      <c r="O5" s="36" t="s">
        <v>1</v>
      </c>
      <c r="P5" s="36" t="s">
        <v>1</v>
      </c>
      <c r="Q5" s="36" t="s">
        <v>1</v>
      </c>
      <c r="R5" s="36" t="s">
        <v>1</v>
      </c>
      <c r="S5" s="36" t="s">
        <v>1</v>
      </c>
      <c r="T5" s="36">
        <v>3714.0410000000002</v>
      </c>
      <c r="U5" s="36">
        <v>5369.1109999999999</v>
      </c>
      <c r="V5" s="36">
        <v>10616.534</v>
      </c>
      <c r="W5" s="36">
        <v>11145.632</v>
      </c>
      <c r="X5" s="36">
        <v>25243.097000000002</v>
      </c>
      <c r="Y5" s="36">
        <v>20511.278999999999</v>
      </c>
      <c r="Z5" s="36">
        <v>29381.35</v>
      </c>
      <c r="AA5" s="36">
        <v>37237.800000000003</v>
      </c>
      <c r="AB5" s="36">
        <v>41519.300000000003</v>
      </c>
      <c r="AC5" s="36">
        <v>50986.8</v>
      </c>
      <c r="AD5" s="36">
        <v>55527.9</v>
      </c>
      <c r="AE5" s="300">
        <v>58859</v>
      </c>
      <c r="AF5" s="58">
        <v>66432</v>
      </c>
      <c r="AG5" s="58">
        <v>40819</v>
      </c>
      <c r="AH5" s="334">
        <v>75630.159</v>
      </c>
      <c r="AI5" s="70">
        <v>82916.937000000005</v>
      </c>
      <c r="AJ5" s="768">
        <v>126868.03599999999</v>
      </c>
      <c r="AK5" s="73">
        <v>244455.628</v>
      </c>
      <c r="AL5" s="867">
        <v>1538.425</v>
      </c>
      <c r="AM5" s="806">
        <v>10155</v>
      </c>
      <c r="AN5" s="806">
        <v>26920</v>
      </c>
      <c r="AO5" s="806">
        <v>32554.766</v>
      </c>
      <c r="AP5" s="917">
        <v>52410</v>
      </c>
      <c r="AQ5" s="967">
        <v>75154.525999999998</v>
      </c>
      <c r="AR5" s="1085">
        <v>102027.27</v>
      </c>
    </row>
    <row r="6" spans="1:44" s="15" customFormat="1">
      <c r="A6" s="335" t="s">
        <v>110</v>
      </c>
      <c r="B6" s="283"/>
      <c r="C6" s="36" t="s">
        <v>1</v>
      </c>
      <c r="D6" s="36" t="s">
        <v>1</v>
      </c>
      <c r="E6" s="36" t="s">
        <v>1</v>
      </c>
      <c r="F6" s="36" t="s">
        <v>1</v>
      </c>
      <c r="G6" s="36" t="s">
        <v>1</v>
      </c>
      <c r="H6" s="36" t="s">
        <v>1</v>
      </c>
      <c r="I6" s="36" t="s">
        <v>1</v>
      </c>
      <c r="J6" s="36">
        <v>2758.1590000000001</v>
      </c>
      <c r="K6" s="36">
        <v>2254.63</v>
      </c>
      <c r="L6" s="36">
        <v>2017.221</v>
      </c>
      <c r="M6" s="36">
        <v>6371.9970000000003</v>
      </c>
      <c r="N6" s="36">
        <v>11149.583000000001</v>
      </c>
      <c r="O6" s="36">
        <v>15656.278</v>
      </c>
      <c r="P6" s="36">
        <v>13500.999</v>
      </c>
      <c r="Q6" s="36">
        <v>32194.771000000001</v>
      </c>
      <c r="R6" s="36">
        <v>46381.726999999999</v>
      </c>
      <c r="S6" s="36">
        <v>41199.408000000003</v>
      </c>
      <c r="T6" s="36">
        <v>28222.799999999999</v>
      </c>
      <c r="U6" s="36">
        <v>30483.484</v>
      </c>
      <c r="V6" s="36">
        <v>25429.121999999999</v>
      </c>
      <c r="W6" s="36">
        <v>26425.473999999998</v>
      </c>
      <c r="X6" s="36">
        <v>27486.159</v>
      </c>
      <c r="Y6" s="36">
        <v>30735.612000000001</v>
      </c>
      <c r="Z6" s="36">
        <v>37151.462</v>
      </c>
      <c r="AA6" s="36">
        <v>38358.5</v>
      </c>
      <c r="AB6" s="36">
        <v>38351.9</v>
      </c>
      <c r="AC6" s="36">
        <v>34854.1</v>
      </c>
      <c r="AD6" s="36">
        <v>44787.4</v>
      </c>
      <c r="AE6" s="300">
        <v>46659</v>
      </c>
      <c r="AF6" s="58">
        <v>46836</v>
      </c>
      <c r="AG6" s="58">
        <v>63265</v>
      </c>
      <c r="AH6" s="334">
        <v>55585.694000000003</v>
      </c>
      <c r="AI6" s="70">
        <v>58743.254999999997</v>
      </c>
      <c r="AJ6" s="768">
        <v>62024.766000000003</v>
      </c>
      <c r="AK6" s="73">
        <v>93937.475999999995</v>
      </c>
      <c r="AL6" s="867">
        <v>300</v>
      </c>
      <c r="AM6" s="806">
        <v>990</v>
      </c>
      <c r="AN6" s="806">
        <v>9507</v>
      </c>
      <c r="AO6" s="806">
        <v>12869.379000000001</v>
      </c>
      <c r="AP6" s="917">
        <v>21448</v>
      </c>
      <c r="AQ6" s="967">
        <v>31186.874</v>
      </c>
      <c r="AR6" s="1085">
        <v>37339.928</v>
      </c>
    </row>
    <row r="7" spans="1:44" s="15" customFormat="1">
      <c r="A7" s="335" t="s">
        <v>111</v>
      </c>
      <c r="B7" s="283"/>
      <c r="C7" s="36" t="s">
        <v>1</v>
      </c>
      <c r="D7" s="36" t="s">
        <v>1</v>
      </c>
      <c r="E7" s="36" t="s">
        <v>1</v>
      </c>
      <c r="F7" s="36" t="s">
        <v>1</v>
      </c>
      <c r="G7" s="36" t="s">
        <v>1</v>
      </c>
      <c r="H7" s="36" t="s">
        <v>1</v>
      </c>
      <c r="I7" s="36" t="s">
        <v>1</v>
      </c>
      <c r="J7" s="36">
        <v>2283.8710000000001</v>
      </c>
      <c r="K7" s="36">
        <v>1866.9280000000001</v>
      </c>
      <c r="L7" s="36">
        <v>2923.837</v>
      </c>
      <c r="M7" s="36">
        <v>4141.1899999999996</v>
      </c>
      <c r="N7" s="36">
        <v>14924.557000000001</v>
      </c>
      <c r="O7" s="36">
        <v>18797.133000000002</v>
      </c>
      <c r="P7" s="36">
        <v>18281.809000000001</v>
      </c>
      <c r="Q7" s="36">
        <v>46784.095999999998</v>
      </c>
      <c r="R7" s="36">
        <v>88740.611000000004</v>
      </c>
      <c r="S7" s="36">
        <v>93194.192999999999</v>
      </c>
      <c r="T7" s="36">
        <v>61034.387000000002</v>
      </c>
      <c r="U7" s="36">
        <v>48319.555</v>
      </c>
      <c r="V7" s="36">
        <v>39791.692000000003</v>
      </c>
      <c r="W7" s="36">
        <v>37527.805</v>
      </c>
      <c r="X7" s="36">
        <v>55573.663999999997</v>
      </c>
      <c r="Y7" s="36">
        <v>62332.830999999998</v>
      </c>
      <c r="Z7" s="36">
        <v>75387.385999999999</v>
      </c>
      <c r="AA7" s="36">
        <v>77870.899999999994</v>
      </c>
      <c r="AB7" s="36">
        <v>78455.100000000006</v>
      </c>
      <c r="AC7" s="36">
        <v>66803</v>
      </c>
      <c r="AD7" s="36">
        <v>78089.899999999994</v>
      </c>
      <c r="AE7" s="300">
        <v>91029</v>
      </c>
      <c r="AF7" s="58">
        <v>75732</v>
      </c>
      <c r="AG7" s="58">
        <v>108732</v>
      </c>
      <c r="AH7" s="334">
        <v>117681.67</v>
      </c>
      <c r="AI7" s="70">
        <v>123401.861</v>
      </c>
      <c r="AJ7" s="768">
        <v>136911.08499999999</v>
      </c>
      <c r="AK7" s="73">
        <v>204994.75</v>
      </c>
      <c r="AL7" s="867">
        <v>2474.94</v>
      </c>
      <c r="AM7" s="806">
        <v>8518</v>
      </c>
      <c r="AN7" s="806">
        <v>20088</v>
      </c>
      <c r="AO7" s="806">
        <v>27687.102999999999</v>
      </c>
      <c r="AP7" s="917">
        <v>55329</v>
      </c>
      <c r="AQ7" s="967">
        <v>73446.990000000005</v>
      </c>
      <c r="AR7" s="1085">
        <v>85660.535999999993</v>
      </c>
    </row>
    <row r="8" spans="1:44" s="15" customFormat="1">
      <c r="A8" s="335" t="s">
        <v>388</v>
      </c>
      <c r="B8" s="283"/>
      <c r="C8" s="36" t="s">
        <v>1</v>
      </c>
      <c r="D8" s="36" t="s">
        <v>1</v>
      </c>
      <c r="E8" s="36" t="s">
        <v>1</v>
      </c>
      <c r="F8" s="36" t="s">
        <v>1</v>
      </c>
      <c r="G8" s="36" t="s">
        <v>1</v>
      </c>
      <c r="H8" s="36" t="s">
        <v>1</v>
      </c>
      <c r="I8" s="36" t="s">
        <v>1</v>
      </c>
      <c r="J8" s="36">
        <v>4516.2830000000004</v>
      </c>
      <c r="K8" s="36">
        <v>3691.7919999999999</v>
      </c>
      <c r="L8" s="36">
        <v>12329.978999999999</v>
      </c>
      <c r="M8" s="36">
        <v>8145.5510000000004</v>
      </c>
      <c r="N8" s="36">
        <v>10345.08</v>
      </c>
      <c r="O8" s="36">
        <v>12897.460999999999</v>
      </c>
      <c r="P8" s="36">
        <v>13015.271000000001</v>
      </c>
      <c r="Q8" s="36">
        <v>38667.866999999998</v>
      </c>
      <c r="R8" s="36">
        <v>47948.714999999997</v>
      </c>
      <c r="S8" s="36">
        <v>62815.514999999999</v>
      </c>
      <c r="T8" s="36">
        <v>42735.733</v>
      </c>
      <c r="U8" s="36">
        <v>30359.227999999999</v>
      </c>
      <c r="V8" s="36">
        <v>29384.091</v>
      </c>
      <c r="W8" s="36">
        <v>33393.605000000003</v>
      </c>
      <c r="X8" s="36">
        <v>30974.613000000001</v>
      </c>
      <c r="Y8" s="36">
        <v>21847.02</v>
      </c>
      <c r="Z8" s="36">
        <v>25708.477999999999</v>
      </c>
      <c r="AA8" s="36">
        <v>26676.2</v>
      </c>
      <c r="AB8" s="36">
        <v>27451.4</v>
      </c>
      <c r="AC8" s="36">
        <v>19664.8</v>
      </c>
      <c r="AD8" s="36">
        <v>16349.1</v>
      </c>
      <c r="AE8" s="300">
        <v>17794</v>
      </c>
      <c r="AF8" s="58">
        <v>19428</v>
      </c>
      <c r="AG8" s="58">
        <v>35397</v>
      </c>
      <c r="AH8" s="334">
        <v>38005.531000000003</v>
      </c>
      <c r="AI8" s="70">
        <v>41360.843000000001</v>
      </c>
      <c r="AJ8" s="768">
        <v>69583.638999999996</v>
      </c>
      <c r="AK8" s="73">
        <v>74368.788</v>
      </c>
      <c r="AL8" s="867">
        <v>100</v>
      </c>
      <c r="AM8" s="806">
        <v>1263</v>
      </c>
      <c r="AN8" s="806">
        <v>12274</v>
      </c>
      <c r="AO8" s="806">
        <v>13005.319</v>
      </c>
      <c r="AP8" s="917">
        <v>16224</v>
      </c>
      <c r="AQ8" s="967">
        <v>44793.504999999997</v>
      </c>
      <c r="AR8" s="1085">
        <v>51230.182999999997</v>
      </c>
    </row>
    <row r="9" spans="1:44" s="15" customFormat="1">
      <c r="A9" s="335" t="s">
        <v>136</v>
      </c>
      <c r="B9" s="283"/>
      <c r="C9" s="36" t="s">
        <v>1</v>
      </c>
      <c r="D9" s="36" t="s">
        <v>1</v>
      </c>
      <c r="E9" s="36" t="s">
        <v>1</v>
      </c>
      <c r="F9" s="36" t="s">
        <v>1</v>
      </c>
      <c r="G9" s="36" t="s">
        <v>1</v>
      </c>
      <c r="H9" s="36" t="s">
        <v>1</v>
      </c>
      <c r="I9" s="36" t="s">
        <v>1</v>
      </c>
      <c r="J9" s="36">
        <v>2312.6010000000001</v>
      </c>
      <c r="K9" s="36">
        <v>1890.413</v>
      </c>
      <c r="L9" s="36">
        <v>611.96600000000001</v>
      </c>
      <c r="M9" s="36">
        <v>7957.6689999999999</v>
      </c>
      <c r="N9" s="36">
        <v>8302.8809999999994</v>
      </c>
      <c r="O9" s="36">
        <v>10198.34</v>
      </c>
      <c r="P9" s="36">
        <v>10980.983</v>
      </c>
      <c r="Q9" s="36">
        <v>41955.790999999997</v>
      </c>
      <c r="R9" s="36">
        <v>69834.982000000004</v>
      </c>
      <c r="S9" s="36">
        <v>88569.968999999997</v>
      </c>
      <c r="T9" s="36">
        <v>66072.197</v>
      </c>
      <c r="U9" s="36">
        <v>36797.466</v>
      </c>
      <c r="V9" s="36">
        <v>45109.392999999996</v>
      </c>
      <c r="W9" s="36">
        <v>45447.875999999997</v>
      </c>
      <c r="X9" s="36">
        <v>28603.571</v>
      </c>
      <c r="Y9" s="36">
        <v>29029.867999999999</v>
      </c>
      <c r="Z9" s="36">
        <v>35796.131999999998</v>
      </c>
      <c r="AA9" s="36">
        <v>38067.4</v>
      </c>
      <c r="AB9" s="36">
        <v>44878.2</v>
      </c>
      <c r="AC9" s="36">
        <v>42864.1</v>
      </c>
      <c r="AD9" s="36">
        <v>58039.1</v>
      </c>
      <c r="AE9" s="300">
        <v>56597</v>
      </c>
      <c r="AF9" s="58">
        <v>57099</v>
      </c>
      <c r="AG9" s="58">
        <v>65753</v>
      </c>
      <c r="AH9" s="334">
        <v>66332.764999999999</v>
      </c>
      <c r="AI9" s="70">
        <v>70364.592000000004</v>
      </c>
      <c r="AJ9" s="768">
        <v>125877.255</v>
      </c>
      <c r="AK9" s="73">
        <v>161816.01800000001</v>
      </c>
      <c r="AL9" s="867">
        <v>1033.94</v>
      </c>
      <c r="AM9" s="806">
        <v>3714</v>
      </c>
      <c r="AN9" s="806">
        <v>26763</v>
      </c>
      <c r="AO9" s="806">
        <v>32508.763999999999</v>
      </c>
      <c r="AP9" s="917">
        <v>40678</v>
      </c>
      <c r="AQ9" s="967">
        <v>83455.842000000004</v>
      </c>
      <c r="AR9" s="1085">
        <v>117985.22500000001</v>
      </c>
    </row>
    <row r="10" spans="1:44" s="15" customFormat="1">
      <c r="A10" s="335" t="s">
        <v>112</v>
      </c>
      <c r="B10" s="283"/>
      <c r="C10" s="36" t="s">
        <v>1</v>
      </c>
      <c r="D10" s="36" t="s">
        <v>1</v>
      </c>
      <c r="E10" s="36" t="s">
        <v>1</v>
      </c>
      <c r="F10" s="36" t="s">
        <v>1</v>
      </c>
      <c r="G10" s="36" t="s">
        <v>1</v>
      </c>
      <c r="H10" s="36" t="s">
        <v>1</v>
      </c>
      <c r="I10" s="36" t="s">
        <v>1</v>
      </c>
      <c r="J10" s="36" t="s">
        <v>1</v>
      </c>
      <c r="K10" s="36" t="s">
        <v>1</v>
      </c>
      <c r="L10" s="36" t="s">
        <v>1</v>
      </c>
      <c r="M10" s="36" t="s">
        <v>1</v>
      </c>
      <c r="N10" s="36" t="s">
        <v>1</v>
      </c>
      <c r="O10" s="36" t="s">
        <v>1</v>
      </c>
      <c r="P10" s="36" t="s">
        <v>1</v>
      </c>
      <c r="Q10" s="36" t="s">
        <v>1</v>
      </c>
      <c r="R10" s="36" t="s">
        <v>1</v>
      </c>
      <c r="S10" s="36" t="s">
        <v>1</v>
      </c>
      <c r="T10" s="36" t="s">
        <v>1</v>
      </c>
      <c r="U10" s="36" t="s">
        <v>1</v>
      </c>
      <c r="V10" s="36" t="s">
        <v>1</v>
      </c>
      <c r="W10" s="36" t="s">
        <v>1</v>
      </c>
      <c r="X10" s="36" t="s">
        <v>1</v>
      </c>
      <c r="Y10" s="36" t="s">
        <v>1</v>
      </c>
      <c r="Z10" s="36">
        <v>3783.5540000000001</v>
      </c>
      <c r="AA10" s="36">
        <v>3982.1</v>
      </c>
      <c r="AB10" s="36">
        <v>5630.3</v>
      </c>
      <c r="AC10" s="36">
        <v>26373.200000000001</v>
      </c>
      <c r="AD10" s="36">
        <v>27899.1</v>
      </c>
      <c r="AE10" s="300">
        <v>28435</v>
      </c>
      <c r="AF10" s="58">
        <v>60386</v>
      </c>
      <c r="AG10" s="58">
        <v>74452</v>
      </c>
      <c r="AH10" s="334">
        <v>76098.698999999993</v>
      </c>
      <c r="AI10" s="70">
        <v>82252.331000000006</v>
      </c>
      <c r="AJ10" s="768">
        <v>58160.873</v>
      </c>
      <c r="AK10" s="73">
        <v>107824.149</v>
      </c>
      <c r="AL10" s="867">
        <v>2458.9580000000001</v>
      </c>
      <c r="AM10" s="806">
        <v>6920</v>
      </c>
      <c r="AN10" s="806">
        <v>15286</v>
      </c>
      <c r="AO10" s="806">
        <v>25308.644</v>
      </c>
      <c r="AP10" s="917">
        <v>34997</v>
      </c>
      <c r="AQ10" s="967">
        <v>45371.652999999998</v>
      </c>
      <c r="AR10" s="1085">
        <v>59272.584000000003</v>
      </c>
    </row>
    <row r="11" spans="1:44" s="15" customFormat="1">
      <c r="A11" s="335" t="s">
        <v>113</v>
      </c>
      <c r="B11" s="283"/>
      <c r="C11" s="36" t="s">
        <v>1</v>
      </c>
      <c r="D11" s="36" t="s">
        <v>1</v>
      </c>
      <c r="E11" s="36" t="s">
        <v>1</v>
      </c>
      <c r="F11" s="36" t="s">
        <v>1</v>
      </c>
      <c r="G11" s="36" t="s">
        <v>1</v>
      </c>
      <c r="H11" s="36" t="s">
        <v>1</v>
      </c>
      <c r="I11" s="36" t="s">
        <v>1</v>
      </c>
      <c r="J11" s="36">
        <v>1494.4</v>
      </c>
      <c r="K11" s="36">
        <v>1221.5830000000001</v>
      </c>
      <c r="L11" s="36">
        <v>1563.913</v>
      </c>
      <c r="M11" s="36">
        <v>5567.5829999999996</v>
      </c>
      <c r="N11" s="36">
        <v>6570.1049999999996</v>
      </c>
      <c r="O11" s="36">
        <v>6984.9719999999998</v>
      </c>
      <c r="P11" s="36">
        <v>8644.5789999999997</v>
      </c>
      <c r="Q11" s="36">
        <v>16434.91</v>
      </c>
      <c r="R11" s="36">
        <v>23242.559000000001</v>
      </c>
      <c r="S11" s="36">
        <v>20956.845000000001</v>
      </c>
      <c r="T11" s="36">
        <v>24286.304</v>
      </c>
      <c r="U11" s="36">
        <v>20655.593000000001</v>
      </c>
      <c r="V11" s="36">
        <v>16535.728999999999</v>
      </c>
      <c r="W11" s="36">
        <v>20351.848999999998</v>
      </c>
      <c r="X11" s="36">
        <v>19060.302</v>
      </c>
      <c r="Y11" s="36">
        <v>20266.311000000002</v>
      </c>
      <c r="Z11" s="36">
        <v>22026.478999999999</v>
      </c>
      <c r="AA11" s="36">
        <v>24691.599999999999</v>
      </c>
      <c r="AB11" s="36">
        <v>21730.3</v>
      </c>
      <c r="AC11" s="36">
        <v>36353.5</v>
      </c>
      <c r="AD11" s="36">
        <v>23044.9</v>
      </c>
      <c r="AE11" s="300">
        <v>19194</v>
      </c>
      <c r="AF11" s="58">
        <v>26880</v>
      </c>
      <c r="AG11" s="58">
        <v>55707</v>
      </c>
      <c r="AH11" s="334">
        <v>68349.741999999998</v>
      </c>
      <c r="AI11" s="70">
        <v>72678.149999999994</v>
      </c>
      <c r="AJ11" s="768">
        <v>68068.955000000002</v>
      </c>
      <c r="AK11" s="73">
        <v>115257.083</v>
      </c>
      <c r="AL11" s="867">
        <v>507.61200000000002</v>
      </c>
      <c r="AM11" s="806">
        <v>3682</v>
      </c>
      <c r="AN11" s="806">
        <v>13245</v>
      </c>
      <c r="AO11" s="806">
        <v>17602.141</v>
      </c>
      <c r="AP11" s="917">
        <v>25597</v>
      </c>
      <c r="AQ11" s="967">
        <v>41819.618000000002</v>
      </c>
      <c r="AR11" s="1085">
        <v>53215.11</v>
      </c>
    </row>
    <row r="12" spans="1:44" s="15" customFormat="1">
      <c r="A12" s="336" t="s">
        <v>102</v>
      </c>
      <c r="B12" s="298" t="s">
        <v>74</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23"/>
      <c r="AD12" s="337"/>
      <c r="AE12" s="323"/>
      <c r="AF12" s="34"/>
      <c r="AG12" s="39"/>
      <c r="AH12" s="283"/>
      <c r="AI12" s="338"/>
      <c r="AJ12" s="786"/>
      <c r="AK12" s="51"/>
      <c r="AL12" s="860"/>
      <c r="AM12" s="811"/>
      <c r="AN12" s="811"/>
      <c r="AO12" s="811"/>
      <c r="AP12" s="916"/>
      <c r="AQ12" s="34"/>
      <c r="AR12" s="1078"/>
    </row>
    <row r="13" spans="1:44" s="15" customFormat="1">
      <c r="A13" s="333" t="s">
        <v>108</v>
      </c>
      <c r="B13" s="283"/>
      <c r="C13" s="36">
        <v>73.900000000000006</v>
      </c>
      <c r="D13" s="36">
        <v>34.9</v>
      </c>
      <c r="E13" s="36">
        <v>80.2</v>
      </c>
      <c r="F13" s="36">
        <v>99.5</v>
      </c>
      <c r="G13" s="36">
        <v>64.8</v>
      </c>
      <c r="H13" s="36">
        <v>81.400000000000006</v>
      </c>
      <c r="I13" s="36">
        <v>118.2</v>
      </c>
      <c r="J13" s="36">
        <v>120.7</v>
      </c>
      <c r="K13" s="36">
        <v>75.2</v>
      </c>
      <c r="L13" s="36">
        <v>173</v>
      </c>
      <c r="M13" s="36">
        <v>157.1</v>
      </c>
      <c r="N13" s="36">
        <v>142.1</v>
      </c>
      <c r="O13" s="36">
        <v>122.4</v>
      </c>
      <c r="P13" s="36">
        <v>94.8</v>
      </c>
      <c r="Q13" s="36">
        <v>251.9</v>
      </c>
      <c r="R13" s="36">
        <v>150.9</v>
      </c>
      <c r="S13" s="36">
        <v>107.9</v>
      </c>
      <c r="T13" s="36">
        <v>62.7</v>
      </c>
      <c r="U13" s="36">
        <v>80.099999999999994</v>
      </c>
      <c r="V13" s="36">
        <v>89.5</v>
      </c>
      <c r="W13" s="36">
        <v>95</v>
      </c>
      <c r="X13" s="36">
        <v>107.3</v>
      </c>
      <c r="Y13" s="36">
        <v>91.9</v>
      </c>
      <c r="Z13" s="36">
        <v>112.1</v>
      </c>
      <c r="AA13" s="36">
        <v>101.8</v>
      </c>
      <c r="AB13" s="36">
        <v>100.6</v>
      </c>
      <c r="AC13" s="36">
        <v>103.5</v>
      </c>
      <c r="AD13" s="337">
        <v>104.8</v>
      </c>
      <c r="AE13" s="339">
        <v>103.5</v>
      </c>
      <c r="AF13" s="340">
        <v>110.7</v>
      </c>
      <c r="AG13" s="340">
        <v>120</v>
      </c>
      <c r="AH13" s="341">
        <v>106.7</v>
      </c>
      <c r="AI13" s="242">
        <v>102.4</v>
      </c>
      <c r="AJ13" s="767">
        <v>117.5</v>
      </c>
      <c r="AK13" s="51">
        <v>151.4</v>
      </c>
      <c r="AL13" s="860">
        <v>118.3</v>
      </c>
      <c r="AM13" s="811">
        <v>110.2</v>
      </c>
      <c r="AN13" s="811">
        <v>122.7</v>
      </c>
      <c r="AO13" s="817">
        <v>117</v>
      </c>
      <c r="AP13" s="918">
        <v>127.2</v>
      </c>
      <c r="AQ13" s="34">
        <v>122.5</v>
      </c>
      <c r="AR13" s="1078">
        <v>123.3</v>
      </c>
    </row>
    <row r="14" spans="1:44" s="15" customFormat="1">
      <c r="A14" s="335" t="s">
        <v>109</v>
      </c>
      <c r="B14" s="283"/>
      <c r="C14" s="36" t="s">
        <v>1</v>
      </c>
      <c r="D14" s="36" t="s">
        <v>1</v>
      </c>
      <c r="E14" s="36" t="s">
        <v>1</v>
      </c>
      <c r="F14" s="36" t="s">
        <v>1</v>
      </c>
      <c r="G14" s="36" t="s">
        <v>1</v>
      </c>
      <c r="H14" s="36" t="s">
        <v>1</v>
      </c>
      <c r="I14" s="36" t="s">
        <v>1</v>
      </c>
      <c r="J14" s="36" t="s">
        <v>1</v>
      </c>
      <c r="K14" s="36">
        <v>75.201499936901271</v>
      </c>
      <c r="L14" s="36">
        <v>345.67567731064571</v>
      </c>
      <c r="M14" s="36">
        <v>201.32882715013548</v>
      </c>
      <c r="N14" s="36">
        <v>133.63977320583032</v>
      </c>
      <c r="O14" s="36">
        <v>140.53559204274237</v>
      </c>
      <c r="P14" s="36">
        <v>97.491175518627344</v>
      </c>
      <c r="Q14" s="36">
        <v>231.43747823715356</v>
      </c>
      <c r="R14" s="36">
        <v>150.63717676661651</v>
      </c>
      <c r="S14" s="36">
        <v>132.18541965011397</v>
      </c>
      <c r="T14" s="36">
        <v>47.681641288228334</v>
      </c>
      <c r="U14" s="36">
        <v>115.28007132250586</v>
      </c>
      <c r="V14" s="36">
        <v>77.040000000000006</v>
      </c>
      <c r="W14" s="36">
        <v>73.5</v>
      </c>
      <c r="X14" s="36">
        <v>126.74</v>
      </c>
      <c r="Y14" s="36">
        <v>74.27</v>
      </c>
      <c r="Z14" s="36">
        <v>109.3</v>
      </c>
      <c r="AA14" s="36">
        <v>78.900000000000006</v>
      </c>
      <c r="AB14" s="36">
        <v>99.6</v>
      </c>
      <c r="AC14" s="36">
        <v>109.4</v>
      </c>
      <c r="AD14" s="337">
        <v>107</v>
      </c>
      <c r="AE14" s="339">
        <v>106.6</v>
      </c>
      <c r="AF14" s="340">
        <v>109.3</v>
      </c>
      <c r="AG14" s="340">
        <v>122.8</v>
      </c>
      <c r="AH14" s="341">
        <v>103.4</v>
      </c>
      <c r="AI14" s="242">
        <v>101.4</v>
      </c>
      <c r="AJ14" s="767">
        <v>114.4</v>
      </c>
      <c r="AK14" s="51">
        <v>148.30000000000001</v>
      </c>
      <c r="AL14" s="860">
        <v>116.7</v>
      </c>
      <c r="AM14" s="811">
        <v>109.3</v>
      </c>
      <c r="AN14" s="811">
        <v>95.4</v>
      </c>
      <c r="AO14" s="811">
        <v>96.9</v>
      </c>
      <c r="AP14" s="918">
        <v>91.4</v>
      </c>
      <c r="AQ14" s="34">
        <v>93.9</v>
      </c>
      <c r="AR14" s="1078">
        <v>96.2</v>
      </c>
    </row>
    <row r="15" spans="1:44" s="15" customFormat="1">
      <c r="A15" s="335" t="s">
        <v>135</v>
      </c>
      <c r="B15" s="283"/>
      <c r="C15" s="36" t="s">
        <v>1</v>
      </c>
      <c r="D15" s="36" t="s">
        <v>1</v>
      </c>
      <c r="E15" s="36" t="s">
        <v>1</v>
      </c>
      <c r="F15" s="36" t="s">
        <v>1</v>
      </c>
      <c r="G15" s="36" t="s">
        <v>1</v>
      </c>
      <c r="H15" s="36" t="s">
        <v>1</v>
      </c>
      <c r="I15" s="36" t="s">
        <v>1</v>
      </c>
      <c r="J15" s="36" t="s">
        <v>1</v>
      </c>
      <c r="K15" s="36" t="s">
        <v>1</v>
      </c>
      <c r="L15" s="36" t="s">
        <v>1</v>
      </c>
      <c r="M15" s="36" t="s">
        <v>1</v>
      </c>
      <c r="N15" s="36" t="s">
        <v>1</v>
      </c>
      <c r="O15" s="36" t="s">
        <v>1</v>
      </c>
      <c r="P15" s="36" t="s">
        <v>1</v>
      </c>
      <c r="Q15" s="36" t="s">
        <v>1</v>
      </c>
      <c r="R15" s="36" t="s">
        <v>1</v>
      </c>
      <c r="S15" s="36" t="s">
        <v>1</v>
      </c>
      <c r="T15" s="36" t="s">
        <v>1</v>
      </c>
      <c r="U15" s="36">
        <v>138.2050686292306</v>
      </c>
      <c r="V15" s="36">
        <v>190.68</v>
      </c>
      <c r="W15" s="36">
        <v>101.4</v>
      </c>
      <c r="X15" s="36">
        <v>218.40329192483975</v>
      </c>
      <c r="Y15" s="36">
        <v>79.12</v>
      </c>
      <c r="Z15" s="36">
        <v>129.1</v>
      </c>
      <c r="AA15" s="36">
        <v>124.5</v>
      </c>
      <c r="AB15" s="36">
        <v>107.4</v>
      </c>
      <c r="AC15" s="36">
        <v>117.2</v>
      </c>
      <c r="AD15" s="337">
        <v>104.1</v>
      </c>
      <c r="AE15" s="339">
        <v>104.1</v>
      </c>
      <c r="AF15" s="340">
        <v>113</v>
      </c>
      <c r="AG15" s="331">
        <v>58.4</v>
      </c>
      <c r="AH15" s="341">
        <v>177.3</v>
      </c>
      <c r="AI15" s="242">
        <v>105.2</v>
      </c>
      <c r="AJ15" s="767">
        <v>148.1</v>
      </c>
      <c r="AK15" s="51">
        <v>188.9</v>
      </c>
      <c r="AL15" s="860">
        <v>186.1</v>
      </c>
      <c r="AM15" s="811">
        <v>130.9</v>
      </c>
      <c r="AN15" s="811">
        <v>110.8</v>
      </c>
      <c r="AO15" s="811">
        <v>115.7</v>
      </c>
      <c r="AP15" s="918">
        <v>149.1</v>
      </c>
      <c r="AQ15" s="34">
        <v>147.19999999999999</v>
      </c>
      <c r="AR15" s="1078">
        <v>132.80000000000001</v>
      </c>
    </row>
    <row r="16" spans="1:44" s="15" customFormat="1">
      <c r="A16" s="335" t="s">
        <v>110</v>
      </c>
      <c r="B16" s="283"/>
      <c r="C16" s="36" t="s">
        <v>1</v>
      </c>
      <c r="D16" s="36" t="s">
        <v>1</v>
      </c>
      <c r="E16" s="36" t="s">
        <v>1</v>
      </c>
      <c r="F16" s="36" t="s">
        <v>1</v>
      </c>
      <c r="G16" s="36" t="s">
        <v>1</v>
      </c>
      <c r="H16" s="36" t="s">
        <v>1</v>
      </c>
      <c r="I16" s="36" t="s">
        <v>1</v>
      </c>
      <c r="J16" s="36" t="s">
        <v>1</v>
      </c>
      <c r="K16" s="36">
        <v>75.201499936901271</v>
      </c>
      <c r="L16" s="36">
        <v>80.31430144472543</v>
      </c>
      <c r="M16" s="36">
        <v>285.86425305378231</v>
      </c>
      <c r="N16" s="36">
        <v>158.06488310201573</v>
      </c>
      <c r="O16" s="36">
        <v>132.47198562178087</v>
      </c>
      <c r="P16" s="36">
        <v>81.275939617552524</v>
      </c>
      <c r="Q16" s="36">
        <v>224.32938037602352</v>
      </c>
      <c r="R16" s="36">
        <v>138.79193438487414</v>
      </c>
      <c r="S16" s="36">
        <v>81.792641469022371</v>
      </c>
      <c r="T16" s="36">
        <v>62.332052604865531</v>
      </c>
      <c r="U16" s="36">
        <v>103.26016496879886</v>
      </c>
      <c r="V16" s="36">
        <v>80.44</v>
      </c>
      <c r="W16" s="36">
        <v>100.4</v>
      </c>
      <c r="X16" s="36">
        <v>100.3</v>
      </c>
      <c r="Y16" s="36">
        <v>108.88</v>
      </c>
      <c r="Z16" s="36">
        <v>115.01</v>
      </c>
      <c r="AA16" s="36">
        <v>101.4</v>
      </c>
      <c r="AB16" s="36">
        <v>96.3</v>
      </c>
      <c r="AC16" s="36">
        <v>86.7</v>
      </c>
      <c r="AD16" s="337">
        <v>122.8</v>
      </c>
      <c r="AE16" s="339">
        <v>102.3</v>
      </c>
      <c r="AF16" s="340">
        <v>100.5</v>
      </c>
      <c r="AG16" s="331">
        <v>128.30000000000001</v>
      </c>
      <c r="AH16" s="341">
        <v>84.1</v>
      </c>
      <c r="AI16" s="242">
        <v>101.4</v>
      </c>
      <c r="AJ16" s="767">
        <v>102.2</v>
      </c>
      <c r="AK16" s="51">
        <v>148.5</v>
      </c>
      <c r="AL16" s="860">
        <v>77.900000000000006</v>
      </c>
      <c r="AM16" s="811">
        <v>87.1</v>
      </c>
      <c r="AN16" s="811">
        <v>104.1</v>
      </c>
      <c r="AO16" s="811">
        <v>93.6</v>
      </c>
      <c r="AP16" s="918">
        <v>115.9</v>
      </c>
      <c r="AQ16" s="46">
        <v>107</v>
      </c>
      <c r="AR16" s="1078">
        <v>111.4</v>
      </c>
    </row>
    <row r="17" spans="1:44" s="15" customFormat="1">
      <c r="A17" s="335" t="s">
        <v>111</v>
      </c>
      <c r="B17" s="283"/>
      <c r="C17" s="36" t="s">
        <v>1</v>
      </c>
      <c r="D17" s="36" t="s">
        <v>1</v>
      </c>
      <c r="E17" s="36" t="s">
        <v>1</v>
      </c>
      <c r="F17" s="36" t="s">
        <v>1</v>
      </c>
      <c r="G17" s="36" t="s">
        <v>1</v>
      </c>
      <c r="H17" s="36" t="s">
        <v>1</v>
      </c>
      <c r="I17" s="36" t="s">
        <v>1</v>
      </c>
      <c r="J17" s="36" t="s">
        <v>1</v>
      </c>
      <c r="K17" s="36">
        <v>75.201499936901271</v>
      </c>
      <c r="L17" s="36">
        <v>140.58541650765991</v>
      </c>
      <c r="M17" s="36">
        <v>128.17689172952393</v>
      </c>
      <c r="N17" s="36">
        <v>325.55821353284608</v>
      </c>
      <c r="O17" s="36">
        <v>118.81856884822813</v>
      </c>
      <c r="P17" s="36">
        <v>91.666819327412114</v>
      </c>
      <c r="Q17" s="36">
        <v>240.73863846796792</v>
      </c>
      <c r="R17" s="36">
        <v>182.73713928336474</v>
      </c>
      <c r="S17" s="36">
        <v>96.70225697191897</v>
      </c>
      <c r="T17" s="36">
        <v>59.592011301044522</v>
      </c>
      <c r="U17" s="36">
        <v>75.686191514025936</v>
      </c>
      <c r="V17" s="36">
        <v>79.41</v>
      </c>
      <c r="W17" s="36">
        <v>91.1</v>
      </c>
      <c r="X17" s="36">
        <v>142.80000000000001</v>
      </c>
      <c r="Y17" s="36">
        <v>109.21</v>
      </c>
      <c r="Z17" s="36">
        <v>114.11</v>
      </c>
      <c r="AA17" s="36">
        <v>101.5</v>
      </c>
      <c r="AB17" s="36">
        <v>97.1</v>
      </c>
      <c r="AC17" s="36">
        <v>81.2</v>
      </c>
      <c r="AD17" s="337">
        <v>111.8</v>
      </c>
      <c r="AE17" s="339">
        <v>114.5</v>
      </c>
      <c r="AF17" s="340">
        <v>83.3</v>
      </c>
      <c r="AG17" s="331">
        <v>136.30000000000001</v>
      </c>
      <c r="AH17" s="341">
        <v>103.6</v>
      </c>
      <c r="AI17" s="242">
        <v>100.6</v>
      </c>
      <c r="AJ17" s="767">
        <v>107.4</v>
      </c>
      <c r="AK17" s="51">
        <v>146.80000000000001</v>
      </c>
      <c r="AL17" s="860">
        <v>94.9</v>
      </c>
      <c r="AM17" s="817">
        <v>95</v>
      </c>
      <c r="AN17" s="817">
        <v>84.8</v>
      </c>
      <c r="AO17" s="817">
        <v>90.5</v>
      </c>
      <c r="AP17" s="918">
        <v>127.5</v>
      </c>
      <c r="AQ17" s="34">
        <v>101.7</v>
      </c>
      <c r="AR17" s="1078">
        <v>100.6</v>
      </c>
    </row>
    <row r="18" spans="1:44" s="15" customFormat="1">
      <c r="A18" s="335" t="s">
        <v>388</v>
      </c>
      <c r="B18" s="283"/>
      <c r="C18" s="36" t="s">
        <v>1</v>
      </c>
      <c r="D18" s="36" t="s">
        <v>1</v>
      </c>
      <c r="E18" s="36" t="s">
        <v>1</v>
      </c>
      <c r="F18" s="36" t="s">
        <v>1</v>
      </c>
      <c r="G18" s="36" t="s">
        <v>1</v>
      </c>
      <c r="H18" s="36" t="s">
        <v>1</v>
      </c>
      <c r="I18" s="36" t="s">
        <v>1</v>
      </c>
      <c r="J18" s="36" t="s">
        <v>1</v>
      </c>
      <c r="K18" s="36">
        <v>75.2014999369013</v>
      </c>
      <c r="L18" s="36">
        <v>299.80572199714311</v>
      </c>
      <c r="M18" s="36">
        <v>59.785504139634618</v>
      </c>
      <c r="N18" s="36">
        <v>114.72702233040842</v>
      </c>
      <c r="O18" s="36">
        <v>117.61548586114714</v>
      </c>
      <c r="P18" s="36">
        <v>95.111626743240336</v>
      </c>
      <c r="Q18" s="36">
        <v>279.48836451653716</v>
      </c>
      <c r="R18" s="36">
        <v>119.46189821982178</v>
      </c>
      <c r="S18" s="36">
        <v>120.63133112539357</v>
      </c>
      <c r="T18" s="36">
        <v>61.905115963747768</v>
      </c>
      <c r="U18" s="36">
        <v>67.915339963400882</v>
      </c>
      <c r="V18" s="36">
        <v>93.33</v>
      </c>
      <c r="W18" s="36">
        <v>109.8</v>
      </c>
      <c r="X18" s="36">
        <v>89.45</v>
      </c>
      <c r="Y18" s="36">
        <v>68.680000000000007</v>
      </c>
      <c r="Z18" s="36">
        <v>99.16</v>
      </c>
      <c r="AA18" s="36">
        <v>101.9</v>
      </c>
      <c r="AB18" s="36">
        <v>99.1</v>
      </c>
      <c r="AC18" s="36">
        <v>68.400000000000006</v>
      </c>
      <c r="AD18" s="337">
        <v>79.5</v>
      </c>
      <c r="AE18" s="339">
        <v>106.9</v>
      </c>
      <c r="AF18" s="45">
        <v>109.3</v>
      </c>
      <c r="AG18" s="45">
        <v>173</v>
      </c>
      <c r="AH18" s="341">
        <v>102.7</v>
      </c>
      <c r="AI18" s="242">
        <v>104.4</v>
      </c>
      <c r="AJ18" s="767">
        <v>162.9</v>
      </c>
      <c r="AK18" s="51">
        <v>104.8</v>
      </c>
      <c r="AL18" s="860">
        <v>93.5</v>
      </c>
      <c r="AM18" s="811">
        <v>102.9</v>
      </c>
      <c r="AN18" s="811">
        <v>173.7</v>
      </c>
      <c r="AO18" s="811">
        <v>147.9</v>
      </c>
      <c r="AP18" s="918">
        <v>136.69999999999999</v>
      </c>
      <c r="AQ18" s="34">
        <v>182.5</v>
      </c>
      <c r="AR18" s="1078">
        <v>154.69999999999999</v>
      </c>
    </row>
    <row r="19" spans="1:44" s="15" customFormat="1">
      <c r="A19" s="335" t="s">
        <v>136</v>
      </c>
      <c r="B19" s="283"/>
      <c r="C19" s="36" t="s">
        <v>1</v>
      </c>
      <c r="D19" s="36" t="s">
        <v>1</v>
      </c>
      <c r="E19" s="36" t="s">
        <v>1</v>
      </c>
      <c r="F19" s="36" t="s">
        <v>1</v>
      </c>
      <c r="G19" s="36" t="s">
        <v>1</v>
      </c>
      <c r="H19" s="36" t="s">
        <v>1</v>
      </c>
      <c r="I19" s="36" t="s">
        <v>1</v>
      </c>
      <c r="J19" s="36" t="s">
        <v>1</v>
      </c>
      <c r="K19" s="36">
        <v>75.201499936901286</v>
      </c>
      <c r="L19" s="36">
        <v>29.059308896572588</v>
      </c>
      <c r="M19" s="36">
        <v>1176.7827954993475</v>
      </c>
      <c r="N19" s="36">
        <v>94.253027743194366</v>
      </c>
      <c r="O19" s="36">
        <v>115.87635972197769</v>
      </c>
      <c r="P19" s="36">
        <v>101.48370485801581</v>
      </c>
      <c r="Q19" s="36">
        <v>359.43257089434462</v>
      </c>
      <c r="R19" s="36">
        <v>160.35546323736847</v>
      </c>
      <c r="S19" s="36">
        <v>116.78407924044538</v>
      </c>
      <c r="T19" s="36">
        <v>67.878863710150597</v>
      </c>
      <c r="U19" s="36">
        <v>53.243608117342511</v>
      </c>
      <c r="V19" s="36">
        <v>118.21</v>
      </c>
      <c r="W19" s="36">
        <v>97.3</v>
      </c>
      <c r="X19" s="36">
        <v>60.69</v>
      </c>
      <c r="Y19" s="36">
        <v>98.82</v>
      </c>
      <c r="Z19" s="36">
        <v>117.32</v>
      </c>
      <c r="AA19" s="36">
        <v>104.5</v>
      </c>
      <c r="AB19" s="36">
        <v>113.6</v>
      </c>
      <c r="AC19" s="36">
        <v>91.1</v>
      </c>
      <c r="AD19" s="337">
        <v>129.4</v>
      </c>
      <c r="AE19" s="339">
        <v>95.8</v>
      </c>
      <c r="AF19" s="45">
        <v>101</v>
      </c>
      <c r="AG19" s="342">
        <v>109.4</v>
      </c>
      <c r="AH19" s="341">
        <v>96.5</v>
      </c>
      <c r="AI19" s="242">
        <v>101.8</v>
      </c>
      <c r="AJ19" s="767">
        <v>173.2</v>
      </c>
      <c r="AK19" s="969">
        <v>126</v>
      </c>
      <c r="AL19" s="860">
        <v>107.6</v>
      </c>
      <c r="AM19" s="811">
        <v>109.5</v>
      </c>
      <c r="AN19" s="817">
        <v>197</v>
      </c>
      <c r="AO19" s="817">
        <v>164.1</v>
      </c>
      <c r="AP19" s="918">
        <v>161.1</v>
      </c>
      <c r="AQ19" s="34">
        <v>148.5</v>
      </c>
      <c r="AR19" s="1078">
        <v>156.80000000000001</v>
      </c>
    </row>
    <row r="20" spans="1:44" s="15" customFormat="1">
      <c r="A20" s="335" t="s">
        <v>112</v>
      </c>
      <c r="B20" s="283"/>
      <c r="C20" s="36" t="s">
        <v>1</v>
      </c>
      <c r="D20" s="36" t="s">
        <v>1</v>
      </c>
      <c r="E20" s="36" t="s">
        <v>1</v>
      </c>
      <c r="F20" s="36" t="s">
        <v>1</v>
      </c>
      <c r="G20" s="36" t="s">
        <v>1</v>
      </c>
      <c r="H20" s="36" t="s">
        <v>1</v>
      </c>
      <c r="I20" s="36" t="s">
        <v>1</v>
      </c>
      <c r="J20" s="36" t="s">
        <v>1</v>
      </c>
      <c r="K20" s="36" t="s">
        <v>1</v>
      </c>
      <c r="L20" s="36" t="s">
        <v>1</v>
      </c>
      <c r="M20" s="36" t="s">
        <v>1</v>
      </c>
      <c r="N20" s="36" t="s">
        <v>1</v>
      </c>
      <c r="O20" s="36" t="s">
        <v>1</v>
      </c>
      <c r="P20" s="36" t="s">
        <v>1</v>
      </c>
      <c r="Q20" s="36" t="s">
        <v>1</v>
      </c>
      <c r="R20" s="36" t="s">
        <v>1</v>
      </c>
      <c r="S20" s="36" t="s">
        <v>1</v>
      </c>
      <c r="T20" s="36" t="s">
        <v>1</v>
      </c>
      <c r="U20" s="36" t="s">
        <v>1</v>
      </c>
      <c r="V20" s="36" t="s">
        <v>1</v>
      </c>
      <c r="W20" s="36" t="s">
        <v>1</v>
      </c>
      <c r="X20" s="36" t="s">
        <v>1</v>
      </c>
      <c r="Y20" s="36" t="s">
        <v>1</v>
      </c>
      <c r="Z20" s="36">
        <v>95.8</v>
      </c>
      <c r="AA20" s="36">
        <v>103.4</v>
      </c>
      <c r="AB20" s="36">
        <v>136.19999999999999</v>
      </c>
      <c r="AC20" s="36">
        <v>447</v>
      </c>
      <c r="AD20" s="337">
        <v>101.1</v>
      </c>
      <c r="AE20" s="339">
        <v>100.1</v>
      </c>
      <c r="AF20" s="45">
        <v>212.6</v>
      </c>
      <c r="AG20" s="45">
        <v>117.1</v>
      </c>
      <c r="AH20" s="341">
        <v>97.8</v>
      </c>
      <c r="AI20" s="242">
        <v>103.7</v>
      </c>
      <c r="AJ20" s="767">
        <v>68.5</v>
      </c>
      <c r="AK20" s="51">
        <v>181.8</v>
      </c>
      <c r="AL20" s="860">
        <v>136</v>
      </c>
      <c r="AM20" s="811">
        <v>112.1</v>
      </c>
      <c r="AN20" s="811">
        <v>125.7</v>
      </c>
      <c r="AO20" s="811">
        <v>110.8</v>
      </c>
      <c r="AP20" s="918">
        <v>104.8</v>
      </c>
      <c r="AQ20" s="34">
        <v>98.3</v>
      </c>
      <c r="AR20" s="1078">
        <v>116.1</v>
      </c>
    </row>
    <row r="21" spans="1:44" s="15" customFormat="1">
      <c r="A21" s="335" t="s">
        <v>113</v>
      </c>
      <c r="B21" s="283"/>
      <c r="C21" s="36" t="s">
        <v>1</v>
      </c>
      <c r="D21" s="36" t="s">
        <v>1</v>
      </c>
      <c r="E21" s="36" t="s">
        <v>1</v>
      </c>
      <c r="F21" s="36" t="s">
        <v>1</v>
      </c>
      <c r="G21" s="36" t="s">
        <v>1</v>
      </c>
      <c r="H21" s="36" t="s">
        <v>1</v>
      </c>
      <c r="I21" s="36" t="s">
        <v>1</v>
      </c>
      <c r="J21" s="36" t="s">
        <v>1</v>
      </c>
      <c r="K21" s="36">
        <v>75.201499936901286</v>
      </c>
      <c r="L21" s="36">
        <v>114.92231659261532</v>
      </c>
      <c r="M21" s="36">
        <v>322.17500142620372</v>
      </c>
      <c r="N21" s="36">
        <v>106.60019092860659</v>
      </c>
      <c r="O21" s="36">
        <v>100.29666710241483</v>
      </c>
      <c r="P21" s="36">
        <v>116.64437730033528</v>
      </c>
      <c r="Q21" s="36">
        <v>178.85051527541847</v>
      </c>
      <c r="R21" s="36">
        <v>136.24458779299499</v>
      </c>
      <c r="S21" s="36">
        <v>83.025621743936696</v>
      </c>
      <c r="T21" s="36">
        <v>105.44787564602774</v>
      </c>
      <c r="U21" s="36">
        <v>81.310110459729017</v>
      </c>
      <c r="V21" s="36">
        <v>77.2</v>
      </c>
      <c r="W21" s="36">
        <v>118.9</v>
      </c>
      <c r="X21" s="36">
        <v>90.31</v>
      </c>
      <c r="Y21" s="36">
        <v>103.53</v>
      </c>
      <c r="Z21" s="36">
        <v>99.53</v>
      </c>
      <c r="AA21" s="36">
        <v>110.1</v>
      </c>
      <c r="AB21" s="36">
        <v>84.8</v>
      </c>
      <c r="AC21" s="36">
        <v>159.69999999999999</v>
      </c>
      <c r="AD21" s="337">
        <v>60.6</v>
      </c>
      <c r="AE21" s="339">
        <v>81.8</v>
      </c>
      <c r="AF21" s="45">
        <v>140.19999999999999</v>
      </c>
      <c r="AG21" s="342">
        <v>196.8</v>
      </c>
      <c r="AH21" s="341">
        <v>117.4</v>
      </c>
      <c r="AI21" s="242">
        <v>102</v>
      </c>
      <c r="AJ21" s="769">
        <v>90.7</v>
      </c>
      <c r="AK21" s="969">
        <v>166</v>
      </c>
      <c r="AL21" s="860">
        <v>131.1</v>
      </c>
      <c r="AM21" s="811">
        <v>112.7</v>
      </c>
      <c r="AN21" s="811">
        <v>182.3</v>
      </c>
      <c r="AO21" s="811">
        <v>166.8</v>
      </c>
      <c r="AP21" s="918">
        <v>135.80000000000001</v>
      </c>
      <c r="AQ21" s="34">
        <v>125.7</v>
      </c>
      <c r="AR21" s="1078">
        <v>121.6</v>
      </c>
    </row>
    <row r="22" spans="1:44" s="15" customFormat="1">
      <c r="A22" s="343" t="s">
        <v>218</v>
      </c>
      <c r="B22" s="298" t="s">
        <v>74</v>
      </c>
      <c r="C22" s="36" t="s">
        <v>1</v>
      </c>
      <c r="D22" s="36">
        <v>34.9</v>
      </c>
      <c r="E22" s="36">
        <v>28</v>
      </c>
      <c r="F22" s="36">
        <v>27.8</v>
      </c>
      <c r="G22" s="36">
        <v>18</v>
      </c>
      <c r="H22" s="36">
        <v>14.7</v>
      </c>
      <c r="I22" s="36">
        <v>17.399999999999999</v>
      </c>
      <c r="J22" s="36">
        <v>21</v>
      </c>
      <c r="K22" s="36">
        <v>15.8</v>
      </c>
      <c r="L22" s="36">
        <v>27.3</v>
      </c>
      <c r="M22" s="36">
        <v>42.8</v>
      </c>
      <c r="N22" s="36">
        <v>60.9</v>
      </c>
      <c r="O22" s="36">
        <v>74.5</v>
      </c>
      <c r="P22" s="36">
        <v>70.599999999999994</v>
      </c>
      <c r="Q22" s="36">
        <v>177.9</v>
      </c>
      <c r="R22" s="36">
        <v>268.5</v>
      </c>
      <c r="S22" s="36">
        <v>289.7</v>
      </c>
      <c r="T22" s="36">
        <v>181.6</v>
      </c>
      <c r="U22" s="36">
        <v>145.5</v>
      </c>
      <c r="V22" s="36">
        <v>130.19999999999999</v>
      </c>
      <c r="W22" s="36">
        <v>123.7</v>
      </c>
      <c r="X22" s="36">
        <v>132.69999999999999</v>
      </c>
      <c r="Y22" s="36">
        <v>122</v>
      </c>
      <c r="Z22" s="36">
        <v>136.69999999999999</v>
      </c>
      <c r="AA22" s="36">
        <f>Z22*AA13/100</f>
        <v>139.16059999999999</v>
      </c>
      <c r="AB22" s="344">
        <v>140</v>
      </c>
      <c r="AC22" s="46">
        <v>144.9</v>
      </c>
      <c r="AD22" s="337">
        <v>151.9</v>
      </c>
      <c r="AE22" s="345">
        <v>157.19999999999999</v>
      </c>
      <c r="AF22" s="346">
        <v>174</v>
      </c>
      <c r="AG22" s="347"/>
      <c r="AH22" s="283">
        <v>222.8</v>
      </c>
      <c r="AI22" s="242">
        <v>228.1</v>
      </c>
      <c r="AJ22" s="782">
        <v>268</v>
      </c>
      <c r="AK22" s="418">
        <v>405.8</v>
      </c>
      <c r="AL22" s="860"/>
      <c r="AM22" s="811"/>
      <c r="AN22" s="811"/>
      <c r="AO22" s="811"/>
      <c r="AP22" s="916"/>
      <c r="AQ22" s="34"/>
      <c r="AR22" s="1078"/>
    </row>
    <row r="23" spans="1:44" s="15" customFormat="1">
      <c r="A23" s="329" t="s">
        <v>219</v>
      </c>
      <c r="B23" s="349" t="s">
        <v>220</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23"/>
      <c r="AC23" s="323"/>
      <c r="AD23" s="337"/>
      <c r="AE23" s="323"/>
      <c r="AF23" s="34"/>
      <c r="AG23" s="34"/>
      <c r="AH23" s="283"/>
      <c r="AI23" s="338"/>
      <c r="AJ23" s="786"/>
      <c r="AK23" s="34"/>
      <c r="AL23" s="860"/>
      <c r="AM23" s="811"/>
      <c r="AN23" s="811"/>
      <c r="AO23" s="811"/>
      <c r="AP23" s="916"/>
      <c r="AQ23" s="34"/>
      <c r="AR23" s="1078"/>
    </row>
    <row r="24" spans="1:44" s="15" customFormat="1">
      <c r="A24" s="333" t="s">
        <v>108</v>
      </c>
      <c r="B24" s="283"/>
      <c r="C24" s="36">
        <v>345.4</v>
      </c>
      <c r="D24" s="36">
        <v>295.5</v>
      </c>
      <c r="E24" s="36">
        <v>238.2</v>
      </c>
      <c r="F24" s="36">
        <v>163.6</v>
      </c>
      <c r="G24" s="36">
        <v>216.9</v>
      </c>
      <c r="H24" s="36">
        <v>222.1</v>
      </c>
      <c r="I24" s="36">
        <v>223.1</v>
      </c>
      <c r="J24" s="36">
        <v>173.3</v>
      </c>
      <c r="K24" s="36">
        <v>194.6</v>
      </c>
      <c r="L24" s="36">
        <v>217.4</v>
      </c>
      <c r="M24" s="36">
        <v>240.9</v>
      </c>
      <c r="N24" s="36">
        <v>266.10000000000002</v>
      </c>
      <c r="O24" s="36">
        <v>291.5</v>
      </c>
      <c r="P24" s="36">
        <v>311.39999999999998</v>
      </c>
      <c r="Q24" s="36">
        <v>605.29999999999995</v>
      </c>
      <c r="R24" s="36">
        <v>832.7</v>
      </c>
      <c r="S24" s="36">
        <v>982.6</v>
      </c>
      <c r="T24" s="36">
        <v>1010.3</v>
      </c>
      <c r="U24" s="36">
        <v>1050.0999999999999</v>
      </c>
      <c r="V24" s="36">
        <v>1055.8</v>
      </c>
      <c r="W24" s="36">
        <v>775</v>
      </c>
      <c r="X24" s="36">
        <v>786.3</v>
      </c>
      <c r="Y24" s="36">
        <v>832</v>
      </c>
      <c r="Z24" s="36">
        <v>1330.8</v>
      </c>
      <c r="AA24" s="36">
        <v>1373.7</v>
      </c>
      <c r="AB24" s="36">
        <v>1862.9</v>
      </c>
      <c r="AC24" s="36">
        <v>1902.3</v>
      </c>
      <c r="AD24" s="337">
        <v>2006.4</v>
      </c>
      <c r="AE24" s="36">
        <v>2102.5</v>
      </c>
      <c r="AF24" s="300">
        <v>2401.4</v>
      </c>
      <c r="AG24" s="36">
        <v>2631.7</v>
      </c>
      <c r="AH24" s="350">
        <v>1914.0550000000001</v>
      </c>
      <c r="AI24" s="351">
        <v>2677.0680000000002</v>
      </c>
      <c r="AJ24" s="787">
        <v>2555.652</v>
      </c>
      <c r="AK24" s="276">
        <v>2657.442</v>
      </c>
      <c r="AL24" s="865">
        <v>231.376</v>
      </c>
      <c r="AM24" s="886">
        <v>427.14299999999997</v>
      </c>
      <c r="AN24" s="886">
        <v>754.23500000000001</v>
      </c>
      <c r="AO24" s="886">
        <v>977.83100000000002</v>
      </c>
      <c r="AP24" s="918">
        <v>1179.1199999999999</v>
      </c>
      <c r="AQ24" s="36">
        <v>1403.85</v>
      </c>
      <c r="AR24" s="312">
        <v>1651.42</v>
      </c>
    </row>
    <row r="25" spans="1:44" s="15" customFormat="1">
      <c r="A25" s="335" t="s">
        <v>109</v>
      </c>
      <c r="B25" s="283"/>
      <c r="C25" s="36" t="s">
        <v>1</v>
      </c>
      <c r="D25" s="36" t="s">
        <v>1</v>
      </c>
      <c r="E25" s="36" t="s">
        <v>1</v>
      </c>
      <c r="F25" s="36" t="s">
        <v>1</v>
      </c>
      <c r="G25" s="36" t="s">
        <v>1</v>
      </c>
      <c r="H25" s="36" t="s">
        <v>1</v>
      </c>
      <c r="I25" s="36" t="s">
        <v>1</v>
      </c>
      <c r="J25" s="36" t="s">
        <v>1</v>
      </c>
      <c r="K25" s="36" t="s">
        <v>1</v>
      </c>
      <c r="L25" s="36">
        <v>23.8</v>
      </c>
      <c r="M25" s="36">
        <v>18.2</v>
      </c>
      <c r="N25" s="36">
        <v>18.2</v>
      </c>
      <c r="O25" s="36">
        <v>11.8</v>
      </c>
      <c r="P25" s="36">
        <v>37.299999999999997</v>
      </c>
      <c r="Q25" s="36">
        <v>99.5</v>
      </c>
      <c r="R25" s="36">
        <v>59.5</v>
      </c>
      <c r="S25" s="36">
        <v>97.3</v>
      </c>
      <c r="T25" s="36">
        <v>133.80000000000001</v>
      </c>
      <c r="U25" s="36">
        <v>62.8</v>
      </c>
      <c r="V25" s="36">
        <v>110</v>
      </c>
      <c r="W25" s="36">
        <v>170.4</v>
      </c>
      <c r="X25" s="36">
        <v>204.4</v>
      </c>
      <c r="Y25" s="36">
        <v>119.5</v>
      </c>
      <c r="Z25" s="36">
        <v>23.6</v>
      </c>
      <c r="AA25" s="36">
        <v>95</v>
      </c>
      <c r="AB25" s="36">
        <v>117.7</v>
      </c>
      <c r="AC25" s="36">
        <v>129.9</v>
      </c>
      <c r="AD25" s="337">
        <v>77.599999999999994</v>
      </c>
      <c r="AE25" s="36">
        <v>301.60000000000002</v>
      </c>
      <c r="AF25" s="352">
        <v>213.1</v>
      </c>
      <c r="AG25" s="36">
        <v>209.4</v>
      </c>
      <c r="AH25" s="350">
        <v>131.86199999999999</v>
      </c>
      <c r="AI25" s="351">
        <v>264.07299999999998</v>
      </c>
      <c r="AJ25" s="787">
        <v>409.90800000000002</v>
      </c>
      <c r="AK25" s="46">
        <v>213.86699999999999</v>
      </c>
      <c r="AL25" s="865">
        <v>29.323</v>
      </c>
      <c r="AM25" s="886">
        <v>30.393000000000001</v>
      </c>
      <c r="AN25" s="886">
        <v>30.393000000000001</v>
      </c>
      <c r="AO25" s="886">
        <v>30.393000000000001</v>
      </c>
      <c r="AP25" s="918">
        <v>30.393000000000001</v>
      </c>
      <c r="AQ25" s="36">
        <v>30.393000000000001</v>
      </c>
      <c r="AR25" s="1080">
        <v>78.116</v>
      </c>
    </row>
    <row r="26" spans="1:44" s="15" customFormat="1">
      <c r="A26" s="335" t="s">
        <v>135</v>
      </c>
      <c r="B26" s="283"/>
      <c r="C26" s="36" t="s">
        <v>1</v>
      </c>
      <c r="D26" s="36" t="s">
        <v>1</v>
      </c>
      <c r="E26" s="36" t="s">
        <v>1</v>
      </c>
      <c r="F26" s="36" t="s">
        <v>1</v>
      </c>
      <c r="G26" s="36" t="s">
        <v>1</v>
      </c>
      <c r="H26" s="36" t="s">
        <v>1</v>
      </c>
      <c r="I26" s="36" t="s">
        <v>1</v>
      </c>
      <c r="J26" s="36" t="s">
        <v>1</v>
      </c>
      <c r="K26" s="36" t="s">
        <v>1</v>
      </c>
      <c r="L26" s="36" t="s">
        <v>1</v>
      </c>
      <c r="M26" s="36" t="s">
        <v>1</v>
      </c>
      <c r="N26" s="36" t="s">
        <v>1</v>
      </c>
      <c r="O26" s="36" t="s">
        <v>1</v>
      </c>
      <c r="P26" s="36" t="s">
        <v>1</v>
      </c>
      <c r="Q26" s="36" t="s">
        <v>1</v>
      </c>
      <c r="R26" s="36" t="s">
        <v>1</v>
      </c>
      <c r="S26" s="36" t="s">
        <v>1</v>
      </c>
      <c r="T26" s="36" t="s">
        <v>1</v>
      </c>
      <c r="U26" s="36">
        <v>12.2</v>
      </c>
      <c r="V26" s="36">
        <v>253.2</v>
      </c>
      <c r="W26" s="36">
        <v>252.9</v>
      </c>
      <c r="X26" s="36">
        <v>136</v>
      </c>
      <c r="Y26" s="36">
        <v>187</v>
      </c>
      <c r="Z26" s="36">
        <v>353.6</v>
      </c>
      <c r="AA26" s="36">
        <v>468.7</v>
      </c>
      <c r="AB26" s="36">
        <v>214.7</v>
      </c>
      <c r="AC26" s="36">
        <v>373.1</v>
      </c>
      <c r="AD26" s="337">
        <v>701.9</v>
      </c>
      <c r="AE26" s="36">
        <v>365</v>
      </c>
      <c r="AF26" s="352">
        <v>367.2</v>
      </c>
      <c r="AG26" s="36">
        <v>332.6</v>
      </c>
      <c r="AH26" s="350">
        <v>278.303</v>
      </c>
      <c r="AI26" s="351">
        <v>405.21699999999998</v>
      </c>
      <c r="AJ26" s="787">
        <v>386.35500000000002</v>
      </c>
      <c r="AK26" s="46">
        <v>488.01799999999997</v>
      </c>
      <c r="AL26" s="865">
        <v>50.343000000000004</v>
      </c>
      <c r="AM26" s="886">
        <v>114.65900000000001</v>
      </c>
      <c r="AN26" s="886">
        <v>218.31100000000001</v>
      </c>
      <c r="AO26" s="886">
        <v>354.44099999999997</v>
      </c>
      <c r="AP26" s="918">
        <v>417.875</v>
      </c>
      <c r="AQ26" s="36">
        <v>543.76</v>
      </c>
      <c r="AR26" s="1080">
        <v>572.77200000000005</v>
      </c>
    </row>
    <row r="27" spans="1:44" s="15" customFormat="1">
      <c r="A27" s="335" t="s">
        <v>110</v>
      </c>
      <c r="B27" s="283"/>
      <c r="C27" s="36" t="s">
        <v>1</v>
      </c>
      <c r="D27" s="36" t="s">
        <v>1</v>
      </c>
      <c r="E27" s="36" t="s">
        <v>1</v>
      </c>
      <c r="F27" s="36" t="s">
        <v>1</v>
      </c>
      <c r="G27" s="36" t="s">
        <v>1</v>
      </c>
      <c r="H27" s="36" t="s">
        <v>1</v>
      </c>
      <c r="I27" s="36" t="s">
        <v>1</v>
      </c>
      <c r="J27" s="36" t="s">
        <v>1</v>
      </c>
      <c r="K27" s="36" t="s">
        <v>1</v>
      </c>
      <c r="L27" s="36">
        <v>55.4</v>
      </c>
      <c r="M27" s="36">
        <v>69.5</v>
      </c>
      <c r="N27" s="36">
        <v>85</v>
      </c>
      <c r="O27" s="36">
        <v>93.9</v>
      </c>
      <c r="P27" s="36">
        <v>34.4</v>
      </c>
      <c r="Q27" s="36">
        <v>216.5</v>
      </c>
      <c r="R27" s="36">
        <v>209.6</v>
      </c>
      <c r="S27" s="36">
        <v>262.5</v>
      </c>
      <c r="T27" s="36">
        <v>234.5</v>
      </c>
      <c r="U27" s="36">
        <v>121.7</v>
      </c>
      <c r="V27" s="36">
        <v>225.9</v>
      </c>
      <c r="W27" s="36">
        <v>124.8</v>
      </c>
      <c r="X27" s="36">
        <v>157.80000000000001</v>
      </c>
      <c r="Y27" s="36">
        <v>159.5</v>
      </c>
      <c r="Z27" s="36">
        <v>176.5</v>
      </c>
      <c r="AA27" s="36">
        <v>119.6</v>
      </c>
      <c r="AB27" s="36">
        <v>73</v>
      </c>
      <c r="AC27" s="36">
        <v>208.1</v>
      </c>
      <c r="AD27" s="337">
        <v>204.4</v>
      </c>
      <c r="AE27" s="36">
        <v>83.1</v>
      </c>
      <c r="AF27" s="353">
        <v>135</v>
      </c>
      <c r="AG27" s="36">
        <v>141.80000000000001</v>
      </c>
      <c r="AH27" s="350">
        <v>83.474000000000004</v>
      </c>
      <c r="AI27" s="351">
        <v>20.204999999999998</v>
      </c>
      <c r="AJ27" s="787">
        <v>190.233</v>
      </c>
      <c r="AK27" s="46">
        <v>391.47699999999998</v>
      </c>
      <c r="AL27" s="865">
        <v>0.22500000000000001</v>
      </c>
      <c r="AM27" s="886">
        <v>12.086</v>
      </c>
      <c r="AN27" s="886">
        <v>12.840999999999999</v>
      </c>
      <c r="AO27" s="886">
        <v>13.35</v>
      </c>
      <c r="AP27" s="918">
        <v>13.726000000000001</v>
      </c>
      <c r="AQ27" s="36">
        <v>15.192</v>
      </c>
      <c r="AR27" s="1080">
        <v>15.863</v>
      </c>
    </row>
    <row r="28" spans="1:44" s="15" customFormat="1">
      <c r="A28" s="335" t="s">
        <v>111</v>
      </c>
      <c r="B28" s="283"/>
      <c r="C28" s="36" t="s">
        <v>1</v>
      </c>
      <c r="D28" s="36" t="s">
        <v>1</v>
      </c>
      <c r="E28" s="36" t="s">
        <v>1</v>
      </c>
      <c r="F28" s="36" t="s">
        <v>1</v>
      </c>
      <c r="G28" s="36" t="s">
        <v>1</v>
      </c>
      <c r="H28" s="36" t="s">
        <v>1</v>
      </c>
      <c r="I28" s="36" t="s">
        <v>1</v>
      </c>
      <c r="J28" s="36" t="s">
        <v>1</v>
      </c>
      <c r="K28" s="36" t="s">
        <v>1</v>
      </c>
      <c r="L28" s="36">
        <v>25.1</v>
      </c>
      <c r="M28" s="36">
        <v>27</v>
      </c>
      <c r="N28" s="36">
        <v>31.9</v>
      </c>
      <c r="O28" s="36">
        <v>49.5</v>
      </c>
      <c r="P28" s="36">
        <v>103.3</v>
      </c>
      <c r="Q28" s="36">
        <v>56.9</v>
      </c>
      <c r="R28" s="36">
        <v>266.5</v>
      </c>
      <c r="S28" s="36">
        <v>194.6</v>
      </c>
      <c r="T28" s="36">
        <v>339.8</v>
      </c>
      <c r="U28" s="36">
        <v>452.3</v>
      </c>
      <c r="V28" s="36">
        <v>118.7</v>
      </c>
      <c r="W28" s="36">
        <v>27.4</v>
      </c>
      <c r="X28" s="36">
        <v>109</v>
      </c>
      <c r="Y28" s="36">
        <v>197.6</v>
      </c>
      <c r="Z28" s="36">
        <v>413.6</v>
      </c>
      <c r="AA28" s="36">
        <v>260</v>
      </c>
      <c r="AB28" s="36">
        <v>583.20000000000005</v>
      </c>
      <c r="AC28" s="36">
        <v>341.9</v>
      </c>
      <c r="AD28" s="337">
        <v>324.8</v>
      </c>
      <c r="AE28" s="36">
        <v>669.1</v>
      </c>
      <c r="AF28" s="353">
        <v>545</v>
      </c>
      <c r="AG28" s="36">
        <v>545.79999999999995</v>
      </c>
      <c r="AH28" s="350">
        <v>510.26799999999997</v>
      </c>
      <c r="AI28" s="351">
        <v>807.39200000000005</v>
      </c>
      <c r="AJ28" s="787">
        <v>828.87599999999998</v>
      </c>
      <c r="AK28" s="46">
        <v>753.46</v>
      </c>
      <c r="AL28" s="865">
        <v>1.679</v>
      </c>
      <c r="AM28" s="807">
        <v>47.029000000000003</v>
      </c>
      <c r="AN28" s="807">
        <v>108.19199999999999</v>
      </c>
      <c r="AO28" s="807">
        <v>116.02800000000001</v>
      </c>
      <c r="AP28" s="918">
        <v>120.122</v>
      </c>
      <c r="AQ28" s="36">
        <v>142.875</v>
      </c>
      <c r="AR28" s="1080">
        <v>174.005</v>
      </c>
    </row>
    <row r="29" spans="1:44" s="15" customFormat="1">
      <c r="A29" s="335" t="s">
        <v>388</v>
      </c>
      <c r="B29" s="283"/>
      <c r="C29" s="36" t="s">
        <v>1</v>
      </c>
      <c r="D29" s="36" t="s">
        <v>1</v>
      </c>
      <c r="E29" s="36" t="s">
        <v>1</v>
      </c>
      <c r="F29" s="36" t="s">
        <v>1</v>
      </c>
      <c r="G29" s="36" t="s">
        <v>1</v>
      </c>
      <c r="H29" s="36" t="s">
        <v>1</v>
      </c>
      <c r="I29" s="36" t="s">
        <v>1</v>
      </c>
      <c r="J29" s="36" t="s">
        <v>1</v>
      </c>
      <c r="K29" s="36" t="s">
        <v>1</v>
      </c>
      <c r="L29" s="36">
        <v>22.2</v>
      </c>
      <c r="M29" s="36">
        <v>17.2</v>
      </c>
      <c r="N29" s="36">
        <v>14.9</v>
      </c>
      <c r="O29" s="36">
        <v>31.9</v>
      </c>
      <c r="P29" s="36">
        <v>32.4</v>
      </c>
      <c r="Q29" s="36">
        <v>83.8</v>
      </c>
      <c r="R29" s="36">
        <v>100.8</v>
      </c>
      <c r="S29" s="36">
        <v>41.5</v>
      </c>
      <c r="T29" s="36">
        <v>91.6</v>
      </c>
      <c r="U29" s="36">
        <v>106.1</v>
      </c>
      <c r="V29" s="36">
        <v>26.3</v>
      </c>
      <c r="W29" s="36">
        <v>24.3</v>
      </c>
      <c r="X29" s="36">
        <v>31.7</v>
      </c>
      <c r="Y29" s="36">
        <v>15.6</v>
      </c>
      <c r="Z29" s="36">
        <v>21.7</v>
      </c>
      <c r="AA29" s="36">
        <v>37</v>
      </c>
      <c r="AB29" s="36">
        <v>67.2</v>
      </c>
      <c r="AC29" s="36">
        <v>22.3</v>
      </c>
      <c r="AD29" s="337">
        <v>18.355</v>
      </c>
      <c r="AE29" s="36">
        <v>24.1</v>
      </c>
      <c r="AF29" s="352">
        <v>31.9</v>
      </c>
      <c r="AG29" s="36">
        <v>80</v>
      </c>
      <c r="AH29" s="350">
        <v>88.968999999999994</v>
      </c>
      <c r="AI29" s="351">
        <v>125.621</v>
      </c>
      <c r="AJ29" s="787">
        <v>89.067999999999998</v>
      </c>
      <c r="AK29" s="46">
        <v>74.884</v>
      </c>
      <c r="AL29" s="865">
        <v>55.26</v>
      </c>
      <c r="AM29" s="886">
        <v>64.159000000000006</v>
      </c>
      <c r="AN29" s="886">
        <v>113.53400000000001</v>
      </c>
      <c r="AO29" s="886">
        <v>114.32899999999999</v>
      </c>
      <c r="AP29" s="918">
        <v>115.268</v>
      </c>
      <c r="AQ29" s="36">
        <v>116.121</v>
      </c>
      <c r="AR29" s="1080">
        <v>117.069</v>
      </c>
    </row>
    <row r="30" spans="1:44" s="15" customFormat="1">
      <c r="A30" s="335" t="s">
        <v>136</v>
      </c>
      <c r="B30" s="283"/>
      <c r="C30" s="36" t="s">
        <v>1</v>
      </c>
      <c r="D30" s="36" t="s">
        <v>1</v>
      </c>
      <c r="E30" s="36" t="s">
        <v>1</v>
      </c>
      <c r="F30" s="36" t="s">
        <v>1</v>
      </c>
      <c r="G30" s="36" t="s">
        <v>1</v>
      </c>
      <c r="H30" s="36" t="s">
        <v>1</v>
      </c>
      <c r="I30" s="36" t="s">
        <v>1</v>
      </c>
      <c r="J30" s="36" t="s">
        <v>1</v>
      </c>
      <c r="K30" s="36" t="s">
        <v>1</v>
      </c>
      <c r="L30" s="36">
        <v>49.9</v>
      </c>
      <c r="M30" s="36">
        <v>67.8</v>
      </c>
      <c r="N30" s="36">
        <v>104</v>
      </c>
      <c r="O30" s="36">
        <v>87.5</v>
      </c>
      <c r="P30" s="36">
        <v>80.599999999999994</v>
      </c>
      <c r="Q30" s="36">
        <v>134.9</v>
      </c>
      <c r="R30" s="36">
        <v>152.30000000000001</v>
      </c>
      <c r="S30" s="36">
        <v>291.60000000000002</v>
      </c>
      <c r="T30" s="36">
        <v>158.30000000000001</v>
      </c>
      <c r="U30" s="36">
        <v>262.60000000000002</v>
      </c>
      <c r="V30" s="36">
        <v>294</v>
      </c>
      <c r="W30" s="36">
        <v>140.69999999999999</v>
      </c>
      <c r="X30" s="36">
        <v>113.6</v>
      </c>
      <c r="Y30" s="36">
        <v>115.6</v>
      </c>
      <c r="Z30" s="36">
        <v>108.4</v>
      </c>
      <c r="AA30" s="36">
        <v>154.19999999999999</v>
      </c>
      <c r="AB30" s="36">
        <v>279.7</v>
      </c>
      <c r="AC30" s="36">
        <v>437.4</v>
      </c>
      <c r="AD30" s="337">
        <v>179.6</v>
      </c>
      <c r="AE30" s="36">
        <v>250.1</v>
      </c>
      <c r="AF30" s="352">
        <v>304.3</v>
      </c>
      <c r="AG30" s="36">
        <v>257.89999999999998</v>
      </c>
      <c r="AH30" s="350">
        <v>384.34</v>
      </c>
      <c r="AI30" s="351">
        <v>128.83799999999999</v>
      </c>
      <c r="AJ30" s="787">
        <v>225.84800000000001</v>
      </c>
      <c r="AK30" s="46">
        <v>314.536</v>
      </c>
      <c r="AL30" s="865">
        <v>33.546999999999997</v>
      </c>
      <c r="AM30" s="886">
        <v>75.233000000000004</v>
      </c>
      <c r="AN30" s="886">
        <v>109.21</v>
      </c>
      <c r="AO30" s="886">
        <v>113.291</v>
      </c>
      <c r="AP30" s="918">
        <v>149.19900000000001</v>
      </c>
      <c r="AQ30" s="36">
        <v>161.44200000000001</v>
      </c>
      <c r="AR30" s="1080">
        <v>182.97200000000001</v>
      </c>
    </row>
    <row r="31" spans="1:44" s="15" customFormat="1">
      <c r="A31" s="335" t="s">
        <v>112</v>
      </c>
      <c r="B31" s="283"/>
      <c r="C31" s="36" t="s">
        <v>1</v>
      </c>
      <c r="D31" s="36" t="s">
        <v>1</v>
      </c>
      <c r="E31" s="36" t="s">
        <v>1</v>
      </c>
      <c r="F31" s="36" t="s">
        <v>1</v>
      </c>
      <c r="G31" s="36" t="s">
        <v>1</v>
      </c>
      <c r="H31" s="36" t="s">
        <v>1</v>
      </c>
      <c r="I31" s="36" t="s">
        <v>1</v>
      </c>
      <c r="J31" s="36" t="s">
        <v>1</v>
      </c>
      <c r="K31" s="36" t="s">
        <v>1</v>
      </c>
      <c r="L31" s="36" t="s">
        <v>1</v>
      </c>
      <c r="M31" s="36" t="s">
        <v>1</v>
      </c>
      <c r="N31" s="36" t="s">
        <v>1</v>
      </c>
      <c r="O31" s="36" t="s">
        <v>1</v>
      </c>
      <c r="P31" s="36" t="s">
        <v>1</v>
      </c>
      <c r="Q31" s="36" t="s">
        <v>1</v>
      </c>
      <c r="R31" s="36" t="s">
        <v>1</v>
      </c>
      <c r="S31" s="36" t="s">
        <v>1</v>
      </c>
      <c r="T31" s="36" t="s">
        <v>1</v>
      </c>
      <c r="U31" s="36" t="s">
        <v>1</v>
      </c>
      <c r="V31" s="36" t="s">
        <v>1</v>
      </c>
      <c r="W31" s="36" t="s">
        <v>1</v>
      </c>
      <c r="X31" s="36" t="s">
        <v>1</v>
      </c>
      <c r="Y31" s="36" t="s">
        <v>1</v>
      </c>
      <c r="Z31" s="36">
        <v>158.1</v>
      </c>
      <c r="AA31" s="36">
        <v>102.8</v>
      </c>
      <c r="AB31" s="36">
        <v>162.80000000000001</v>
      </c>
      <c r="AC31" s="36">
        <v>154.6</v>
      </c>
      <c r="AD31" s="337">
        <v>391</v>
      </c>
      <c r="AE31" s="36">
        <v>300.8</v>
      </c>
      <c r="AF31" s="352">
        <v>700.7</v>
      </c>
      <c r="AG31" s="36">
        <v>619.6</v>
      </c>
      <c r="AH31" s="350">
        <v>340.18599999999998</v>
      </c>
      <c r="AI31" s="351">
        <v>703.72699999999998</v>
      </c>
      <c r="AJ31" s="787">
        <v>245.244</v>
      </c>
      <c r="AK31" s="46">
        <v>254.547</v>
      </c>
      <c r="AL31" s="865">
        <v>58.216999999999999</v>
      </c>
      <c r="AM31" s="886">
        <v>61.252000000000002</v>
      </c>
      <c r="AN31" s="886">
        <v>81.138999999999996</v>
      </c>
      <c r="AO31" s="886">
        <v>150.499</v>
      </c>
      <c r="AP31" s="918">
        <v>156.625</v>
      </c>
      <c r="AQ31" s="36">
        <v>169.55</v>
      </c>
      <c r="AR31" s="1080">
        <v>283.73700000000002</v>
      </c>
    </row>
    <row r="32" spans="1:44" s="15" customFormat="1">
      <c r="A32" s="335" t="s">
        <v>113</v>
      </c>
      <c r="B32" s="283"/>
      <c r="C32" s="36" t="s">
        <v>1</v>
      </c>
      <c r="D32" s="36" t="s">
        <v>1</v>
      </c>
      <c r="E32" s="36" t="s">
        <v>1</v>
      </c>
      <c r="F32" s="36" t="s">
        <v>1</v>
      </c>
      <c r="G32" s="36" t="s">
        <v>1</v>
      </c>
      <c r="H32" s="36" t="s">
        <v>1</v>
      </c>
      <c r="I32" s="36" t="s">
        <v>1</v>
      </c>
      <c r="J32" s="36" t="s">
        <v>1</v>
      </c>
      <c r="K32" s="36" t="s">
        <v>1</v>
      </c>
      <c r="L32" s="36">
        <v>41</v>
      </c>
      <c r="M32" s="36">
        <v>41.2</v>
      </c>
      <c r="N32" s="36">
        <v>12.1</v>
      </c>
      <c r="O32" s="36">
        <v>16.899999999999999</v>
      </c>
      <c r="P32" s="36">
        <v>23.4</v>
      </c>
      <c r="Q32" s="36">
        <v>13.7</v>
      </c>
      <c r="R32" s="36">
        <v>44</v>
      </c>
      <c r="S32" s="36">
        <v>95.1</v>
      </c>
      <c r="T32" s="36">
        <v>52.3</v>
      </c>
      <c r="U32" s="36">
        <v>32.4</v>
      </c>
      <c r="V32" s="36">
        <v>27.7</v>
      </c>
      <c r="W32" s="36">
        <v>34.5</v>
      </c>
      <c r="X32" s="36">
        <v>33.799999999999997</v>
      </c>
      <c r="Y32" s="36">
        <v>37.200000000000003</v>
      </c>
      <c r="Z32" s="36">
        <v>75.3</v>
      </c>
      <c r="AA32" s="36">
        <v>136.4</v>
      </c>
      <c r="AB32" s="36">
        <v>364.6</v>
      </c>
      <c r="AC32" s="36">
        <v>235</v>
      </c>
      <c r="AD32" s="337">
        <v>108.7</v>
      </c>
      <c r="AE32" s="36">
        <v>108.7</v>
      </c>
      <c r="AF32" s="352">
        <v>104.1</v>
      </c>
      <c r="AG32" s="36">
        <v>444.6</v>
      </c>
      <c r="AH32" s="350">
        <v>96.653000000000006</v>
      </c>
      <c r="AI32" s="351">
        <v>221.995</v>
      </c>
      <c r="AJ32" s="787">
        <v>180.12</v>
      </c>
      <c r="AK32" s="46">
        <v>166.65299999999999</v>
      </c>
      <c r="AL32" s="865">
        <v>2.782</v>
      </c>
      <c r="AM32" s="886">
        <v>22.332000000000001</v>
      </c>
      <c r="AN32" s="886">
        <v>80.614999999999995</v>
      </c>
      <c r="AO32" s="886">
        <v>85.5</v>
      </c>
      <c r="AP32" s="918">
        <v>175.91200000000001</v>
      </c>
      <c r="AQ32" s="36">
        <v>224.517</v>
      </c>
      <c r="AR32" s="1080">
        <v>226.886</v>
      </c>
    </row>
    <row r="33" spans="1:44" s="15" customFormat="1">
      <c r="A33" s="336" t="s">
        <v>102</v>
      </c>
      <c r="B33" s="349" t="s">
        <v>74</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23"/>
      <c r="AC33" s="323"/>
      <c r="AD33" s="337"/>
      <c r="AE33" s="323"/>
      <c r="AF33" s="34"/>
      <c r="AG33" s="34"/>
      <c r="AH33" s="283"/>
      <c r="AI33" s="242"/>
      <c r="AJ33" s="787"/>
      <c r="AK33" s="276"/>
      <c r="AL33" s="860"/>
      <c r="AM33" s="811"/>
      <c r="AN33" s="811"/>
      <c r="AO33" s="811"/>
      <c r="AP33" s="916"/>
      <c r="AQ33" s="276"/>
      <c r="AR33" s="1078"/>
    </row>
    <row r="34" spans="1:44" s="15" customFormat="1">
      <c r="A34" s="333" t="s">
        <v>108</v>
      </c>
      <c r="B34" s="283"/>
      <c r="C34" s="36" t="s">
        <v>1</v>
      </c>
      <c r="D34" s="36">
        <v>85.6</v>
      </c>
      <c r="E34" s="36">
        <v>80.599999999999994</v>
      </c>
      <c r="F34" s="36">
        <v>68.7</v>
      </c>
      <c r="G34" s="36">
        <v>132.6</v>
      </c>
      <c r="H34" s="36">
        <v>102.4</v>
      </c>
      <c r="I34" s="36">
        <v>100.5</v>
      </c>
      <c r="J34" s="36">
        <v>77.7</v>
      </c>
      <c r="K34" s="36">
        <v>112.3</v>
      </c>
      <c r="L34" s="36">
        <v>111.7</v>
      </c>
      <c r="M34" s="36">
        <v>110.8</v>
      </c>
      <c r="N34" s="36">
        <v>110.5</v>
      </c>
      <c r="O34" s="36">
        <v>109.5</v>
      </c>
      <c r="P34" s="36">
        <v>106.8</v>
      </c>
      <c r="Q34" s="36">
        <v>194.4</v>
      </c>
      <c r="R34" s="36">
        <v>137.6</v>
      </c>
      <c r="S34" s="36">
        <v>118</v>
      </c>
      <c r="T34" s="36">
        <v>102.8</v>
      </c>
      <c r="U34" s="36">
        <v>103.9</v>
      </c>
      <c r="V34" s="36">
        <v>100.5</v>
      </c>
      <c r="W34" s="36">
        <v>73.400000000000006</v>
      </c>
      <c r="X34" s="36">
        <v>101.5</v>
      </c>
      <c r="Y34" s="36">
        <v>105.8</v>
      </c>
      <c r="Z34" s="36">
        <v>114.5</v>
      </c>
      <c r="AA34" s="36">
        <v>103.2</v>
      </c>
      <c r="AB34" s="36">
        <v>135.6</v>
      </c>
      <c r="AC34" s="36">
        <v>102.1</v>
      </c>
      <c r="AD34" s="337">
        <v>105.5</v>
      </c>
      <c r="AE34" s="45">
        <v>104.8</v>
      </c>
      <c r="AF34" s="339">
        <v>114.2</v>
      </c>
      <c r="AG34" s="339">
        <v>109.6</v>
      </c>
      <c r="AH34" s="341">
        <v>72.7</v>
      </c>
      <c r="AI34" s="354">
        <v>139.9</v>
      </c>
      <c r="AJ34" s="762">
        <v>95.5</v>
      </c>
      <c r="AK34" s="970">
        <v>104</v>
      </c>
      <c r="AL34" s="862">
        <v>102.3</v>
      </c>
      <c r="AM34" s="765">
        <v>94.3</v>
      </c>
      <c r="AN34" s="765">
        <v>107.2</v>
      </c>
      <c r="AO34" s="765">
        <v>106.8</v>
      </c>
      <c r="AP34" s="919">
        <v>103.5</v>
      </c>
      <c r="AQ34" s="339">
        <v>104.6</v>
      </c>
      <c r="AR34" s="1078">
        <v>104.3</v>
      </c>
    </row>
    <row r="35" spans="1:44" s="15" customFormat="1">
      <c r="A35" s="335" t="s">
        <v>109</v>
      </c>
      <c r="B35" s="283"/>
      <c r="C35" s="36" t="s">
        <v>1</v>
      </c>
      <c r="D35" s="36" t="s">
        <v>1</v>
      </c>
      <c r="E35" s="36" t="s">
        <v>1</v>
      </c>
      <c r="F35" s="36" t="s">
        <v>1</v>
      </c>
      <c r="G35" s="36" t="s">
        <v>1</v>
      </c>
      <c r="H35" s="36" t="s">
        <v>1</v>
      </c>
      <c r="I35" s="36" t="s">
        <v>1</v>
      </c>
      <c r="J35" s="36" t="s">
        <v>1</v>
      </c>
      <c r="K35" s="36" t="s">
        <v>1</v>
      </c>
      <c r="L35" s="36" t="s">
        <v>1</v>
      </c>
      <c r="M35" s="36">
        <v>76.400000000000006</v>
      </c>
      <c r="N35" s="36">
        <v>99.7</v>
      </c>
      <c r="O35" s="36">
        <v>64.8</v>
      </c>
      <c r="P35" s="36">
        <v>315.3</v>
      </c>
      <c r="Q35" s="36">
        <v>266.8</v>
      </c>
      <c r="R35" s="36">
        <v>59.8</v>
      </c>
      <c r="S35" s="36">
        <v>163.6</v>
      </c>
      <c r="T35" s="36">
        <v>137.5</v>
      </c>
      <c r="U35" s="36">
        <v>47</v>
      </c>
      <c r="V35" s="36">
        <v>175.1</v>
      </c>
      <c r="W35" s="36">
        <v>154.9</v>
      </c>
      <c r="X35" s="36">
        <v>119.9</v>
      </c>
      <c r="Y35" s="36">
        <v>58.5</v>
      </c>
      <c r="Z35" s="36">
        <v>19.8</v>
      </c>
      <c r="AA35" s="36">
        <v>401.8</v>
      </c>
      <c r="AB35" s="36">
        <v>123.8</v>
      </c>
      <c r="AC35" s="36">
        <v>110.4</v>
      </c>
      <c r="AD35" s="337">
        <v>59.7</v>
      </c>
      <c r="AE35" s="45">
        <v>388.7</v>
      </c>
      <c r="AF35" s="339">
        <v>70.7</v>
      </c>
      <c r="AG35" s="339">
        <v>98.2</v>
      </c>
      <c r="AH35" s="341">
        <v>63</v>
      </c>
      <c r="AI35" s="354">
        <v>200.3</v>
      </c>
      <c r="AJ35" s="762">
        <v>155.19999999999999</v>
      </c>
      <c r="AK35" s="970">
        <v>52.2</v>
      </c>
      <c r="AL35" s="862">
        <v>147.80000000000001</v>
      </c>
      <c r="AM35" s="765">
        <v>142.30000000000001</v>
      </c>
      <c r="AN35" s="765">
        <v>40.4</v>
      </c>
      <c r="AO35" s="765">
        <v>22.3</v>
      </c>
      <c r="AP35" s="919">
        <v>16.8</v>
      </c>
      <c r="AQ35" s="339">
        <v>16.8</v>
      </c>
      <c r="AR35" s="1078">
        <v>42.9</v>
      </c>
    </row>
    <row r="36" spans="1:44" s="15" customFormat="1">
      <c r="A36" s="335" t="s">
        <v>135</v>
      </c>
      <c r="B36" s="283"/>
      <c r="C36" s="36" t="s">
        <v>1</v>
      </c>
      <c r="D36" s="36" t="s">
        <v>1</v>
      </c>
      <c r="E36" s="36" t="s">
        <v>1</v>
      </c>
      <c r="F36" s="36" t="s">
        <v>1</v>
      </c>
      <c r="G36" s="36" t="s">
        <v>1</v>
      </c>
      <c r="H36" s="36" t="s">
        <v>1</v>
      </c>
      <c r="I36" s="36" t="s">
        <v>1</v>
      </c>
      <c r="J36" s="36" t="s">
        <v>1</v>
      </c>
      <c r="K36" s="36" t="s">
        <v>1</v>
      </c>
      <c r="L36" s="36" t="s">
        <v>1</v>
      </c>
      <c r="M36" s="36" t="s">
        <v>1</v>
      </c>
      <c r="N36" s="36" t="s">
        <v>1</v>
      </c>
      <c r="O36" s="36" t="s">
        <v>1</v>
      </c>
      <c r="P36" s="36" t="s">
        <v>1</v>
      </c>
      <c r="Q36" s="36" t="s">
        <v>1</v>
      </c>
      <c r="R36" s="36" t="s">
        <v>1</v>
      </c>
      <c r="S36" s="36"/>
      <c r="T36" s="36"/>
      <c r="U36" s="36" t="s">
        <v>1</v>
      </c>
      <c r="V36" s="36">
        <v>2078</v>
      </c>
      <c r="W36" s="36">
        <v>99.9</v>
      </c>
      <c r="X36" s="36">
        <v>53.8</v>
      </c>
      <c r="Y36" s="36">
        <v>137.5</v>
      </c>
      <c r="Z36" s="36">
        <v>168.4</v>
      </c>
      <c r="AA36" s="36">
        <v>132.5</v>
      </c>
      <c r="AB36" s="36">
        <v>45.8</v>
      </c>
      <c r="AC36" s="36">
        <v>173.8</v>
      </c>
      <c r="AD36" s="337">
        <v>188.1</v>
      </c>
      <c r="AE36" s="45">
        <v>52</v>
      </c>
      <c r="AF36" s="339">
        <v>100.6</v>
      </c>
      <c r="AG36" s="339">
        <v>90.6</v>
      </c>
      <c r="AH36" s="341">
        <v>83.7</v>
      </c>
      <c r="AI36" s="354">
        <v>145.6</v>
      </c>
      <c r="AJ36" s="762">
        <v>95.3</v>
      </c>
      <c r="AK36" s="970">
        <v>126.3</v>
      </c>
      <c r="AL36" s="862">
        <v>98.3</v>
      </c>
      <c r="AM36" s="765">
        <v>108.5</v>
      </c>
      <c r="AN36" s="765">
        <v>121</v>
      </c>
      <c r="AO36" s="765">
        <v>182.5</v>
      </c>
      <c r="AP36" s="919">
        <v>191.2</v>
      </c>
      <c r="AQ36" s="339">
        <v>227.6</v>
      </c>
      <c r="AR36" s="1078">
        <v>227.1</v>
      </c>
    </row>
    <row r="37" spans="1:44" s="15" customFormat="1">
      <c r="A37" s="335" t="s">
        <v>110</v>
      </c>
      <c r="B37" s="283"/>
      <c r="C37" s="36" t="s">
        <v>1</v>
      </c>
      <c r="D37" s="36" t="s">
        <v>1</v>
      </c>
      <c r="E37" s="36" t="s">
        <v>1</v>
      </c>
      <c r="F37" s="36" t="s">
        <v>1</v>
      </c>
      <c r="G37" s="36" t="s">
        <v>1</v>
      </c>
      <c r="H37" s="36" t="s">
        <v>1</v>
      </c>
      <c r="I37" s="36" t="s">
        <v>1</v>
      </c>
      <c r="J37" s="36" t="s">
        <v>1</v>
      </c>
      <c r="K37" s="36" t="s">
        <v>1</v>
      </c>
      <c r="L37" s="36" t="s">
        <v>1</v>
      </c>
      <c r="M37" s="36">
        <v>125.4</v>
      </c>
      <c r="N37" s="36">
        <v>122.4</v>
      </c>
      <c r="O37" s="36">
        <v>110.4</v>
      </c>
      <c r="P37" s="36">
        <v>36.700000000000003</v>
      </c>
      <c r="Q37" s="36">
        <v>629.4</v>
      </c>
      <c r="R37" s="36">
        <v>103.3</v>
      </c>
      <c r="S37" s="36">
        <v>125.3</v>
      </c>
      <c r="T37" s="36">
        <v>89.3</v>
      </c>
      <c r="U37" s="36">
        <v>51.9</v>
      </c>
      <c r="V37" s="36">
        <v>185.6</v>
      </c>
      <c r="W37" s="36">
        <v>55.2</v>
      </c>
      <c r="X37" s="36">
        <v>126.5</v>
      </c>
      <c r="Y37" s="36">
        <v>101</v>
      </c>
      <c r="Z37" s="36">
        <v>110.7</v>
      </c>
      <c r="AA37" s="36">
        <v>67.8</v>
      </c>
      <c r="AB37" s="36">
        <v>61</v>
      </c>
      <c r="AC37" s="36">
        <v>285.10000000000002</v>
      </c>
      <c r="AD37" s="337">
        <v>98.2</v>
      </c>
      <c r="AE37" s="45">
        <v>40.6</v>
      </c>
      <c r="AF37" s="339">
        <v>162.5</v>
      </c>
      <c r="AG37" s="339">
        <v>105.1</v>
      </c>
      <c r="AH37" s="341">
        <v>58.9</v>
      </c>
      <c r="AI37" s="354">
        <v>24.2</v>
      </c>
      <c r="AJ37" s="762">
        <v>941.5</v>
      </c>
      <c r="AK37" s="970">
        <v>205.8</v>
      </c>
      <c r="AL37" s="862">
        <v>0.3</v>
      </c>
      <c r="AM37" s="765">
        <v>9.9</v>
      </c>
      <c r="AN37" s="765">
        <v>10.5</v>
      </c>
      <c r="AO37" s="765">
        <v>10.8</v>
      </c>
      <c r="AP37" s="919">
        <v>11.1</v>
      </c>
      <c r="AQ37" s="339">
        <v>9.8000000000000007</v>
      </c>
      <c r="AR37" s="1078">
        <v>10.199999999999999</v>
      </c>
    </row>
    <row r="38" spans="1:44" s="15" customFormat="1">
      <c r="A38" s="335" t="s">
        <v>111</v>
      </c>
      <c r="B38" s="283"/>
      <c r="C38" s="36" t="s">
        <v>1</v>
      </c>
      <c r="D38" s="36" t="s">
        <v>1</v>
      </c>
      <c r="E38" s="36" t="s">
        <v>1</v>
      </c>
      <c r="F38" s="36" t="s">
        <v>1</v>
      </c>
      <c r="G38" s="36" t="s">
        <v>1</v>
      </c>
      <c r="H38" s="36" t="s">
        <v>1</v>
      </c>
      <c r="I38" s="36" t="s">
        <v>1</v>
      </c>
      <c r="J38" s="36" t="s">
        <v>1</v>
      </c>
      <c r="K38" s="36" t="s">
        <v>1</v>
      </c>
      <c r="L38" s="36" t="s">
        <v>1</v>
      </c>
      <c r="M38" s="36">
        <v>107.5</v>
      </c>
      <c r="N38" s="36">
        <v>118.5</v>
      </c>
      <c r="O38" s="36">
        <v>155.19999999999999</v>
      </c>
      <c r="P38" s="36">
        <v>208.6</v>
      </c>
      <c r="Q38" s="36">
        <v>55.1</v>
      </c>
      <c r="R38" s="36">
        <v>468</v>
      </c>
      <c r="S38" s="36">
        <v>73</v>
      </c>
      <c r="T38" s="36">
        <v>174.6</v>
      </c>
      <c r="U38" s="36">
        <v>133.1</v>
      </c>
      <c r="V38" s="36">
        <v>26.2</v>
      </c>
      <c r="W38" s="36">
        <v>23.1</v>
      </c>
      <c r="X38" s="36">
        <v>397.9</v>
      </c>
      <c r="Y38" s="36">
        <v>181.3</v>
      </c>
      <c r="Z38" s="36">
        <v>161</v>
      </c>
      <c r="AA38" s="36">
        <v>62.9</v>
      </c>
      <c r="AB38" s="36">
        <v>224.4</v>
      </c>
      <c r="AC38" s="36">
        <v>58.6</v>
      </c>
      <c r="AD38" s="337">
        <v>95</v>
      </c>
      <c r="AE38" s="45">
        <v>206</v>
      </c>
      <c r="AF38" s="339">
        <v>81.5</v>
      </c>
      <c r="AG38" s="339">
        <v>100.1</v>
      </c>
      <c r="AH38" s="341">
        <v>93.5</v>
      </c>
      <c r="AI38" s="354">
        <v>158.19999999999999</v>
      </c>
      <c r="AJ38" s="762">
        <v>102.7</v>
      </c>
      <c r="AK38" s="970">
        <v>90.9</v>
      </c>
      <c r="AL38" s="862">
        <v>54.2</v>
      </c>
      <c r="AM38" s="765">
        <v>59.1</v>
      </c>
      <c r="AN38" s="765">
        <v>88</v>
      </c>
      <c r="AO38" s="765">
        <v>55.5</v>
      </c>
      <c r="AP38" s="919">
        <v>43</v>
      </c>
      <c r="AQ38" s="339">
        <v>43</v>
      </c>
      <c r="AR38" s="1078">
        <v>35.4</v>
      </c>
    </row>
    <row r="39" spans="1:44" s="15" customFormat="1">
      <c r="A39" s="335" t="s">
        <v>388</v>
      </c>
      <c r="B39" s="283"/>
      <c r="C39" s="36" t="s">
        <v>1</v>
      </c>
      <c r="D39" s="36" t="s">
        <v>1</v>
      </c>
      <c r="E39" s="36" t="s">
        <v>1</v>
      </c>
      <c r="F39" s="36" t="s">
        <v>1</v>
      </c>
      <c r="G39" s="36" t="s">
        <v>1</v>
      </c>
      <c r="H39" s="36" t="s">
        <v>1</v>
      </c>
      <c r="I39" s="36" t="s">
        <v>1</v>
      </c>
      <c r="J39" s="36" t="s">
        <v>1</v>
      </c>
      <c r="K39" s="36" t="s">
        <v>1</v>
      </c>
      <c r="L39" s="36" t="s">
        <v>1</v>
      </c>
      <c r="M39" s="36">
        <v>77.400000000000006</v>
      </c>
      <c r="N39" s="36">
        <v>86.7</v>
      </c>
      <c r="O39" s="36">
        <v>214.1</v>
      </c>
      <c r="P39" s="36">
        <v>101.4</v>
      </c>
      <c r="Q39" s="36">
        <v>258.60000000000002</v>
      </c>
      <c r="R39" s="36">
        <v>120.4</v>
      </c>
      <c r="S39" s="36">
        <v>41.1</v>
      </c>
      <c r="T39" s="36">
        <v>221</v>
      </c>
      <c r="U39" s="36">
        <v>115.7</v>
      </c>
      <c r="V39" s="36">
        <v>24.8</v>
      </c>
      <c r="W39" s="36">
        <v>92.6</v>
      </c>
      <c r="X39" s="36">
        <v>130.30000000000001</v>
      </c>
      <c r="Y39" s="36">
        <v>49.3</v>
      </c>
      <c r="Z39" s="36">
        <v>116.7</v>
      </c>
      <c r="AA39" s="36">
        <v>170.3</v>
      </c>
      <c r="AB39" s="36">
        <v>181.7</v>
      </c>
      <c r="AC39" s="36">
        <v>33.200000000000003</v>
      </c>
      <c r="AD39" s="337">
        <v>82.2</v>
      </c>
      <c r="AE39" s="45">
        <v>131.4</v>
      </c>
      <c r="AF39" s="339">
        <v>132.1</v>
      </c>
      <c r="AG39" s="339">
        <v>251.2</v>
      </c>
      <c r="AH39" s="341">
        <v>111.1</v>
      </c>
      <c r="AI39" s="354">
        <v>141.19999999999999</v>
      </c>
      <c r="AJ39" s="762">
        <v>70.900000000000006</v>
      </c>
      <c r="AK39" s="970">
        <v>84.1</v>
      </c>
      <c r="AL39" s="862">
        <v>3913.6</v>
      </c>
      <c r="AM39" s="765">
        <v>383.9</v>
      </c>
      <c r="AN39" s="765">
        <v>585.70000000000005</v>
      </c>
      <c r="AO39" s="765">
        <v>584.9</v>
      </c>
      <c r="AP39" s="919">
        <v>341.5</v>
      </c>
      <c r="AQ39" s="339">
        <v>217</v>
      </c>
      <c r="AR39" s="1078">
        <v>215.1</v>
      </c>
    </row>
    <row r="40" spans="1:44" s="15" customFormat="1">
      <c r="A40" s="335" t="s">
        <v>136</v>
      </c>
      <c r="B40" s="283"/>
      <c r="C40" s="36" t="s">
        <v>1</v>
      </c>
      <c r="D40" s="36" t="s">
        <v>1</v>
      </c>
      <c r="E40" s="36" t="s">
        <v>1</v>
      </c>
      <c r="F40" s="36" t="s">
        <v>1</v>
      </c>
      <c r="G40" s="36" t="s">
        <v>1</v>
      </c>
      <c r="H40" s="36" t="s">
        <v>1</v>
      </c>
      <c r="I40" s="36" t="s">
        <v>1</v>
      </c>
      <c r="J40" s="36" t="s">
        <v>1</v>
      </c>
      <c r="K40" s="36" t="s">
        <v>1</v>
      </c>
      <c r="L40" s="36" t="s">
        <v>1</v>
      </c>
      <c r="M40" s="36">
        <v>135.69999999999999</v>
      </c>
      <c r="N40" s="36">
        <v>153.4</v>
      </c>
      <c r="O40" s="36">
        <v>84.1</v>
      </c>
      <c r="P40" s="36">
        <v>92.1</v>
      </c>
      <c r="Q40" s="36">
        <v>167.4</v>
      </c>
      <c r="R40" s="36">
        <v>110.9</v>
      </c>
      <c r="S40" s="36">
        <v>191.4</v>
      </c>
      <c r="T40" s="36">
        <v>54.3</v>
      </c>
      <c r="U40" s="36">
        <v>165.9</v>
      </c>
      <c r="V40" s="36">
        <v>112</v>
      </c>
      <c r="W40" s="36">
        <v>47.8</v>
      </c>
      <c r="X40" s="36">
        <v>80.7</v>
      </c>
      <c r="Y40" s="36">
        <v>101.8</v>
      </c>
      <c r="Z40" s="36">
        <v>92.9</v>
      </c>
      <c r="AA40" s="36">
        <v>142.19999999999999</v>
      </c>
      <c r="AB40" s="36">
        <v>181.3</v>
      </c>
      <c r="AC40" s="36">
        <v>156.4</v>
      </c>
      <c r="AD40" s="337">
        <v>41.1</v>
      </c>
      <c r="AE40" s="45">
        <v>139.30000000000001</v>
      </c>
      <c r="AF40" s="339">
        <v>121.7</v>
      </c>
      <c r="AG40" s="339">
        <v>84.7</v>
      </c>
      <c r="AH40" s="341">
        <v>149</v>
      </c>
      <c r="AI40" s="354">
        <v>33.5</v>
      </c>
      <c r="AJ40" s="762">
        <v>175.3</v>
      </c>
      <c r="AK40" s="970">
        <v>139.30000000000001</v>
      </c>
      <c r="AL40" s="862">
        <v>83.9</v>
      </c>
      <c r="AM40" s="765">
        <v>134.5</v>
      </c>
      <c r="AN40" s="765">
        <v>193.8</v>
      </c>
      <c r="AO40" s="765">
        <v>160.4</v>
      </c>
      <c r="AP40" s="919">
        <v>141.5</v>
      </c>
      <c r="AQ40" s="339">
        <v>112.7</v>
      </c>
      <c r="AR40" s="1078">
        <v>102.8</v>
      </c>
    </row>
    <row r="41" spans="1:44" s="15" customFormat="1">
      <c r="A41" s="335" t="s">
        <v>112</v>
      </c>
      <c r="B41" s="283"/>
      <c r="C41" s="36" t="s">
        <v>1</v>
      </c>
      <c r="D41" s="36" t="s">
        <v>1</v>
      </c>
      <c r="E41" s="36" t="s">
        <v>1</v>
      </c>
      <c r="F41" s="36" t="s">
        <v>1</v>
      </c>
      <c r="G41" s="36" t="s">
        <v>1</v>
      </c>
      <c r="H41" s="36" t="s">
        <v>1</v>
      </c>
      <c r="I41" s="36" t="s">
        <v>1</v>
      </c>
      <c r="J41" s="36" t="s">
        <v>1</v>
      </c>
      <c r="K41" s="36" t="s">
        <v>1</v>
      </c>
      <c r="L41" s="36" t="s">
        <v>1</v>
      </c>
      <c r="M41" s="36" t="s">
        <v>1</v>
      </c>
      <c r="N41" s="36" t="s">
        <v>1</v>
      </c>
      <c r="O41" s="36" t="s">
        <v>1</v>
      </c>
      <c r="P41" s="36" t="s">
        <v>1</v>
      </c>
      <c r="Q41" s="36" t="s">
        <v>1</v>
      </c>
      <c r="R41" s="36" t="s">
        <v>1</v>
      </c>
      <c r="S41" s="36" t="s">
        <v>1</v>
      </c>
      <c r="T41" s="36" t="s">
        <v>1</v>
      </c>
      <c r="U41" s="36" t="s">
        <v>1</v>
      </c>
      <c r="V41" s="36" t="s">
        <v>1</v>
      </c>
      <c r="W41" s="36" t="s">
        <v>1</v>
      </c>
      <c r="X41" s="36" t="s">
        <v>1</v>
      </c>
      <c r="Y41" s="36" t="s">
        <v>1</v>
      </c>
      <c r="Z41" s="36">
        <v>68.400000000000006</v>
      </c>
      <c r="AA41" s="36">
        <v>65</v>
      </c>
      <c r="AB41" s="36">
        <v>158.5</v>
      </c>
      <c r="AC41" s="36">
        <v>94.9</v>
      </c>
      <c r="AD41" s="337">
        <v>252.9</v>
      </c>
      <c r="AE41" s="45">
        <v>76.900000000000006</v>
      </c>
      <c r="AF41" s="339">
        <v>233</v>
      </c>
      <c r="AG41" s="339">
        <v>88.4</v>
      </c>
      <c r="AH41" s="341">
        <v>54.9</v>
      </c>
      <c r="AI41" s="354">
        <v>206.9</v>
      </c>
      <c r="AJ41" s="762">
        <v>34.799999999999997</v>
      </c>
      <c r="AK41" s="970">
        <v>103.8</v>
      </c>
      <c r="AL41" s="862">
        <v>773.6</v>
      </c>
      <c r="AM41" s="765">
        <v>523.79999999999995</v>
      </c>
      <c r="AN41" s="765">
        <v>96.2</v>
      </c>
      <c r="AO41" s="765">
        <v>140.30000000000001</v>
      </c>
      <c r="AP41" s="919">
        <v>137</v>
      </c>
      <c r="AQ41" s="339">
        <v>112.5</v>
      </c>
      <c r="AR41" s="1078">
        <v>166.2</v>
      </c>
    </row>
    <row r="42" spans="1:44" s="15" customFormat="1">
      <c r="A42" s="335" t="s">
        <v>113</v>
      </c>
      <c r="B42" s="283"/>
      <c r="C42" s="36" t="s">
        <v>1</v>
      </c>
      <c r="D42" s="36" t="s">
        <v>1</v>
      </c>
      <c r="E42" s="36" t="s">
        <v>1</v>
      </c>
      <c r="F42" s="36" t="s">
        <v>1</v>
      </c>
      <c r="G42" s="36" t="s">
        <v>1</v>
      </c>
      <c r="H42" s="36" t="s">
        <v>1</v>
      </c>
      <c r="I42" s="36" t="s">
        <v>1</v>
      </c>
      <c r="J42" s="36" t="s">
        <v>1</v>
      </c>
      <c r="K42" s="36" t="s">
        <v>1</v>
      </c>
      <c r="L42" s="36" t="s">
        <v>1</v>
      </c>
      <c r="M42" s="36">
        <v>100.7</v>
      </c>
      <c r="N42" s="36">
        <v>29.3</v>
      </c>
      <c r="O42" s="36">
        <v>139.69999999999999</v>
      </c>
      <c r="P42" s="36">
        <v>139</v>
      </c>
      <c r="Q42" s="36">
        <v>58.5</v>
      </c>
      <c r="R42" s="36">
        <v>320</v>
      </c>
      <c r="S42" s="36">
        <v>216.3</v>
      </c>
      <c r="T42" s="36">
        <v>55</v>
      </c>
      <c r="U42" s="36">
        <v>61.9</v>
      </c>
      <c r="V42" s="36">
        <v>85.7</v>
      </c>
      <c r="W42" s="36">
        <v>124.4</v>
      </c>
      <c r="X42" s="36">
        <v>98.1</v>
      </c>
      <c r="Y42" s="36">
        <v>110.1</v>
      </c>
      <c r="Z42" s="36">
        <v>149.30000000000001</v>
      </c>
      <c r="AA42" s="36">
        <v>181.2</v>
      </c>
      <c r="AB42" s="36">
        <v>267.39999999999998</v>
      </c>
      <c r="AC42" s="36">
        <v>64.400000000000006</v>
      </c>
      <c r="AD42" s="337">
        <v>46.3</v>
      </c>
      <c r="AE42" s="45">
        <v>100</v>
      </c>
      <c r="AF42" s="339">
        <v>95.8</v>
      </c>
      <c r="AG42" s="339">
        <v>427.1</v>
      </c>
      <c r="AH42" s="341">
        <v>21.7</v>
      </c>
      <c r="AI42" s="354">
        <v>229.7</v>
      </c>
      <c r="AJ42" s="762">
        <v>81.099999999999994</v>
      </c>
      <c r="AK42" s="970">
        <v>92.5</v>
      </c>
      <c r="AL42" s="862">
        <v>7.5</v>
      </c>
      <c r="AM42" s="765">
        <v>55.8</v>
      </c>
      <c r="AN42" s="765">
        <v>189.6</v>
      </c>
      <c r="AO42" s="765">
        <v>154.19999999999999</v>
      </c>
      <c r="AP42" s="919">
        <v>213.5</v>
      </c>
      <c r="AQ42" s="339">
        <v>257.8</v>
      </c>
      <c r="AR42" s="1078">
        <v>228.8</v>
      </c>
    </row>
    <row r="43" spans="1:44" s="15" customFormat="1">
      <c r="A43" s="343" t="s">
        <v>218</v>
      </c>
      <c r="B43" s="349" t="s">
        <v>74</v>
      </c>
      <c r="C43" s="36" t="s">
        <v>1</v>
      </c>
      <c r="D43" s="36">
        <v>85.6</v>
      </c>
      <c r="E43" s="36">
        <v>69</v>
      </c>
      <c r="F43" s="36">
        <v>47.4</v>
      </c>
      <c r="G43" s="36">
        <v>62.8</v>
      </c>
      <c r="H43" s="36">
        <v>64.3</v>
      </c>
      <c r="I43" s="36">
        <v>64.599999999999994</v>
      </c>
      <c r="J43" s="36">
        <v>50.2</v>
      </c>
      <c r="K43" s="36">
        <v>56.3</v>
      </c>
      <c r="L43" s="36">
        <v>62.9</v>
      </c>
      <c r="M43" s="36">
        <v>69.7</v>
      </c>
      <c r="N43" s="36">
        <v>77</v>
      </c>
      <c r="O43" s="36">
        <v>84.4</v>
      </c>
      <c r="P43" s="36">
        <v>90.2</v>
      </c>
      <c r="Q43" s="36">
        <v>175.2</v>
      </c>
      <c r="R43" s="36">
        <v>241.1</v>
      </c>
      <c r="S43" s="36">
        <v>284.5</v>
      </c>
      <c r="T43" s="36">
        <v>292.5</v>
      </c>
      <c r="U43" s="36">
        <v>303.89999999999998</v>
      </c>
      <c r="V43" s="36">
        <v>305.39999999999998</v>
      </c>
      <c r="W43" s="36">
        <v>224.2</v>
      </c>
      <c r="X43" s="36">
        <v>227.6</v>
      </c>
      <c r="Y43" s="36">
        <v>240.8</v>
      </c>
      <c r="Z43" s="36">
        <v>275.7</v>
      </c>
      <c r="AA43" s="36">
        <v>397.7</v>
      </c>
      <c r="AB43" s="36">
        <v>539.29999999999995</v>
      </c>
      <c r="AC43" s="36">
        <v>550.79999999999995</v>
      </c>
      <c r="AD43" s="337">
        <v>581.1</v>
      </c>
      <c r="AE43" s="36">
        <v>609</v>
      </c>
      <c r="AF43" s="34">
        <v>695.5</v>
      </c>
      <c r="AG43" s="347"/>
      <c r="AH43" s="283">
        <v>554.20000000000005</v>
      </c>
      <c r="AI43" s="242">
        <v>775.3</v>
      </c>
      <c r="AJ43" s="788">
        <v>740.4</v>
      </c>
      <c r="AK43" s="276">
        <v>770</v>
      </c>
      <c r="AL43" s="860"/>
      <c r="AM43" s="811"/>
      <c r="AN43" s="811"/>
      <c r="AO43" s="811"/>
      <c r="AP43" s="916"/>
      <c r="AQ43" s="34"/>
      <c r="AR43" s="1078"/>
    </row>
    <row r="44" spans="1:44" s="15" customFormat="1">
      <c r="A44" s="329" t="s">
        <v>221</v>
      </c>
      <c r="B44" s="283"/>
      <c r="C44" s="36"/>
      <c r="D44" s="36"/>
      <c r="E44" s="36"/>
      <c r="F44" s="36"/>
      <c r="G44" s="36"/>
      <c r="H44" s="36"/>
      <c r="I44" s="36"/>
      <c r="J44" s="36"/>
      <c r="K44" s="36"/>
      <c r="L44" s="36"/>
      <c r="M44" s="36"/>
      <c r="N44" s="36"/>
      <c r="O44" s="36"/>
      <c r="P44" s="36"/>
      <c r="Q44" s="36"/>
      <c r="R44" s="36"/>
      <c r="S44" s="36"/>
      <c r="T44" s="36"/>
      <c r="U44" s="36"/>
      <c r="V44" s="36"/>
      <c r="W44" s="36"/>
      <c r="X44" s="36"/>
      <c r="Y44" s="36"/>
      <c r="Z44" s="36"/>
      <c r="AA44" s="323"/>
      <c r="AB44" s="355"/>
      <c r="AC44" s="323"/>
      <c r="AD44" s="337"/>
      <c r="AE44" s="323"/>
      <c r="AF44" s="34"/>
      <c r="AG44" s="34"/>
      <c r="AH44" s="283"/>
      <c r="AI44" s="356"/>
      <c r="AJ44" s="789"/>
      <c r="AK44" s="32"/>
      <c r="AL44" s="860"/>
      <c r="AM44" s="811"/>
      <c r="AN44" s="811"/>
      <c r="AO44" s="811"/>
      <c r="AP44" s="916"/>
      <c r="AQ44" s="34"/>
      <c r="AR44" s="1078"/>
    </row>
    <row r="45" spans="1:44" s="15" customFormat="1">
      <c r="A45" s="329" t="s">
        <v>222</v>
      </c>
      <c r="B45" s="349" t="s">
        <v>223</v>
      </c>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23"/>
      <c r="AC45" s="323"/>
      <c r="AD45" s="337"/>
      <c r="AE45" s="323"/>
      <c r="AF45" s="34"/>
      <c r="AG45" s="52"/>
      <c r="AH45" s="357"/>
      <c r="AI45" s="242"/>
      <c r="AJ45" s="789"/>
      <c r="AK45" s="32"/>
      <c r="AL45" s="860"/>
      <c r="AM45" s="811"/>
      <c r="AN45" s="811"/>
      <c r="AO45" s="811"/>
      <c r="AP45" s="916"/>
      <c r="AQ45" s="34"/>
      <c r="AR45" s="1078"/>
    </row>
    <row r="46" spans="1:44" s="15" customFormat="1">
      <c r="A46" s="333" t="s">
        <v>108</v>
      </c>
      <c r="B46" s="283"/>
      <c r="C46" s="58">
        <v>5034</v>
      </c>
      <c r="D46" s="58">
        <v>2532</v>
      </c>
      <c r="E46" s="58" t="s">
        <v>1</v>
      </c>
      <c r="F46" s="58">
        <v>1266</v>
      </c>
      <c r="G46" s="58" t="s">
        <v>1</v>
      </c>
      <c r="H46" s="58" t="s">
        <v>1</v>
      </c>
      <c r="I46" s="58" t="s">
        <v>1</v>
      </c>
      <c r="J46" s="58" t="s">
        <v>1</v>
      </c>
      <c r="K46" s="58" t="s">
        <v>1</v>
      </c>
      <c r="L46" s="58">
        <v>1200</v>
      </c>
      <c r="M46" s="58">
        <v>2382</v>
      </c>
      <c r="N46" s="58">
        <v>1812</v>
      </c>
      <c r="O46" s="58">
        <v>200</v>
      </c>
      <c r="P46" s="58">
        <v>1000</v>
      </c>
      <c r="Q46" s="58">
        <v>816</v>
      </c>
      <c r="R46" s="58">
        <v>1800</v>
      </c>
      <c r="S46" s="58">
        <v>1000</v>
      </c>
      <c r="T46" s="58">
        <v>3150</v>
      </c>
      <c r="U46" s="58">
        <v>3600</v>
      </c>
      <c r="V46" s="58">
        <v>1488</v>
      </c>
      <c r="W46" s="58" t="s">
        <v>1</v>
      </c>
      <c r="X46" s="58">
        <v>3600</v>
      </c>
      <c r="Y46" s="58">
        <v>4800</v>
      </c>
      <c r="Z46" s="58">
        <v>2064</v>
      </c>
      <c r="AA46" s="58">
        <v>1860</v>
      </c>
      <c r="AB46" s="58">
        <v>1500</v>
      </c>
      <c r="AC46" s="323">
        <v>1272</v>
      </c>
      <c r="AD46" s="358">
        <v>6105</v>
      </c>
      <c r="AE46" s="36" t="s">
        <v>1</v>
      </c>
      <c r="AF46" s="300">
        <v>5317</v>
      </c>
      <c r="AG46" s="67">
        <v>2775</v>
      </c>
      <c r="AH46" s="359">
        <v>14365</v>
      </c>
      <c r="AI46" s="360">
        <v>2150</v>
      </c>
      <c r="AJ46" s="790">
        <v>3915</v>
      </c>
      <c r="AK46" s="300">
        <v>33890</v>
      </c>
      <c r="AL46" s="861" t="s">
        <v>1</v>
      </c>
      <c r="AM46" s="793" t="s">
        <v>1</v>
      </c>
      <c r="AN46" s="793" t="s">
        <v>1</v>
      </c>
      <c r="AO46" s="793" t="s">
        <v>1</v>
      </c>
      <c r="AP46" s="920" t="s">
        <v>1</v>
      </c>
      <c r="AQ46" s="34">
        <v>560</v>
      </c>
      <c r="AR46" s="70">
        <v>1110</v>
      </c>
    </row>
    <row r="47" spans="1:44" s="15" customFormat="1">
      <c r="A47" s="335" t="s">
        <v>109</v>
      </c>
      <c r="B47" s="283"/>
      <c r="C47" s="36" t="s">
        <v>1</v>
      </c>
      <c r="D47" s="36" t="s">
        <v>1</v>
      </c>
      <c r="E47" s="36" t="s">
        <v>1</v>
      </c>
      <c r="F47" s="36" t="s">
        <v>1</v>
      </c>
      <c r="G47" s="36" t="s">
        <v>1</v>
      </c>
      <c r="H47" s="36" t="s">
        <v>1</v>
      </c>
      <c r="I47" s="36" t="s">
        <v>1</v>
      </c>
      <c r="J47" s="36" t="s">
        <v>1</v>
      </c>
      <c r="K47" s="36" t="s">
        <v>1</v>
      </c>
      <c r="L47" s="36" t="s">
        <v>1</v>
      </c>
      <c r="M47" s="36" t="s">
        <v>1</v>
      </c>
      <c r="N47" s="36" t="s">
        <v>1</v>
      </c>
      <c r="O47" s="58" t="s">
        <v>1</v>
      </c>
      <c r="P47" s="58" t="s">
        <v>1</v>
      </c>
      <c r="Q47" s="58" t="s">
        <v>1</v>
      </c>
      <c r="R47" s="58" t="s">
        <v>1</v>
      </c>
      <c r="S47" s="58" t="s">
        <v>1</v>
      </c>
      <c r="T47" s="58">
        <v>400</v>
      </c>
      <c r="U47" s="58" t="s">
        <v>1</v>
      </c>
      <c r="V47" s="58" t="s">
        <v>1</v>
      </c>
      <c r="W47" s="58" t="s">
        <v>1</v>
      </c>
      <c r="X47" s="58" t="s">
        <v>1</v>
      </c>
      <c r="Y47" s="58" t="s">
        <v>1</v>
      </c>
      <c r="Z47" s="58" t="s">
        <v>1</v>
      </c>
      <c r="AA47" s="58" t="s">
        <v>1</v>
      </c>
      <c r="AB47" s="58" t="s">
        <v>1</v>
      </c>
      <c r="AC47" s="58" t="s">
        <v>1</v>
      </c>
      <c r="AD47" s="58" t="s">
        <v>1</v>
      </c>
      <c r="AE47" s="36" t="s">
        <v>1</v>
      </c>
      <c r="AF47" s="52" t="s">
        <v>1</v>
      </c>
      <c r="AG47" s="67" t="s">
        <v>1</v>
      </c>
      <c r="AH47" s="359">
        <v>600</v>
      </c>
      <c r="AI47" s="361" t="s">
        <v>1</v>
      </c>
      <c r="AJ47" s="784" t="s">
        <v>1</v>
      </c>
      <c r="AK47" s="300">
        <v>1500</v>
      </c>
      <c r="AL47" s="861" t="s">
        <v>1</v>
      </c>
      <c r="AM47" s="818" t="s">
        <v>1</v>
      </c>
      <c r="AN47" s="818" t="s">
        <v>1</v>
      </c>
      <c r="AO47" s="818" t="s">
        <v>1</v>
      </c>
      <c r="AP47" s="921" t="s">
        <v>1</v>
      </c>
      <c r="AQ47" s="52" t="s">
        <v>1</v>
      </c>
      <c r="AR47" s="1066" t="s">
        <v>1</v>
      </c>
    </row>
    <row r="48" spans="1:44" s="15" customFormat="1">
      <c r="A48" s="335" t="s">
        <v>135</v>
      </c>
      <c r="B48" s="283"/>
      <c r="C48" s="36" t="s">
        <v>1</v>
      </c>
      <c r="D48" s="36" t="s">
        <v>1</v>
      </c>
      <c r="E48" s="36" t="s">
        <v>1</v>
      </c>
      <c r="F48" s="36" t="s">
        <v>1</v>
      </c>
      <c r="G48" s="36" t="s">
        <v>1</v>
      </c>
      <c r="H48" s="36" t="s">
        <v>1</v>
      </c>
      <c r="I48" s="36" t="s">
        <v>1</v>
      </c>
      <c r="J48" s="36" t="s">
        <v>1</v>
      </c>
      <c r="K48" s="36" t="s">
        <v>1</v>
      </c>
      <c r="L48" s="36" t="s">
        <v>1</v>
      </c>
      <c r="M48" s="36" t="s">
        <v>1</v>
      </c>
      <c r="N48" s="36" t="s">
        <v>1</v>
      </c>
      <c r="O48" s="58" t="s">
        <v>1</v>
      </c>
      <c r="P48" s="58" t="s">
        <v>1</v>
      </c>
      <c r="Q48" s="58" t="s">
        <v>1</v>
      </c>
      <c r="R48" s="58" t="s">
        <v>1</v>
      </c>
      <c r="S48" s="58" t="s">
        <v>1</v>
      </c>
      <c r="U48" s="58">
        <v>2400</v>
      </c>
      <c r="V48" s="58" t="s">
        <v>1</v>
      </c>
      <c r="W48" s="58" t="s">
        <v>1</v>
      </c>
      <c r="X48" s="58">
        <v>2400</v>
      </c>
      <c r="Y48" s="58">
        <v>3600</v>
      </c>
      <c r="Z48" s="58" t="s">
        <v>1</v>
      </c>
      <c r="AA48" s="58">
        <v>900</v>
      </c>
      <c r="AB48" s="58" t="s">
        <v>1</v>
      </c>
      <c r="AC48" s="58">
        <v>672</v>
      </c>
      <c r="AD48" s="58">
        <v>3075</v>
      </c>
      <c r="AE48" s="36" t="s">
        <v>1</v>
      </c>
      <c r="AF48" s="300">
        <v>192</v>
      </c>
      <c r="AG48" s="67">
        <v>125</v>
      </c>
      <c r="AH48" s="359">
        <v>4800</v>
      </c>
      <c r="AI48" s="361" t="s">
        <v>1</v>
      </c>
      <c r="AJ48" s="790">
        <v>2040</v>
      </c>
      <c r="AK48" s="300">
        <v>9740</v>
      </c>
      <c r="AL48" s="861" t="s">
        <v>1</v>
      </c>
      <c r="AM48" s="818" t="s">
        <v>1</v>
      </c>
      <c r="AN48" s="818" t="s">
        <v>1</v>
      </c>
      <c r="AO48" s="818" t="s">
        <v>1</v>
      </c>
      <c r="AP48" s="921" t="s">
        <v>1</v>
      </c>
      <c r="AQ48" s="52" t="s">
        <v>1</v>
      </c>
      <c r="AR48" s="1078">
        <v>550</v>
      </c>
    </row>
    <row r="49" spans="1:44" s="15" customFormat="1">
      <c r="A49" s="335" t="s">
        <v>110</v>
      </c>
      <c r="B49" s="283"/>
      <c r="C49" s="36" t="s">
        <v>1</v>
      </c>
      <c r="D49" s="36" t="s">
        <v>1</v>
      </c>
      <c r="E49" s="36" t="s">
        <v>1</v>
      </c>
      <c r="F49" s="36" t="s">
        <v>1</v>
      </c>
      <c r="G49" s="36" t="s">
        <v>1</v>
      </c>
      <c r="H49" s="36" t="s">
        <v>1</v>
      </c>
      <c r="I49" s="36" t="s">
        <v>1</v>
      </c>
      <c r="J49" s="36" t="s">
        <v>1</v>
      </c>
      <c r="K49" s="36" t="s">
        <v>1</v>
      </c>
      <c r="L49" s="36" t="s">
        <v>1</v>
      </c>
      <c r="M49" s="36" t="s">
        <v>1</v>
      </c>
      <c r="N49" s="36" t="s">
        <v>1</v>
      </c>
      <c r="O49" s="58">
        <v>200</v>
      </c>
      <c r="P49" s="58" t="s">
        <v>1</v>
      </c>
      <c r="Q49" s="58" t="s">
        <v>1</v>
      </c>
      <c r="R49" s="58" t="s">
        <v>1</v>
      </c>
      <c r="S49" s="58" t="s">
        <v>1</v>
      </c>
      <c r="T49" s="58">
        <v>1550</v>
      </c>
      <c r="U49" s="58">
        <v>1200</v>
      </c>
      <c r="V49" s="58" t="s">
        <v>1</v>
      </c>
      <c r="W49" s="58" t="s">
        <v>1</v>
      </c>
      <c r="X49" s="58" t="s">
        <v>1</v>
      </c>
      <c r="Y49" s="58" t="s">
        <v>1</v>
      </c>
      <c r="Z49" s="58" t="s">
        <v>1</v>
      </c>
      <c r="AA49" s="58" t="s">
        <v>1</v>
      </c>
      <c r="AB49" s="58">
        <v>900</v>
      </c>
      <c r="AC49" s="58" t="s">
        <v>1</v>
      </c>
      <c r="AD49" s="58" t="s">
        <v>1</v>
      </c>
      <c r="AE49" s="36" t="s">
        <v>1</v>
      </c>
      <c r="AF49" s="300">
        <v>1425</v>
      </c>
      <c r="AG49" s="67" t="s">
        <v>1</v>
      </c>
      <c r="AH49" s="359">
        <v>2700</v>
      </c>
      <c r="AI49" s="361" t="s">
        <v>1</v>
      </c>
      <c r="AJ49" s="790">
        <v>1425</v>
      </c>
      <c r="AK49" s="342" t="s">
        <v>1</v>
      </c>
      <c r="AL49" s="868" t="s">
        <v>1</v>
      </c>
      <c r="AM49" s="818" t="s">
        <v>1</v>
      </c>
      <c r="AN49" s="818" t="s">
        <v>1</v>
      </c>
      <c r="AO49" s="818" t="s">
        <v>1</v>
      </c>
      <c r="AP49" s="921" t="s">
        <v>1</v>
      </c>
      <c r="AQ49" s="164">
        <v>560</v>
      </c>
      <c r="AR49" s="4">
        <v>560</v>
      </c>
    </row>
    <row r="50" spans="1:44" s="15" customFormat="1">
      <c r="A50" s="335" t="s">
        <v>111</v>
      </c>
      <c r="B50" s="283"/>
      <c r="C50" s="36" t="s">
        <v>1</v>
      </c>
      <c r="D50" s="36" t="s">
        <v>1</v>
      </c>
      <c r="E50" s="36" t="s">
        <v>1</v>
      </c>
      <c r="F50" s="36" t="s">
        <v>1</v>
      </c>
      <c r="G50" s="36" t="s">
        <v>1</v>
      </c>
      <c r="H50" s="36" t="s">
        <v>1</v>
      </c>
      <c r="I50" s="36" t="s">
        <v>1</v>
      </c>
      <c r="J50" s="36" t="s">
        <v>1</v>
      </c>
      <c r="K50" s="36" t="s">
        <v>1</v>
      </c>
      <c r="L50" s="36" t="s">
        <v>1</v>
      </c>
      <c r="M50" s="36" t="s">
        <v>1</v>
      </c>
      <c r="N50" s="36" t="s">
        <v>1</v>
      </c>
      <c r="O50" s="363" t="s">
        <v>1</v>
      </c>
      <c r="P50" s="58">
        <v>1000</v>
      </c>
      <c r="Q50" s="58">
        <v>816</v>
      </c>
      <c r="R50" s="58">
        <v>1800</v>
      </c>
      <c r="S50" s="58">
        <v>1000</v>
      </c>
      <c r="T50" s="58" t="s">
        <v>1</v>
      </c>
      <c r="U50" s="58" t="s">
        <v>1</v>
      </c>
      <c r="V50" s="58" t="s">
        <v>1</v>
      </c>
      <c r="W50" s="58" t="s">
        <v>1</v>
      </c>
      <c r="X50" s="58" t="s">
        <v>1</v>
      </c>
      <c r="Y50" s="58" t="s">
        <v>1</v>
      </c>
      <c r="Z50" s="58" t="s">
        <v>1</v>
      </c>
      <c r="AA50" s="58" t="s">
        <v>1</v>
      </c>
      <c r="AB50" s="58" t="s">
        <v>1</v>
      </c>
      <c r="AC50" s="323">
        <v>600</v>
      </c>
      <c r="AD50" s="358">
        <v>1830</v>
      </c>
      <c r="AE50" s="36" t="s">
        <v>1</v>
      </c>
      <c r="AF50" s="300">
        <v>1000</v>
      </c>
      <c r="AG50" s="67">
        <v>1200</v>
      </c>
      <c r="AH50" s="359">
        <v>725</v>
      </c>
      <c r="AI50" s="361">
        <v>1080</v>
      </c>
      <c r="AJ50" s="790">
        <v>120</v>
      </c>
      <c r="AK50" s="300">
        <v>8047</v>
      </c>
      <c r="AL50" s="861" t="s">
        <v>1</v>
      </c>
      <c r="AM50" s="818" t="s">
        <v>1</v>
      </c>
      <c r="AN50" s="818" t="s">
        <v>1</v>
      </c>
      <c r="AO50" s="818" t="s">
        <v>1</v>
      </c>
      <c r="AP50" s="921" t="s">
        <v>1</v>
      </c>
      <c r="AQ50" s="218" t="s">
        <v>1</v>
      </c>
      <c r="AR50" s="1006" t="s">
        <v>1</v>
      </c>
    </row>
    <row r="51" spans="1:44" s="15" customFormat="1">
      <c r="A51" s="335" t="s">
        <v>388</v>
      </c>
      <c r="B51" s="283"/>
      <c r="C51" s="36" t="s">
        <v>1</v>
      </c>
      <c r="D51" s="36" t="s">
        <v>1</v>
      </c>
      <c r="E51" s="36" t="s">
        <v>1</v>
      </c>
      <c r="F51" s="36" t="s">
        <v>1</v>
      </c>
      <c r="G51" s="36" t="s">
        <v>1</v>
      </c>
      <c r="H51" s="36" t="s">
        <v>1</v>
      </c>
      <c r="I51" s="36" t="s">
        <v>1</v>
      </c>
      <c r="J51" s="36" t="s">
        <v>1</v>
      </c>
      <c r="K51" s="36" t="s">
        <v>1</v>
      </c>
      <c r="L51" s="36" t="s">
        <v>1</v>
      </c>
      <c r="M51" s="36" t="s">
        <v>1</v>
      </c>
      <c r="N51" s="36" t="s">
        <v>1</v>
      </c>
      <c r="O51" s="58" t="s">
        <v>1</v>
      </c>
      <c r="P51" s="58" t="s">
        <v>1</v>
      </c>
      <c r="Q51" s="58" t="s">
        <v>1</v>
      </c>
      <c r="R51" s="58" t="s">
        <v>1</v>
      </c>
      <c r="S51" s="58" t="s">
        <v>1</v>
      </c>
      <c r="T51" s="58">
        <v>1200</v>
      </c>
      <c r="U51" s="58" t="s">
        <v>1</v>
      </c>
      <c r="V51" s="58" t="s">
        <v>1</v>
      </c>
      <c r="W51" s="58" t="s">
        <v>1</v>
      </c>
      <c r="X51" s="58">
        <v>1200</v>
      </c>
      <c r="Y51" s="58" t="s">
        <v>1</v>
      </c>
      <c r="Z51" s="58" t="s">
        <v>1</v>
      </c>
      <c r="AA51" s="58" t="s">
        <v>1</v>
      </c>
      <c r="AB51" s="58" t="s">
        <v>1</v>
      </c>
      <c r="AC51" s="58" t="s">
        <v>1</v>
      </c>
      <c r="AD51" s="58" t="s">
        <v>1</v>
      </c>
      <c r="AE51" s="36" t="s">
        <v>1</v>
      </c>
      <c r="AF51" s="52" t="s">
        <v>1</v>
      </c>
      <c r="AG51" s="67" t="s">
        <v>1</v>
      </c>
      <c r="AH51" s="359">
        <v>1050</v>
      </c>
      <c r="AI51" s="361">
        <v>300</v>
      </c>
      <c r="AJ51" s="790">
        <v>200</v>
      </c>
      <c r="AK51" s="300" t="s">
        <v>1</v>
      </c>
      <c r="AL51" s="866" t="s">
        <v>1</v>
      </c>
      <c r="AM51" s="818" t="s">
        <v>1</v>
      </c>
      <c r="AN51" s="818" t="s">
        <v>1</v>
      </c>
      <c r="AO51" s="818" t="s">
        <v>1</v>
      </c>
      <c r="AP51" s="921" t="s">
        <v>1</v>
      </c>
      <c r="AQ51" s="52" t="s">
        <v>1</v>
      </c>
      <c r="AR51" s="1066" t="s">
        <v>1</v>
      </c>
    </row>
    <row r="52" spans="1:44" s="15" customFormat="1">
      <c r="A52" s="335" t="s">
        <v>136</v>
      </c>
      <c r="B52" s="283"/>
      <c r="C52" s="36" t="s">
        <v>1</v>
      </c>
      <c r="D52" s="36" t="s">
        <v>1</v>
      </c>
      <c r="E52" s="36" t="s">
        <v>1</v>
      </c>
      <c r="F52" s="36" t="s">
        <v>1</v>
      </c>
      <c r="G52" s="36" t="s">
        <v>1</v>
      </c>
      <c r="H52" s="36" t="s">
        <v>1</v>
      </c>
      <c r="I52" s="36" t="s">
        <v>1</v>
      </c>
      <c r="J52" s="36" t="s">
        <v>1</v>
      </c>
      <c r="K52" s="36" t="s">
        <v>1</v>
      </c>
      <c r="L52" s="36" t="s">
        <v>1</v>
      </c>
      <c r="M52" s="36" t="s">
        <v>1</v>
      </c>
      <c r="N52" s="36" t="s">
        <v>1</v>
      </c>
      <c r="O52" s="58" t="s">
        <v>1</v>
      </c>
      <c r="P52" s="58" t="s">
        <v>1</v>
      </c>
      <c r="Q52" s="58" t="s">
        <v>1</v>
      </c>
      <c r="R52" s="58" t="s">
        <v>1</v>
      </c>
      <c r="S52" s="58" t="s">
        <v>1</v>
      </c>
      <c r="T52" s="58" t="s">
        <v>1</v>
      </c>
      <c r="U52" s="58" t="s">
        <v>1</v>
      </c>
      <c r="V52" s="58" t="s">
        <v>1</v>
      </c>
      <c r="W52" s="58" t="s">
        <v>1</v>
      </c>
      <c r="X52" s="58" t="s">
        <v>1</v>
      </c>
      <c r="Y52" s="58" t="s">
        <v>1</v>
      </c>
      <c r="Z52" s="58">
        <v>864</v>
      </c>
      <c r="AA52" s="58" t="s">
        <v>1</v>
      </c>
      <c r="AB52" s="58">
        <v>600</v>
      </c>
      <c r="AC52" s="58" t="s">
        <v>1</v>
      </c>
      <c r="AD52" s="58" t="s">
        <v>1</v>
      </c>
      <c r="AE52" s="36" t="s">
        <v>1</v>
      </c>
      <c r="AF52" s="300">
        <v>1650</v>
      </c>
      <c r="AG52" s="67">
        <v>540</v>
      </c>
      <c r="AH52" s="357" t="s">
        <v>1</v>
      </c>
      <c r="AI52" s="364">
        <v>770</v>
      </c>
      <c r="AJ52" s="784" t="s">
        <v>1</v>
      </c>
      <c r="AK52" s="300">
        <v>3791</v>
      </c>
      <c r="AL52" s="861" t="s">
        <v>1</v>
      </c>
      <c r="AM52" s="818" t="s">
        <v>1</v>
      </c>
      <c r="AN52" s="818" t="s">
        <v>1</v>
      </c>
      <c r="AO52" s="818" t="s">
        <v>1</v>
      </c>
      <c r="AP52" s="921" t="s">
        <v>1</v>
      </c>
      <c r="AQ52" s="52" t="s">
        <v>1</v>
      </c>
      <c r="AR52" s="1066" t="s">
        <v>1</v>
      </c>
    </row>
    <row r="53" spans="1:44" s="15" customFormat="1">
      <c r="A53" s="335" t="s">
        <v>112</v>
      </c>
      <c r="B53" s="283"/>
      <c r="C53" s="36" t="s">
        <v>1</v>
      </c>
      <c r="D53" s="36" t="s">
        <v>1</v>
      </c>
      <c r="E53" s="36" t="s">
        <v>1</v>
      </c>
      <c r="F53" s="36" t="s">
        <v>1</v>
      </c>
      <c r="G53" s="36" t="s">
        <v>1</v>
      </c>
      <c r="H53" s="36" t="s">
        <v>1</v>
      </c>
      <c r="I53" s="36" t="s">
        <v>1</v>
      </c>
      <c r="J53" s="36" t="s">
        <v>1</v>
      </c>
      <c r="K53" s="36" t="s">
        <v>1</v>
      </c>
      <c r="L53" s="36" t="s">
        <v>1</v>
      </c>
      <c r="M53" s="36" t="s">
        <v>1</v>
      </c>
      <c r="N53" s="36" t="s">
        <v>1</v>
      </c>
      <c r="O53" s="58" t="s">
        <v>1</v>
      </c>
      <c r="P53" s="58" t="s">
        <v>1</v>
      </c>
      <c r="Q53" s="58" t="s">
        <v>1</v>
      </c>
      <c r="R53" s="58" t="s">
        <v>1</v>
      </c>
      <c r="S53" s="58" t="s">
        <v>1</v>
      </c>
      <c r="T53" s="58" t="s">
        <v>1</v>
      </c>
      <c r="U53" s="58" t="s">
        <v>1</v>
      </c>
      <c r="V53" s="58" t="s">
        <v>1</v>
      </c>
      <c r="W53" s="58" t="s">
        <v>1</v>
      </c>
      <c r="X53" s="58" t="s">
        <v>1</v>
      </c>
      <c r="Y53" s="58" t="s">
        <v>1</v>
      </c>
      <c r="Z53" s="58" t="s">
        <v>1</v>
      </c>
      <c r="AA53" s="58">
        <v>960</v>
      </c>
      <c r="AB53" s="58" t="s">
        <v>1</v>
      </c>
      <c r="AC53" s="58" t="s">
        <v>1</v>
      </c>
      <c r="AD53" s="58">
        <v>1200</v>
      </c>
      <c r="AE53" s="36" t="s">
        <v>1</v>
      </c>
      <c r="AF53" s="342" t="s">
        <v>1</v>
      </c>
      <c r="AG53" s="67" t="s">
        <v>1</v>
      </c>
      <c r="AH53" s="359">
        <v>2090</v>
      </c>
      <c r="AI53" s="361" t="s">
        <v>1</v>
      </c>
      <c r="AJ53" s="784" t="s">
        <v>1</v>
      </c>
      <c r="AK53" s="300">
        <v>7500</v>
      </c>
      <c r="AL53" s="861" t="s">
        <v>1</v>
      </c>
      <c r="AM53" s="818" t="s">
        <v>1</v>
      </c>
      <c r="AN53" s="818" t="s">
        <v>1</v>
      </c>
      <c r="AO53" s="818" t="s">
        <v>1</v>
      </c>
      <c r="AP53" s="921" t="s">
        <v>1</v>
      </c>
      <c r="AQ53" s="52" t="s">
        <v>1</v>
      </c>
      <c r="AR53" s="1066" t="s">
        <v>1</v>
      </c>
    </row>
    <row r="54" spans="1:44" s="15" customFormat="1">
      <c r="A54" s="335" t="s">
        <v>113</v>
      </c>
      <c r="B54" s="283"/>
      <c r="C54" s="36" t="s">
        <v>1</v>
      </c>
      <c r="D54" s="36" t="s">
        <v>1</v>
      </c>
      <c r="E54" s="36" t="s">
        <v>1</v>
      </c>
      <c r="F54" s="36" t="s">
        <v>1</v>
      </c>
      <c r="G54" s="36" t="s">
        <v>1</v>
      </c>
      <c r="H54" s="36" t="s">
        <v>1</v>
      </c>
      <c r="I54" s="36" t="s">
        <v>1</v>
      </c>
      <c r="J54" s="36" t="s">
        <v>1</v>
      </c>
      <c r="K54" s="36" t="s">
        <v>1</v>
      </c>
      <c r="L54" s="36" t="s">
        <v>1</v>
      </c>
      <c r="M54" s="36" t="s">
        <v>1</v>
      </c>
      <c r="N54" s="36" t="s">
        <v>1</v>
      </c>
      <c r="O54" s="58" t="s">
        <v>1</v>
      </c>
      <c r="P54" s="58" t="s">
        <v>1</v>
      </c>
      <c r="Q54" s="58" t="s">
        <v>1</v>
      </c>
      <c r="R54" s="58" t="s">
        <v>1</v>
      </c>
      <c r="S54" s="58" t="s">
        <v>1</v>
      </c>
      <c r="T54" s="58" t="s">
        <v>1</v>
      </c>
      <c r="U54" s="58" t="s">
        <v>1</v>
      </c>
      <c r="V54" s="58">
        <v>1488</v>
      </c>
      <c r="W54" s="58" t="s">
        <v>1</v>
      </c>
      <c r="X54" s="58" t="s">
        <v>1</v>
      </c>
      <c r="Y54" s="58">
        <v>1200</v>
      </c>
      <c r="Z54" s="58">
        <v>1200</v>
      </c>
      <c r="AA54" s="58" t="s">
        <v>1</v>
      </c>
      <c r="AB54" s="58" t="s">
        <v>1</v>
      </c>
      <c r="AC54" s="58" t="s">
        <v>1</v>
      </c>
      <c r="AD54" s="316" t="s">
        <v>1</v>
      </c>
      <c r="AE54" s="36" t="s">
        <v>1</v>
      </c>
      <c r="AF54" s="300">
        <v>1050</v>
      </c>
      <c r="AG54" s="67">
        <v>910</v>
      </c>
      <c r="AH54" s="359">
        <v>2400</v>
      </c>
      <c r="AI54" s="361" t="s">
        <v>1</v>
      </c>
      <c r="AJ54" s="790">
        <v>130</v>
      </c>
      <c r="AK54" s="300">
        <v>3312</v>
      </c>
      <c r="AL54" s="861" t="s">
        <v>1</v>
      </c>
      <c r="AM54" s="818" t="s">
        <v>1</v>
      </c>
      <c r="AN54" s="818" t="s">
        <v>1</v>
      </c>
      <c r="AO54" s="818" t="s">
        <v>1</v>
      </c>
      <c r="AP54" s="921" t="s">
        <v>1</v>
      </c>
      <c r="AQ54" s="52" t="s">
        <v>1</v>
      </c>
      <c r="AR54" s="1066" t="s">
        <v>1</v>
      </c>
    </row>
    <row r="55" spans="1:44" s="15" customFormat="1">
      <c r="A55" s="329" t="s">
        <v>224</v>
      </c>
      <c r="B55" s="349" t="s">
        <v>225</v>
      </c>
      <c r="C55" s="58"/>
      <c r="D55" s="58"/>
      <c r="E55" s="58"/>
      <c r="F55" s="58"/>
      <c r="G55" s="58"/>
      <c r="H55" s="58"/>
      <c r="I55" s="58"/>
      <c r="J55" s="58"/>
      <c r="K55" s="58"/>
      <c r="L55" s="58"/>
      <c r="M55" s="58"/>
      <c r="N55" s="58"/>
      <c r="O55" s="58"/>
      <c r="P55" s="58"/>
      <c r="Q55" s="58"/>
      <c r="R55" s="58"/>
      <c r="S55" s="58"/>
      <c r="T55" s="58"/>
      <c r="U55" s="58"/>
      <c r="V55" s="58"/>
      <c r="W55" s="58"/>
      <c r="X55" s="58"/>
      <c r="Y55" s="58"/>
      <c r="Z55" s="58"/>
      <c r="AA55" s="36"/>
      <c r="AB55" s="323"/>
      <c r="AC55" s="323"/>
      <c r="AD55" s="337"/>
      <c r="AE55" s="36"/>
      <c r="AF55" s="34"/>
      <c r="AG55" s="34"/>
      <c r="AH55" s="359"/>
      <c r="AI55" s="348"/>
      <c r="AJ55" s="791"/>
      <c r="AK55" s="971"/>
      <c r="AL55" s="860"/>
      <c r="AM55" s="811"/>
      <c r="AN55" s="811"/>
      <c r="AO55" s="811"/>
      <c r="AP55" s="916"/>
      <c r="AQ55" s="34"/>
      <c r="AR55" s="1078"/>
    </row>
    <row r="56" spans="1:44" s="15" customFormat="1">
      <c r="A56" s="333" t="s">
        <v>108</v>
      </c>
      <c r="B56" s="283"/>
      <c r="C56" s="58">
        <v>1320</v>
      </c>
      <c r="D56" s="58" t="s">
        <v>1</v>
      </c>
      <c r="E56" s="58" t="s">
        <v>1</v>
      </c>
      <c r="F56" s="58">
        <v>330</v>
      </c>
      <c r="G56" s="58">
        <v>140</v>
      </c>
      <c r="H56" s="58" t="s">
        <v>1</v>
      </c>
      <c r="I56" s="58" t="s">
        <v>1</v>
      </c>
      <c r="J56" s="58" t="s">
        <v>1</v>
      </c>
      <c r="K56" s="58" t="s">
        <v>1</v>
      </c>
      <c r="L56" s="58" t="s">
        <v>1</v>
      </c>
      <c r="M56" s="58" t="s">
        <v>1</v>
      </c>
      <c r="N56" s="58" t="s">
        <v>1</v>
      </c>
      <c r="O56" s="58" t="s">
        <v>1</v>
      </c>
      <c r="P56" s="58" t="s">
        <v>1</v>
      </c>
      <c r="Q56" s="58" t="s">
        <v>1</v>
      </c>
      <c r="R56" s="58">
        <v>120</v>
      </c>
      <c r="S56" s="58" t="s">
        <v>1</v>
      </c>
      <c r="T56" s="58" t="s">
        <v>1</v>
      </c>
      <c r="U56" s="58">
        <v>480</v>
      </c>
      <c r="V56" s="58">
        <v>1450</v>
      </c>
      <c r="W56" s="58">
        <v>520</v>
      </c>
      <c r="X56" s="58">
        <v>560</v>
      </c>
      <c r="Y56" s="58">
        <v>480</v>
      </c>
      <c r="Z56" s="58">
        <v>1510</v>
      </c>
      <c r="AA56" s="58">
        <v>1576</v>
      </c>
      <c r="AB56" s="58">
        <v>480</v>
      </c>
      <c r="AC56" s="323">
        <v>455</v>
      </c>
      <c r="AD56" s="358">
        <v>1250</v>
      </c>
      <c r="AE56" s="68">
        <v>1130</v>
      </c>
      <c r="AF56" s="52">
        <v>580</v>
      </c>
      <c r="AG56" s="52">
        <v>270</v>
      </c>
      <c r="AH56" s="359">
        <v>650</v>
      </c>
      <c r="AI56" s="365"/>
      <c r="AJ56" s="792">
        <v>480</v>
      </c>
      <c r="AK56" s="307">
        <v>1600</v>
      </c>
      <c r="AL56" s="861" t="s">
        <v>1</v>
      </c>
      <c r="AM56" s="793" t="s">
        <v>1</v>
      </c>
      <c r="AN56" s="793" t="s">
        <v>1</v>
      </c>
      <c r="AO56" s="793" t="s">
        <v>1</v>
      </c>
      <c r="AP56" s="920" t="s">
        <v>1</v>
      </c>
      <c r="AQ56" s="34">
        <v>240</v>
      </c>
      <c r="AR56" s="70">
        <v>1050</v>
      </c>
    </row>
    <row r="57" spans="1:44" s="15" customFormat="1">
      <c r="A57" s="335" t="s">
        <v>109</v>
      </c>
      <c r="B57" s="283"/>
      <c r="C57" s="36" t="s">
        <v>1</v>
      </c>
      <c r="D57" s="36" t="s">
        <v>1</v>
      </c>
      <c r="E57" s="36" t="s">
        <v>1</v>
      </c>
      <c r="F57" s="36" t="s">
        <v>1</v>
      </c>
      <c r="G57" s="36" t="s">
        <v>1</v>
      </c>
      <c r="H57" s="36" t="s">
        <v>1</v>
      </c>
      <c r="I57" s="36" t="s">
        <v>1</v>
      </c>
      <c r="J57" s="36" t="s">
        <v>1</v>
      </c>
      <c r="K57" s="36" t="s">
        <v>1</v>
      </c>
      <c r="L57" s="36" t="s">
        <v>1</v>
      </c>
      <c r="M57" s="36" t="s">
        <v>1</v>
      </c>
      <c r="N57" s="36" t="s">
        <v>1</v>
      </c>
      <c r="O57" s="58" t="s">
        <v>1</v>
      </c>
      <c r="P57" s="58" t="s">
        <v>1</v>
      </c>
      <c r="Q57" s="58" t="s">
        <v>1</v>
      </c>
      <c r="R57" s="58" t="s">
        <v>1</v>
      </c>
      <c r="S57" s="58" t="s">
        <v>1</v>
      </c>
      <c r="T57" s="58" t="s">
        <v>1</v>
      </c>
      <c r="U57" s="58" t="s">
        <v>1</v>
      </c>
      <c r="V57" s="58" t="s">
        <v>1</v>
      </c>
      <c r="W57" s="58" t="s">
        <v>1</v>
      </c>
      <c r="X57" s="58" t="s">
        <v>1</v>
      </c>
      <c r="Y57" s="58">
        <v>240</v>
      </c>
      <c r="Z57" s="58">
        <v>120</v>
      </c>
      <c r="AA57" s="58">
        <v>120</v>
      </c>
      <c r="AB57" s="58" t="s">
        <v>1</v>
      </c>
      <c r="AC57" s="58">
        <v>155</v>
      </c>
      <c r="AD57" s="58" t="s">
        <v>1</v>
      </c>
      <c r="AE57" s="68">
        <v>170</v>
      </c>
      <c r="AF57" s="52" t="s">
        <v>1</v>
      </c>
      <c r="AG57" s="52">
        <v>120</v>
      </c>
      <c r="AH57" s="359" t="s">
        <v>1</v>
      </c>
      <c r="AI57" s="366" t="s">
        <v>1</v>
      </c>
      <c r="AJ57" s="793" t="s">
        <v>1</v>
      </c>
      <c r="AK57" s="972" t="s">
        <v>1</v>
      </c>
      <c r="AL57" s="869" t="s">
        <v>1</v>
      </c>
      <c r="AM57" s="818" t="s">
        <v>1</v>
      </c>
      <c r="AN57" s="818" t="s">
        <v>1</v>
      </c>
      <c r="AO57" s="818" t="s">
        <v>1</v>
      </c>
      <c r="AP57" s="921" t="s">
        <v>1</v>
      </c>
      <c r="AQ57" s="52" t="s">
        <v>1</v>
      </c>
      <c r="AR57" s="1078">
        <v>190</v>
      </c>
    </row>
    <row r="58" spans="1:44" s="15" customFormat="1">
      <c r="A58" s="335" t="s">
        <v>135</v>
      </c>
      <c r="B58" s="283"/>
      <c r="C58" s="36" t="s">
        <v>1</v>
      </c>
      <c r="D58" s="36" t="s">
        <v>1</v>
      </c>
      <c r="E58" s="36" t="s">
        <v>1</v>
      </c>
      <c r="F58" s="36" t="s">
        <v>1</v>
      </c>
      <c r="G58" s="36" t="s">
        <v>1</v>
      </c>
      <c r="H58" s="36" t="s">
        <v>1</v>
      </c>
      <c r="I58" s="36" t="s">
        <v>1</v>
      </c>
      <c r="J58" s="36" t="s">
        <v>1</v>
      </c>
      <c r="K58" s="36" t="s">
        <v>1</v>
      </c>
      <c r="L58" s="36" t="s">
        <v>1</v>
      </c>
      <c r="M58" s="36" t="s">
        <v>1</v>
      </c>
      <c r="N58" s="36" t="s">
        <v>1</v>
      </c>
      <c r="O58" s="58" t="s">
        <v>1</v>
      </c>
      <c r="P58" s="58" t="s">
        <v>1</v>
      </c>
      <c r="Q58" s="58" t="s">
        <v>1</v>
      </c>
      <c r="R58" s="58" t="s">
        <v>1</v>
      </c>
      <c r="S58" s="58" t="s">
        <v>1</v>
      </c>
      <c r="T58" s="58" t="s">
        <v>1</v>
      </c>
      <c r="U58" s="58">
        <v>120</v>
      </c>
      <c r="V58" s="58">
        <v>920</v>
      </c>
      <c r="W58" s="58" t="s">
        <v>1</v>
      </c>
      <c r="X58" s="58">
        <v>360</v>
      </c>
      <c r="Y58" s="58" t="s">
        <v>1</v>
      </c>
      <c r="Z58" s="58">
        <v>680</v>
      </c>
      <c r="AA58" s="58">
        <v>320</v>
      </c>
      <c r="AB58" s="58">
        <v>360</v>
      </c>
      <c r="AC58" s="58" t="s">
        <v>1</v>
      </c>
      <c r="AD58" s="58">
        <v>760</v>
      </c>
      <c r="AE58" s="68">
        <v>520</v>
      </c>
      <c r="AF58" s="52" t="s">
        <v>1</v>
      </c>
      <c r="AG58" s="52" t="s">
        <v>1</v>
      </c>
      <c r="AH58" s="359" t="s">
        <v>1</v>
      </c>
      <c r="AI58" s="366" t="s">
        <v>1</v>
      </c>
      <c r="AJ58" s="763">
        <v>160</v>
      </c>
      <c r="AK58" s="300">
        <v>320</v>
      </c>
      <c r="AL58" s="861" t="s">
        <v>1</v>
      </c>
      <c r="AM58" s="818" t="s">
        <v>1</v>
      </c>
      <c r="AN58" s="818" t="s">
        <v>1</v>
      </c>
      <c r="AO58" s="818" t="s">
        <v>1</v>
      </c>
      <c r="AP58" s="921" t="s">
        <v>1</v>
      </c>
      <c r="AQ58" s="52" t="s">
        <v>1</v>
      </c>
      <c r="AR58" s="1066" t="s">
        <v>1</v>
      </c>
    </row>
    <row r="59" spans="1:44" s="15" customFormat="1">
      <c r="A59" s="335" t="s">
        <v>110</v>
      </c>
      <c r="B59" s="283"/>
      <c r="C59" s="36" t="s">
        <v>1</v>
      </c>
      <c r="D59" s="36" t="s">
        <v>1</v>
      </c>
      <c r="E59" s="36" t="s">
        <v>1</v>
      </c>
      <c r="F59" s="36" t="s">
        <v>1</v>
      </c>
      <c r="G59" s="36" t="s">
        <v>1</v>
      </c>
      <c r="H59" s="36" t="s">
        <v>1</v>
      </c>
      <c r="I59" s="36" t="s">
        <v>1</v>
      </c>
      <c r="J59" s="36" t="s">
        <v>1</v>
      </c>
      <c r="K59" s="36" t="s">
        <v>1</v>
      </c>
      <c r="L59" s="36" t="s">
        <v>1</v>
      </c>
      <c r="M59" s="36" t="s">
        <v>1</v>
      </c>
      <c r="N59" s="36" t="s">
        <v>1</v>
      </c>
      <c r="O59" s="58" t="s">
        <v>1</v>
      </c>
      <c r="P59" s="58" t="s">
        <v>1</v>
      </c>
      <c r="Q59" s="58" t="s">
        <v>1</v>
      </c>
      <c r="R59" s="58" t="s">
        <v>1</v>
      </c>
      <c r="S59" s="58" t="s">
        <v>1</v>
      </c>
      <c r="T59" s="58" t="s">
        <v>1</v>
      </c>
      <c r="U59" s="58">
        <v>240</v>
      </c>
      <c r="V59" s="58" t="s">
        <v>1</v>
      </c>
      <c r="W59" s="58">
        <v>280</v>
      </c>
      <c r="X59" s="58" t="s">
        <v>1</v>
      </c>
      <c r="Y59" s="58" t="s">
        <v>1</v>
      </c>
      <c r="Z59" s="58">
        <v>240</v>
      </c>
      <c r="AA59" s="58">
        <v>480</v>
      </c>
      <c r="AB59" s="58" t="s">
        <v>1</v>
      </c>
      <c r="AC59" s="58" t="s">
        <v>1</v>
      </c>
      <c r="AD59" s="58">
        <v>50</v>
      </c>
      <c r="AE59" s="310" t="s">
        <v>1</v>
      </c>
      <c r="AF59" s="52">
        <v>30</v>
      </c>
      <c r="AG59" s="52" t="s">
        <v>1</v>
      </c>
      <c r="AH59" s="359" t="s">
        <v>1</v>
      </c>
      <c r="AI59" s="366" t="s">
        <v>1</v>
      </c>
      <c r="AJ59" s="793" t="s">
        <v>1</v>
      </c>
      <c r="AK59" s="300">
        <v>160</v>
      </c>
      <c r="AL59" s="870" t="s">
        <v>1</v>
      </c>
      <c r="AM59" s="818" t="s">
        <v>1</v>
      </c>
      <c r="AN59" s="818" t="s">
        <v>1</v>
      </c>
      <c r="AO59" s="818" t="s">
        <v>1</v>
      </c>
      <c r="AP59" s="921" t="s">
        <v>1</v>
      </c>
      <c r="AQ59" s="52" t="s">
        <v>1</v>
      </c>
      <c r="AR59" s="1066" t="s">
        <v>1</v>
      </c>
    </row>
    <row r="60" spans="1:44" s="15" customFormat="1">
      <c r="A60" s="335" t="s">
        <v>111</v>
      </c>
      <c r="B60" s="283"/>
      <c r="C60" s="36" t="s">
        <v>1</v>
      </c>
      <c r="D60" s="36" t="s">
        <v>1</v>
      </c>
      <c r="E60" s="36" t="s">
        <v>1</v>
      </c>
      <c r="F60" s="36" t="s">
        <v>1</v>
      </c>
      <c r="G60" s="36" t="s">
        <v>1</v>
      </c>
      <c r="H60" s="36" t="s">
        <v>1</v>
      </c>
      <c r="I60" s="36" t="s">
        <v>1</v>
      </c>
      <c r="J60" s="36" t="s">
        <v>1</v>
      </c>
      <c r="K60" s="36" t="s">
        <v>1</v>
      </c>
      <c r="L60" s="36" t="s">
        <v>1</v>
      </c>
      <c r="M60" s="36" t="s">
        <v>1</v>
      </c>
      <c r="N60" s="36" t="s">
        <v>1</v>
      </c>
      <c r="O60" s="58" t="s">
        <v>1</v>
      </c>
      <c r="P60" s="58" t="s">
        <v>1</v>
      </c>
      <c r="Q60" s="58" t="s">
        <v>1</v>
      </c>
      <c r="R60" s="58" t="s">
        <v>1</v>
      </c>
      <c r="S60" s="58" t="s">
        <v>1</v>
      </c>
      <c r="T60" s="58" t="s">
        <v>1</v>
      </c>
      <c r="U60" s="58" t="s">
        <v>1</v>
      </c>
      <c r="V60" s="58" t="s">
        <v>1</v>
      </c>
      <c r="W60" s="58" t="s">
        <v>1</v>
      </c>
      <c r="X60" s="58" t="s">
        <v>1</v>
      </c>
      <c r="Y60" s="58" t="s">
        <v>1</v>
      </c>
      <c r="Z60" s="58">
        <v>120</v>
      </c>
      <c r="AA60" s="58">
        <v>120</v>
      </c>
      <c r="AB60" s="58" t="s">
        <v>1</v>
      </c>
      <c r="AC60" s="323">
        <v>300</v>
      </c>
      <c r="AD60" s="331" t="s">
        <v>1</v>
      </c>
      <c r="AE60" s="68">
        <v>160</v>
      </c>
      <c r="AF60" s="52">
        <v>150</v>
      </c>
      <c r="AG60" s="52">
        <v>150</v>
      </c>
      <c r="AH60" s="359">
        <v>430</v>
      </c>
      <c r="AI60" s="366" t="s">
        <v>1</v>
      </c>
      <c r="AJ60" s="793" t="s">
        <v>1</v>
      </c>
      <c r="AK60" s="300">
        <v>480</v>
      </c>
      <c r="AL60" s="870" t="s">
        <v>1</v>
      </c>
      <c r="AM60" s="818" t="s">
        <v>1</v>
      </c>
      <c r="AN60" s="818" t="s">
        <v>1</v>
      </c>
      <c r="AO60" s="818" t="s">
        <v>1</v>
      </c>
      <c r="AP60" s="921" t="s">
        <v>1</v>
      </c>
      <c r="AQ60" s="52" t="s">
        <v>1</v>
      </c>
      <c r="AR60" s="1078">
        <v>300</v>
      </c>
    </row>
    <row r="61" spans="1:44" s="15" customFormat="1">
      <c r="A61" s="335" t="s">
        <v>388</v>
      </c>
      <c r="B61" s="283"/>
      <c r="C61" s="36" t="s">
        <v>1</v>
      </c>
      <c r="D61" s="36" t="s">
        <v>1</v>
      </c>
      <c r="E61" s="36" t="s">
        <v>1</v>
      </c>
      <c r="F61" s="36" t="s">
        <v>1</v>
      </c>
      <c r="G61" s="36" t="s">
        <v>1</v>
      </c>
      <c r="H61" s="36" t="s">
        <v>1</v>
      </c>
      <c r="I61" s="36" t="s">
        <v>1</v>
      </c>
      <c r="J61" s="36" t="s">
        <v>1</v>
      </c>
      <c r="K61" s="36" t="s">
        <v>1</v>
      </c>
      <c r="L61" s="36" t="s">
        <v>1</v>
      </c>
      <c r="M61" s="36" t="s">
        <v>1</v>
      </c>
      <c r="N61" s="36" t="s">
        <v>1</v>
      </c>
      <c r="O61" s="58" t="s">
        <v>1</v>
      </c>
      <c r="P61" s="58" t="s">
        <v>1</v>
      </c>
      <c r="Q61" s="58" t="s">
        <v>1</v>
      </c>
      <c r="R61" s="58" t="s">
        <v>1</v>
      </c>
      <c r="S61" s="58" t="s">
        <v>1</v>
      </c>
      <c r="T61" s="58" t="s">
        <v>1</v>
      </c>
      <c r="U61" s="58">
        <v>120</v>
      </c>
      <c r="V61" s="58">
        <v>210</v>
      </c>
      <c r="W61" s="58">
        <v>240</v>
      </c>
      <c r="X61" s="58">
        <v>200</v>
      </c>
      <c r="Y61" s="58">
        <v>120</v>
      </c>
      <c r="Z61" s="58" t="s">
        <v>1</v>
      </c>
      <c r="AA61" s="58" t="s">
        <v>1</v>
      </c>
      <c r="AB61" s="58" t="s">
        <v>1</v>
      </c>
      <c r="AC61" s="58" t="s">
        <v>1</v>
      </c>
      <c r="AD61" s="58">
        <v>120</v>
      </c>
      <c r="AE61" s="310" t="s">
        <v>1</v>
      </c>
      <c r="AF61" s="52" t="s">
        <v>1</v>
      </c>
      <c r="AG61" s="52" t="s">
        <v>1</v>
      </c>
      <c r="AH61" s="359" t="s">
        <v>1</v>
      </c>
      <c r="AI61" s="366" t="s">
        <v>1</v>
      </c>
      <c r="AJ61" s="793" t="s">
        <v>1</v>
      </c>
      <c r="AK61" s="972" t="s">
        <v>1</v>
      </c>
      <c r="AL61" s="866" t="s">
        <v>1</v>
      </c>
      <c r="AM61" s="818" t="s">
        <v>1</v>
      </c>
      <c r="AN61" s="818" t="s">
        <v>1</v>
      </c>
      <c r="AO61" s="818" t="s">
        <v>1</v>
      </c>
      <c r="AP61" s="921" t="s">
        <v>1</v>
      </c>
      <c r="AQ61" s="52" t="s">
        <v>1</v>
      </c>
      <c r="AR61" s="1066" t="s">
        <v>1</v>
      </c>
    </row>
    <row r="62" spans="1:44" s="15" customFormat="1">
      <c r="A62" s="335" t="s">
        <v>136</v>
      </c>
      <c r="B62" s="283"/>
      <c r="C62" s="36" t="s">
        <v>1</v>
      </c>
      <c r="D62" s="36" t="s">
        <v>1</v>
      </c>
      <c r="E62" s="36" t="s">
        <v>1</v>
      </c>
      <c r="F62" s="36" t="s">
        <v>1</v>
      </c>
      <c r="G62" s="36" t="s">
        <v>1</v>
      </c>
      <c r="H62" s="36" t="s">
        <v>1</v>
      </c>
      <c r="I62" s="36" t="s">
        <v>1</v>
      </c>
      <c r="J62" s="36" t="s">
        <v>1</v>
      </c>
      <c r="K62" s="36" t="s">
        <v>1</v>
      </c>
      <c r="L62" s="36" t="s">
        <v>1</v>
      </c>
      <c r="M62" s="36" t="s">
        <v>1</v>
      </c>
      <c r="N62" s="36" t="s">
        <v>1</v>
      </c>
      <c r="O62" s="58" t="s">
        <v>1</v>
      </c>
      <c r="P62" s="58" t="s">
        <v>1</v>
      </c>
      <c r="Q62" s="58" t="s">
        <v>1</v>
      </c>
      <c r="R62" s="58">
        <v>120</v>
      </c>
      <c r="S62" s="58" t="s">
        <v>1</v>
      </c>
      <c r="T62" s="58" t="s">
        <v>1</v>
      </c>
      <c r="U62" s="58" t="s">
        <v>1</v>
      </c>
      <c r="V62" s="58">
        <v>320</v>
      </c>
      <c r="W62" s="58" t="s">
        <v>1</v>
      </c>
      <c r="X62" s="58" t="s">
        <v>1</v>
      </c>
      <c r="Y62" s="58" t="s">
        <v>1</v>
      </c>
      <c r="Z62" s="58">
        <v>260</v>
      </c>
      <c r="AA62" s="58">
        <v>216</v>
      </c>
      <c r="AB62" s="58">
        <v>120</v>
      </c>
      <c r="AC62" s="58" t="s">
        <v>1</v>
      </c>
      <c r="AD62" s="316" t="s">
        <v>1</v>
      </c>
      <c r="AE62" s="310" t="s">
        <v>1</v>
      </c>
      <c r="AF62" s="52" t="s">
        <v>1</v>
      </c>
      <c r="AG62" s="52" t="s">
        <v>1</v>
      </c>
      <c r="AH62" s="359" t="s">
        <v>1</v>
      </c>
      <c r="AI62" s="366" t="s">
        <v>1</v>
      </c>
      <c r="AJ62" s="793" t="s">
        <v>1</v>
      </c>
      <c r="AK62" s="300">
        <v>320</v>
      </c>
      <c r="AL62" s="870" t="s">
        <v>1</v>
      </c>
      <c r="AM62" s="818" t="s">
        <v>1</v>
      </c>
      <c r="AN62" s="818" t="s">
        <v>1</v>
      </c>
      <c r="AO62" s="818" t="s">
        <v>1</v>
      </c>
      <c r="AP62" s="921" t="s">
        <v>1</v>
      </c>
      <c r="AQ62" s="52" t="s">
        <v>1</v>
      </c>
      <c r="AR62" s="1066" t="s">
        <v>1</v>
      </c>
    </row>
    <row r="63" spans="1:44" s="15" customFormat="1">
      <c r="A63" s="335" t="s">
        <v>112</v>
      </c>
      <c r="B63" s="283"/>
      <c r="C63" s="36" t="s">
        <v>1</v>
      </c>
      <c r="D63" s="36" t="s">
        <v>1</v>
      </c>
      <c r="E63" s="36" t="s">
        <v>1</v>
      </c>
      <c r="F63" s="36" t="s">
        <v>1</v>
      </c>
      <c r="G63" s="36" t="s">
        <v>1</v>
      </c>
      <c r="H63" s="36" t="s">
        <v>1</v>
      </c>
      <c r="I63" s="36" t="s">
        <v>1</v>
      </c>
      <c r="J63" s="36" t="s">
        <v>1</v>
      </c>
      <c r="K63" s="36" t="s">
        <v>1</v>
      </c>
      <c r="L63" s="36" t="s">
        <v>1</v>
      </c>
      <c r="M63" s="36" t="s">
        <v>1</v>
      </c>
      <c r="N63" s="36" t="s">
        <v>1</v>
      </c>
      <c r="O63" s="58" t="s">
        <v>1</v>
      </c>
      <c r="P63" s="58" t="s">
        <v>1</v>
      </c>
      <c r="Q63" s="58" t="s">
        <v>1</v>
      </c>
      <c r="R63" s="58" t="s">
        <v>1</v>
      </c>
      <c r="S63" s="58" t="s">
        <v>1</v>
      </c>
      <c r="T63" s="58" t="s">
        <v>1</v>
      </c>
      <c r="U63" s="58" t="s">
        <v>1</v>
      </c>
      <c r="V63" s="58" t="s">
        <v>1</v>
      </c>
      <c r="W63" s="58" t="s">
        <v>1</v>
      </c>
      <c r="X63" s="58" t="s">
        <v>1</v>
      </c>
      <c r="Y63" s="58" t="s">
        <v>1</v>
      </c>
      <c r="Z63" s="58">
        <v>90</v>
      </c>
      <c r="AA63" s="58" t="s">
        <v>1</v>
      </c>
      <c r="AB63" s="58" t="s">
        <v>1</v>
      </c>
      <c r="AC63" s="58" t="s">
        <v>1</v>
      </c>
      <c r="AD63" s="58">
        <v>320</v>
      </c>
      <c r="AE63" s="310" t="s">
        <v>1</v>
      </c>
      <c r="AF63" s="52">
        <v>400</v>
      </c>
      <c r="AG63" s="52" t="s">
        <v>1</v>
      </c>
      <c r="AH63" s="359" t="s">
        <v>1</v>
      </c>
      <c r="AI63" s="366" t="s">
        <v>1</v>
      </c>
      <c r="AJ63" s="763">
        <v>320</v>
      </c>
      <c r="AK63" s="300">
        <v>320</v>
      </c>
      <c r="AL63" s="871" t="s">
        <v>1</v>
      </c>
      <c r="AM63" s="818" t="s">
        <v>1</v>
      </c>
      <c r="AN63" s="818" t="s">
        <v>1</v>
      </c>
      <c r="AO63" s="818" t="s">
        <v>1</v>
      </c>
      <c r="AP63" s="921" t="s">
        <v>1</v>
      </c>
      <c r="AQ63" s="34">
        <v>240</v>
      </c>
      <c r="AR63" s="1078">
        <v>560</v>
      </c>
    </row>
    <row r="64" spans="1:44" s="15" customFormat="1">
      <c r="A64" s="335" t="s">
        <v>113</v>
      </c>
      <c r="B64" s="283"/>
      <c r="C64" s="36" t="s">
        <v>1</v>
      </c>
      <c r="D64" s="36" t="s">
        <v>1</v>
      </c>
      <c r="E64" s="36" t="s">
        <v>1</v>
      </c>
      <c r="F64" s="36" t="s">
        <v>1</v>
      </c>
      <c r="G64" s="36" t="s">
        <v>1</v>
      </c>
      <c r="H64" s="36" t="s">
        <v>1</v>
      </c>
      <c r="I64" s="36" t="s">
        <v>1</v>
      </c>
      <c r="J64" s="36" t="s">
        <v>1</v>
      </c>
      <c r="K64" s="36" t="s">
        <v>1</v>
      </c>
      <c r="L64" s="36" t="s">
        <v>1</v>
      </c>
      <c r="M64" s="36" t="s">
        <v>1</v>
      </c>
      <c r="N64" s="36" t="s">
        <v>1</v>
      </c>
      <c r="O64" s="58" t="s">
        <v>1</v>
      </c>
      <c r="P64" s="58" t="s">
        <v>1</v>
      </c>
      <c r="Q64" s="58" t="s">
        <v>1</v>
      </c>
      <c r="R64" s="58" t="s">
        <v>1</v>
      </c>
      <c r="S64" s="58" t="s">
        <v>1</v>
      </c>
      <c r="T64" s="58" t="s">
        <v>1</v>
      </c>
      <c r="U64" s="58" t="s">
        <v>1</v>
      </c>
      <c r="V64" s="58" t="s">
        <v>1</v>
      </c>
      <c r="W64" s="58" t="s">
        <v>1</v>
      </c>
      <c r="X64" s="58" t="s">
        <v>1</v>
      </c>
      <c r="Y64" s="58">
        <v>120</v>
      </c>
      <c r="Z64" s="58" t="s">
        <v>1</v>
      </c>
      <c r="AA64" s="58">
        <v>320</v>
      </c>
      <c r="AB64" s="58" t="s">
        <v>1</v>
      </c>
      <c r="AC64" s="58" t="s">
        <v>1</v>
      </c>
      <c r="AD64" s="363" t="s">
        <v>1</v>
      </c>
      <c r="AE64" s="68">
        <v>280</v>
      </c>
      <c r="AF64" s="52" t="s">
        <v>1</v>
      </c>
      <c r="AG64" s="52" t="s">
        <v>1</v>
      </c>
      <c r="AH64" s="359">
        <v>220</v>
      </c>
      <c r="AI64" s="366" t="s">
        <v>1</v>
      </c>
      <c r="AJ64" s="793" t="s">
        <v>1</v>
      </c>
      <c r="AK64" s="973" t="s">
        <v>1</v>
      </c>
      <c r="AL64" s="866" t="s">
        <v>1</v>
      </c>
      <c r="AM64" s="818" t="s">
        <v>1</v>
      </c>
      <c r="AN64" s="818" t="s">
        <v>1</v>
      </c>
      <c r="AO64" s="818" t="s">
        <v>1</v>
      </c>
      <c r="AP64" s="921" t="s">
        <v>1</v>
      </c>
      <c r="AQ64" s="52" t="s">
        <v>1</v>
      </c>
      <c r="AR64" s="1066" t="s">
        <v>1</v>
      </c>
    </row>
    <row r="65" spans="1:44" s="15" customFormat="1">
      <c r="A65" s="329" t="s">
        <v>226</v>
      </c>
      <c r="C65" s="58"/>
      <c r="D65" s="58"/>
      <c r="E65" s="58"/>
      <c r="F65" s="58"/>
      <c r="G65" s="58"/>
      <c r="H65" s="58"/>
      <c r="I65" s="58"/>
      <c r="J65" s="58"/>
      <c r="K65" s="58"/>
      <c r="L65" s="58"/>
      <c r="M65" s="58"/>
      <c r="N65" s="58"/>
      <c r="O65" s="58"/>
      <c r="P65" s="58"/>
      <c r="Q65" s="58"/>
      <c r="R65" s="58"/>
      <c r="S65" s="58"/>
      <c r="T65" s="58"/>
      <c r="U65" s="58"/>
      <c r="V65" s="58"/>
      <c r="W65" s="58"/>
      <c r="X65" s="58"/>
      <c r="Y65" s="58"/>
      <c r="Z65" s="58"/>
      <c r="AA65" s="36"/>
      <c r="AB65" s="323"/>
      <c r="AC65" s="323"/>
      <c r="AD65" s="337"/>
      <c r="AE65" s="323"/>
      <c r="AF65" s="34"/>
      <c r="AG65" s="34"/>
      <c r="AH65" s="359"/>
      <c r="AI65" s="348"/>
      <c r="AJ65" s="791"/>
      <c r="AK65" s="971"/>
      <c r="AL65" s="860"/>
      <c r="AM65" s="811"/>
      <c r="AN65" s="811"/>
      <c r="AO65" s="811"/>
      <c r="AP65" s="916"/>
      <c r="AQ65" s="34"/>
      <c r="AR65" s="1078"/>
    </row>
    <row r="66" spans="1:44" s="15" customFormat="1">
      <c r="A66" s="329" t="s">
        <v>227</v>
      </c>
      <c r="B66" s="349" t="s">
        <v>228</v>
      </c>
      <c r="C66" s="58"/>
      <c r="D66" s="58"/>
      <c r="E66" s="58"/>
      <c r="F66" s="58"/>
      <c r="G66" s="58"/>
      <c r="H66" s="58"/>
      <c r="I66" s="58"/>
      <c r="J66" s="58"/>
      <c r="K66" s="58"/>
      <c r="L66" s="58"/>
      <c r="M66" s="58"/>
      <c r="N66" s="58"/>
      <c r="O66" s="58"/>
      <c r="P66" s="58"/>
      <c r="Q66" s="58"/>
      <c r="R66" s="58"/>
      <c r="S66" s="58"/>
      <c r="T66" s="58"/>
      <c r="U66" s="58"/>
      <c r="V66" s="58"/>
      <c r="W66" s="58"/>
      <c r="X66" s="58"/>
      <c r="Y66" s="58"/>
      <c r="Z66" s="58"/>
      <c r="AA66" s="36"/>
      <c r="AB66" s="323"/>
      <c r="AC66" s="323"/>
      <c r="AD66" s="337"/>
      <c r="AE66" s="323"/>
      <c r="AF66" s="34"/>
      <c r="AG66" s="34"/>
      <c r="AH66" s="359"/>
      <c r="AI66" s="348"/>
      <c r="AJ66" s="142"/>
      <c r="AK66" s="142"/>
      <c r="AL66" s="860"/>
      <c r="AM66" s="811"/>
      <c r="AN66" s="811"/>
      <c r="AO66" s="811"/>
      <c r="AP66" s="916"/>
      <c r="AQ66" s="34"/>
      <c r="AR66" s="1078"/>
    </row>
    <row r="67" spans="1:44" s="15" customFormat="1">
      <c r="A67" s="333" t="s">
        <v>108</v>
      </c>
      <c r="B67" s="283"/>
      <c r="C67" s="36" t="s">
        <v>1</v>
      </c>
      <c r="D67" s="36" t="s">
        <v>1</v>
      </c>
      <c r="E67" s="36" t="s">
        <v>1</v>
      </c>
      <c r="F67" s="36" t="s">
        <v>1</v>
      </c>
      <c r="G67" s="36" t="s">
        <v>1</v>
      </c>
      <c r="H67" s="36" t="s">
        <v>1</v>
      </c>
      <c r="I67" s="36" t="s">
        <v>1</v>
      </c>
      <c r="J67" s="36" t="s">
        <v>1</v>
      </c>
      <c r="K67" s="36" t="s">
        <v>1</v>
      </c>
      <c r="L67" s="36" t="s">
        <v>1</v>
      </c>
      <c r="M67" s="36" t="s">
        <v>1</v>
      </c>
      <c r="N67" s="36" t="s">
        <v>1</v>
      </c>
      <c r="O67" s="58" t="s">
        <v>1</v>
      </c>
      <c r="P67" s="58" t="s">
        <v>1</v>
      </c>
      <c r="Q67" s="58" t="s">
        <v>1</v>
      </c>
      <c r="R67" s="58">
        <v>150</v>
      </c>
      <c r="S67" s="58">
        <v>7</v>
      </c>
      <c r="T67" s="58" t="s">
        <v>1</v>
      </c>
      <c r="U67" s="58">
        <v>70</v>
      </c>
      <c r="V67" s="58">
        <v>610</v>
      </c>
      <c r="W67" s="58">
        <v>500</v>
      </c>
      <c r="X67" s="58">
        <v>400</v>
      </c>
      <c r="Y67" s="58" t="s">
        <v>1</v>
      </c>
      <c r="Z67" s="58">
        <v>233</v>
      </c>
      <c r="AA67" s="36" t="s">
        <v>1</v>
      </c>
      <c r="AB67" s="36" t="s">
        <v>1</v>
      </c>
      <c r="AC67" s="36" t="s">
        <v>1</v>
      </c>
      <c r="AD67" s="58">
        <v>162</v>
      </c>
      <c r="AE67" s="36" t="s">
        <v>1</v>
      </c>
      <c r="AF67" s="34">
        <v>38</v>
      </c>
      <c r="AG67" s="52">
        <v>300</v>
      </c>
      <c r="AH67" s="357" t="s">
        <v>1</v>
      </c>
      <c r="AI67" s="364"/>
      <c r="AJ67" s="767">
        <v>320</v>
      </c>
      <c r="AK67" s="300">
        <v>766</v>
      </c>
      <c r="AL67" s="861" t="s">
        <v>1</v>
      </c>
      <c r="AM67" s="793" t="s">
        <v>1</v>
      </c>
      <c r="AN67" s="793" t="s">
        <v>1</v>
      </c>
      <c r="AO67" s="793" t="s">
        <v>1</v>
      </c>
      <c r="AP67" s="922">
        <v>120</v>
      </c>
      <c r="AQ67" s="968">
        <v>120</v>
      </c>
      <c r="AR67" s="1066">
        <v>120</v>
      </c>
    </row>
    <row r="68" spans="1:44" s="15" customFormat="1">
      <c r="A68" s="335" t="s">
        <v>109</v>
      </c>
      <c r="B68" s="283"/>
      <c r="C68" s="36" t="s">
        <v>1</v>
      </c>
      <c r="D68" s="36" t="s">
        <v>1</v>
      </c>
      <c r="E68" s="36" t="s">
        <v>1</v>
      </c>
      <c r="F68" s="36" t="s">
        <v>1</v>
      </c>
      <c r="G68" s="36" t="s">
        <v>1</v>
      </c>
      <c r="H68" s="36" t="s">
        <v>1</v>
      </c>
      <c r="I68" s="36" t="s">
        <v>1</v>
      </c>
      <c r="J68" s="36" t="s">
        <v>1</v>
      </c>
      <c r="K68" s="36" t="s">
        <v>1</v>
      </c>
      <c r="L68" s="36" t="s">
        <v>1</v>
      </c>
      <c r="M68" s="36" t="s">
        <v>1</v>
      </c>
      <c r="N68" s="36" t="s">
        <v>1</v>
      </c>
      <c r="O68" s="58" t="s">
        <v>1</v>
      </c>
      <c r="P68" s="58" t="s">
        <v>1</v>
      </c>
      <c r="Q68" s="58" t="s">
        <v>1</v>
      </c>
      <c r="R68" s="58" t="s">
        <v>1</v>
      </c>
      <c r="S68" s="58" t="s">
        <v>1</v>
      </c>
      <c r="T68" s="58" t="s">
        <v>1</v>
      </c>
      <c r="U68" s="58" t="s">
        <v>1</v>
      </c>
      <c r="V68" s="58">
        <v>350</v>
      </c>
      <c r="W68" s="363" t="s">
        <v>1</v>
      </c>
      <c r="X68" s="58" t="s">
        <v>1</v>
      </c>
      <c r="Y68" s="58" t="s">
        <v>1</v>
      </c>
      <c r="Z68" s="58" t="s">
        <v>1</v>
      </c>
      <c r="AA68" s="36" t="s">
        <v>1</v>
      </c>
      <c r="AB68" s="36" t="s">
        <v>1</v>
      </c>
      <c r="AC68" s="36" t="s">
        <v>1</v>
      </c>
      <c r="AD68" s="316" t="s">
        <v>1</v>
      </c>
      <c r="AE68" s="36" t="s">
        <v>1</v>
      </c>
      <c r="AF68" s="52" t="s">
        <v>1</v>
      </c>
      <c r="AG68" s="52" t="s">
        <v>1</v>
      </c>
      <c r="AH68" s="357" t="s">
        <v>1</v>
      </c>
      <c r="AI68" s="366" t="s">
        <v>1</v>
      </c>
      <c r="AJ68" s="793" t="s">
        <v>1</v>
      </c>
      <c r="AK68" s="67" t="s">
        <v>1</v>
      </c>
      <c r="AL68" s="868" t="s">
        <v>1</v>
      </c>
      <c r="AM68" s="793" t="s">
        <v>1</v>
      </c>
      <c r="AN68" s="793" t="s">
        <v>1</v>
      </c>
      <c r="AO68" s="793" t="s">
        <v>1</v>
      </c>
      <c r="AP68" s="922">
        <v>120</v>
      </c>
      <c r="AQ68" s="968">
        <v>120</v>
      </c>
      <c r="AR68" s="1066">
        <v>120</v>
      </c>
    </row>
    <row r="69" spans="1:44" s="15" customFormat="1">
      <c r="A69" s="335" t="s">
        <v>135</v>
      </c>
      <c r="B69" s="283"/>
      <c r="C69" s="36" t="s">
        <v>1</v>
      </c>
      <c r="D69" s="36" t="s">
        <v>1</v>
      </c>
      <c r="E69" s="36" t="s">
        <v>1</v>
      </c>
      <c r="F69" s="36" t="s">
        <v>1</v>
      </c>
      <c r="G69" s="36" t="s">
        <v>1</v>
      </c>
      <c r="H69" s="36" t="s">
        <v>1</v>
      </c>
      <c r="I69" s="36" t="s">
        <v>1</v>
      </c>
      <c r="J69" s="36" t="s">
        <v>1</v>
      </c>
      <c r="K69" s="36" t="s">
        <v>1</v>
      </c>
      <c r="L69" s="36" t="s">
        <v>1</v>
      </c>
      <c r="M69" s="36" t="s">
        <v>1</v>
      </c>
      <c r="N69" s="36" t="s">
        <v>1</v>
      </c>
      <c r="O69" s="58" t="s">
        <v>1</v>
      </c>
      <c r="P69" s="58" t="s">
        <v>1</v>
      </c>
      <c r="Q69" s="58" t="s">
        <v>1</v>
      </c>
      <c r="R69" s="58" t="s">
        <v>1</v>
      </c>
      <c r="S69" s="58" t="s">
        <v>1</v>
      </c>
      <c r="T69" s="58" t="s">
        <v>1</v>
      </c>
      <c r="U69" s="58" t="s">
        <v>1</v>
      </c>
      <c r="V69" s="58" t="s">
        <v>1</v>
      </c>
      <c r="W69" s="58" t="s">
        <v>1</v>
      </c>
      <c r="X69" s="58" t="s">
        <v>1</v>
      </c>
      <c r="Y69" s="58" t="s">
        <v>1</v>
      </c>
      <c r="Z69" s="58" t="s">
        <v>1</v>
      </c>
      <c r="AA69" s="36"/>
      <c r="AB69" s="36"/>
      <c r="AC69" s="36" t="s">
        <v>1</v>
      </c>
      <c r="AD69" s="316" t="s">
        <v>1</v>
      </c>
      <c r="AE69" s="36" t="s">
        <v>1</v>
      </c>
      <c r="AF69" s="52" t="s">
        <v>1</v>
      </c>
      <c r="AG69" s="52">
        <v>300</v>
      </c>
      <c r="AH69" s="357" t="s">
        <v>1</v>
      </c>
      <c r="AI69" s="366" t="s">
        <v>1</v>
      </c>
      <c r="AJ69" s="793" t="s">
        <v>1</v>
      </c>
      <c r="AK69" s="300">
        <v>381</v>
      </c>
      <c r="AL69" s="870" t="s">
        <v>1</v>
      </c>
      <c r="AM69" s="793" t="s">
        <v>1</v>
      </c>
      <c r="AN69" s="793" t="s">
        <v>1</v>
      </c>
      <c r="AO69" s="793" t="s">
        <v>1</v>
      </c>
      <c r="AP69" s="920" t="s">
        <v>1</v>
      </c>
      <c r="AQ69" s="67" t="s">
        <v>1</v>
      </c>
      <c r="AR69" s="1066" t="s">
        <v>1</v>
      </c>
    </row>
    <row r="70" spans="1:44" s="15" customFormat="1">
      <c r="A70" s="335" t="s">
        <v>110</v>
      </c>
      <c r="B70" s="283"/>
      <c r="C70" s="36" t="s">
        <v>1</v>
      </c>
      <c r="D70" s="36" t="s">
        <v>1</v>
      </c>
      <c r="E70" s="36" t="s">
        <v>1</v>
      </c>
      <c r="F70" s="36" t="s">
        <v>1</v>
      </c>
      <c r="G70" s="36" t="s">
        <v>1</v>
      </c>
      <c r="H70" s="36" t="s">
        <v>1</v>
      </c>
      <c r="I70" s="36" t="s">
        <v>1</v>
      </c>
      <c r="J70" s="36" t="s">
        <v>1</v>
      </c>
      <c r="K70" s="36" t="s">
        <v>1</v>
      </c>
      <c r="L70" s="36" t="s">
        <v>1</v>
      </c>
      <c r="M70" s="36" t="s">
        <v>1</v>
      </c>
      <c r="N70" s="36" t="s">
        <v>1</v>
      </c>
      <c r="O70" s="58" t="s">
        <v>1</v>
      </c>
      <c r="P70" s="58" t="s">
        <v>1</v>
      </c>
      <c r="Q70" s="58" t="s">
        <v>1</v>
      </c>
      <c r="R70" s="58" t="s">
        <v>1</v>
      </c>
      <c r="S70" s="58" t="s">
        <v>1</v>
      </c>
      <c r="T70" s="58" t="s">
        <v>1</v>
      </c>
      <c r="U70" s="58" t="s">
        <v>1</v>
      </c>
      <c r="V70" s="58" t="s">
        <v>1</v>
      </c>
      <c r="W70" s="58">
        <v>200</v>
      </c>
      <c r="X70" s="363" t="s">
        <v>1</v>
      </c>
      <c r="Y70" s="58" t="s">
        <v>1</v>
      </c>
      <c r="Z70" s="58" t="s">
        <v>1</v>
      </c>
      <c r="AA70" s="36" t="s">
        <v>1</v>
      </c>
      <c r="AB70" s="36" t="s">
        <v>1</v>
      </c>
      <c r="AC70" s="36" t="s">
        <v>1</v>
      </c>
      <c r="AD70" s="316" t="s">
        <v>1</v>
      </c>
      <c r="AE70" s="36" t="s">
        <v>1</v>
      </c>
      <c r="AF70" s="52" t="s">
        <v>1</v>
      </c>
      <c r="AG70" s="52" t="s">
        <v>1</v>
      </c>
      <c r="AH70" s="357" t="s">
        <v>1</v>
      </c>
      <c r="AI70" s="366" t="s">
        <v>1</v>
      </c>
      <c r="AJ70" s="793" t="s">
        <v>1</v>
      </c>
      <c r="AK70" s="67" t="s">
        <v>1</v>
      </c>
      <c r="AL70" s="868" t="s">
        <v>1</v>
      </c>
      <c r="AM70" s="793" t="s">
        <v>1</v>
      </c>
      <c r="AN70" s="793" t="s">
        <v>1</v>
      </c>
      <c r="AO70" s="793" t="s">
        <v>1</v>
      </c>
      <c r="AP70" s="920" t="s">
        <v>1</v>
      </c>
      <c r="AQ70" s="67" t="s">
        <v>1</v>
      </c>
      <c r="AR70" s="1066" t="s">
        <v>1</v>
      </c>
    </row>
    <row r="71" spans="1:44" s="15" customFormat="1">
      <c r="A71" s="335" t="s">
        <v>111</v>
      </c>
      <c r="B71" s="283"/>
      <c r="C71" s="36" t="s">
        <v>1</v>
      </c>
      <c r="D71" s="36" t="s">
        <v>1</v>
      </c>
      <c r="E71" s="36" t="s">
        <v>1</v>
      </c>
      <c r="F71" s="36" t="s">
        <v>1</v>
      </c>
      <c r="G71" s="36" t="s">
        <v>1</v>
      </c>
      <c r="H71" s="36" t="s">
        <v>1</v>
      </c>
      <c r="I71" s="36" t="s">
        <v>1</v>
      </c>
      <c r="J71" s="36" t="s">
        <v>1</v>
      </c>
      <c r="K71" s="36" t="s">
        <v>1</v>
      </c>
      <c r="L71" s="36" t="s">
        <v>1</v>
      </c>
      <c r="M71" s="36" t="s">
        <v>1</v>
      </c>
      <c r="N71" s="36" t="s">
        <v>1</v>
      </c>
      <c r="O71" s="58" t="s">
        <v>1</v>
      </c>
      <c r="P71" s="58" t="s">
        <v>1</v>
      </c>
      <c r="Q71" s="58" t="s">
        <v>1</v>
      </c>
      <c r="R71" s="58">
        <v>150</v>
      </c>
      <c r="S71" s="58">
        <v>7</v>
      </c>
      <c r="T71" s="58" t="s">
        <v>1</v>
      </c>
      <c r="U71" s="58">
        <v>70</v>
      </c>
      <c r="V71" s="58" t="s">
        <v>1</v>
      </c>
      <c r="W71" s="58">
        <v>300</v>
      </c>
      <c r="X71" s="58">
        <v>100</v>
      </c>
      <c r="Y71" s="58" t="s">
        <v>1</v>
      </c>
      <c r="Z71" s="58" t="s">
        <v>1</v>
      </c>
      <c r="AA71" s="36" t="s">
        <v>1</v>
      </c>
      <c r="AB71" s="36" t="s">
        <v>1</v>
      </c>
      <c r="AC71" s="36" t="s">
        <v>1</v>
      </c>
      <c r="AD71" s="58">
        <v>162</v>
      </c>
      <c r="AE71" s="36" t="s">
        <v>1</v>
      </c>
      <c r="AF71" s="52" t="s">
        <v>1</v>
      </c>
      <c r="AG71" s="52" t="s">
        <v>1</v>
      </c>
      <c r="AH71" s="357" t="s">
        <v>1</v>
      </c>
      <c r="AI71" s="366" t="s">
        <v>1</v>
      </c>
      <c r="AJ71" s="763">
        <v>320</v>
      </c>
      <c r="AK71" s="67" t="s">
        <v>1</v>
      </c>
      <c r="AL71" s="868" t="s">
        <v>1</v>
      </c>
      <c r="AM71" s="818" t="s">
        <v>1</v>
      </c>
      <c r="AN71" s="818" t="s">
        <v>1</v>
      </c>
      <c r="AO71" s="818" t="s">
        <v>1</v>
      </c>
      <c r="AP71" s="921" t="s">
        <v>1</v>
      </c>
      <c r="AQ71" s="52" t="s">
        <v>1</v>
      </c>
      <c r="AR71" s="1066" t="s">
        <v>1</v>
      </c>
    </row>
    <row r="72" spans="1:44" s="15" customFormat="1">
      <c r="A72" s="335" t="s">
        <v>388</v>
      </c>
      <c r="B72" s="283"/>
      <c r="C72" s="36" t="s">
        <v>1</v>
      </c>
      <c r="D72" s="36" t="s">
        <v>1</v>
      </c>
      <c r="E72" s="36" t="s">
        <v>1</v>
      </c>
      <c r="F72" s="36" t="s">
        <v>1</v>
      </c>
      <c r="G72" s="36" t="s">
        <v>1</v>
      </c>
      <c r="H72" s="36" t="s">
        <v>1</v>
      </c>
      <c r="I72" s="36" t="s">
        <v>1</v>
      </c>
      <c r="J72" s="36" t="s">
        <v>1</v>
      </c>
      <c r="K72" s="36" t="s">
        <v>1</v>
      </c>
      <c r="L72" s="36" t="s">
        <v>1</v>
      </c>
      <c r="M72" s="36" t="s">
        <v>1</v>
      </c>
      <c r="N72" s="36" t="s">
        <v>1</v>
      </c>
      <c r="O72" s="58" t="s">
        <v>1</v>
      </c>
      <c r="P72" s="58" t="s">
        <v>1</v>
      </c>
      <c r="Q72" s="58" t="s">
        <v>1</v>
      </c>
      <c r="R72" s="58" t="s">
        <v>1</v>
      </c>
      <c r="S72" s="58" t="s">
        <v>1</v>
      </c>
      <c r="T72" s="58" t="s">
        <v>1</v>
      </c>
      <c r="U72" s="58" t="s">
        <v>1</v>
      </c>
      <c r="V72" s="58" t="s">
        <v>1</v>
      </c>
      <c r="W72" s="58" t="s">
        <v>1</v>
      </c>
      <c r="X72" s="58" t="s">
        <v>1</v>
      </c>
      <c r="Y72" s="58" t="s">
        <v>1</v>
      </c>
      <c r="Z72" s="58" t="s">
        <v>1</v>
      </c>
      <c r="AA72" s="36" t="s">
        <v>1</v>
      </c>
      <c r="AB72" s="36" t="s">
        <v>1</v>
      </c>
      <c r="AC72" s="36" t="s">
        <v>1</v>
      </c>
      <c r="AD72" s="316" t="s">
        <v>1</v>
      </c>
      <c r="AE72" s="36" t="s">
        <v>1</v>
      </c>
      <c r="AF72" s="52" t="s">
        <v>1</v>
      </c>
      <c r="AG72" s="52" t="s">
        <v>1</v>
      </c>
      <c r="AH72" s="357" t="s">
        <v>1</v>
      </c>
      <c r="AI72" s="366" t="s">
        <v>1</v>
      </c>
      <c r="AJ72" s="793" t="s">
        <v>1</v>
      </c>
      <c r="AK72" s="67" t="s">
        <v>1</v>
      </c>
      <c r="AL72" s="868" t="s">
        <v>1</v>
      </c>
      <c r="AM72" s="818" t="s">
        <v>1</v>
      </c>
      <c r="AN72" s="818" t="s">
        <v>1</v>
      </c>
      <c r="AO72" s="818" t="s">
        <v>1</v>
      </c>
      <c r="AP72" s="921" t="s">
        <v>1</v>
      </c>
      <c r="AQ72" s="52" t="s">
        <v>1</v>
      </c>
      <c r="AR72" s="1066" t="s">
        <v>1</v>
      </c>
    </row>
    <row r="73" spans="1:44" s="15" customFormat="1">
      <c r="A73" s="335" t="s">
        <v>136</v>
      </c>
      <c r="B73" s="283"/>
      <c r="C73" s="36" t="s">
        <v>1</v>
      </c>
      <c r="D73" s="36" t="s">
        <v>1</v>
      </c>
      <c r="E73" s="36" t="s">
        <v>1</v>
      </c>
      <c r="F73" s="36" t="s">
        <v>1</v>
      </c>
      <c r="G73" s="36" t="s">
        <v>1</v>
      </c>
      <c r="H73" s="36" t="s">
        <v>1</v>
      </c>
      <c r="I73" s="36" t="s">
        <v>1</v>
      </c>
      <c r="J73" s="36" t="s">
        <v>1</v>
      </c>
      <c r="K73" s="36" t="s">
        <v>1</v>
      </c>
      <c r="L73" s="36" t="s">
        <v>1</v>
      </c>
      <c r="M73" s="36" t="s">
        <v>1</v>
      </c>
      <c r="N73" s="36" t="s">
        <v>1</v>
      </c>
      <c r="O73" s="58" t="s">
        <v>1</v>
      </c>
      <c r="P73" s="58" t="s">
        <v>1</v>
      </c>
      <c r="Q73" s="58" t="s">
        <v>1</v>
      </c>
      <c r="R73" s="58" t="s">
        <v>1</v>
      </c>
      <c r="S73" s="58" t="s">
        <v>1</v>
      </c>
      <c r="T73" s="58" t="s">
        <v>1</v>
      </c>
      <c r="U73" s="58" t="s">
        <v>1</v>
      </c>
      <c r="V73" s="58" t="s">
        <v>1</v>
      </c>
      <c r="W73" s="58" t="s">
        <v>1</v>
      </c>
      <c r="X73" s="58" t="s">
        <v>1</v>
      </c>
      <c r="Y73" s="58" t="s">
        <v>1</v>
      </c>
      <c r="Z73" s="58" t="s">
        <v>1</v>
      </c>
      <c r="AA73" s="36" t="s">
        <v>1</v>
      </c>
      <c r="AB73" s="36" t="s">
        <v>1</v>
      </c>
      <c r="AC73" s="36" t="s">
        <v>1</v>
      </c>
      <c r="AD73" s="316" t="s">
        <v>1</v>
      </c>
      <c r="AE73" s="36" t="s">
        <v>1</v>
      </c>
      <c r="AF73" s="52" t="s">
        <v>1</v>
      </c>
      <c r="AG73" s="52" t="s">
        <v>1</v>
      </c>
      <c r="AH73" s="357" t="s">
        <v>1</v>
      </c>
      <c r="AI73" s="366" t="s">
        <v>1</v>
      </c>
      <c r="AJ73" s="793" t="s">
        <v>1</v>
      </c>
      <c r="AK73" s="67" t="s">
        <v>1</v>
      </c>
      <c r="AL73" s="868" t="s">
        <v>1</v>
      </c>
      <c r="AM73" s="818" t="s">
        <v>1</v>
      </c>
      <c r="AN73" s="818" t="s">
        <v>1</v>
      </c>
      <c r="AO73" s="818" t="s">
        <v>1</v>
      </c>
      <c r="AP73" s="921" t="s">
        <v>1</v>
      </c>
      <c r="AQ73" s="52" t="s">
        <v>1</v>
      </c>
      <c r="AR73" s="1066" t="s">
        <v>1</v>
      </c>
    </row>
    <row r="74" spans="1:44" s="15" customFormat="1">
      <c r="A74" s="335" t="s">
        <v>112</v>
      </c>
      <c r="B74" s="283"/>
      <c r="C74" s="36" t="s">
        <v>1</v>
      </c>
      <c r="D74" s="36" t="s">
        <v>1</v>
      </c>
      <c r="E74" s="36" t="s">
        <v>1</v>
      </c>
      <c r="F74" s="36" t="s">
        <v>1</v>
      </c>
      <c r="G74" s="36" t="s">
        <v>1</v>
      </c>
      <c r="H74" s="36" t="s">
        <v>1</v>
      </c>
      <c r="I74" s="36" t="s">
        <v>1</v>
      </c>
      <c r="J74" s="36" t="s">
        <v>1</v>
      </c>
      <c r="K74" s="36" t="s">
        <v>1</v>
      </c>
      <c r="L74" s="36" t="s">
        <v>1</v>
      </c>
      <c r="M74" s="36" t="s">
        <v>1</v>
      </c>
      <c r="N74" s="36" t="s">
        <v>1</v>
      </c>
      <c r="O74" s="58" t="s">
        <v>1</v>
      </c>
      <c r="P74" s="58" t="s">
        <v>1</v>
      </c>
      <c r="Q74" s="58" t="s">
        <v>1</v>
      </c>
      <c r="R74" s="58" t="s">
        <v>1</v>
      </c>
      <c r="S74" s="58" t="s">
        <v>1</v>
      </c>
      <c r="T74" s="58" t="s">
        <v>1</v>
      </c>
      <c r="U74" s="58" t="s">
        <v>1</v>
      </c>
      <c r="V74" s="58" t="s">
        <v>1</v>
      </c>
      <c r="W74" s="58" t="s">
        <v>1</v>
      </c>
      <c r="X74" s="363" t="s">
        <v>1</v>
      </c>
      <c r="Y74" s="58" t="s">
        <v>1</v>
      </c>
      <c r="Z74" s="363" t="s">
        <v>1</v>
      </c>
      <c r="AA74" s="36" t="s">
        <v>1</v>
      </c>
      <c r="AB74" s="36" t="s">
        <v>1</v>
      </c>
      <c r="AC74" s="36" t="s">
        <v>1</v>
      </c>
      <c r="AD74" s="316" t="s">
        <v>1</v>
      </c>
      <c r="AE74" s="36" t="s">
        <v>1</v>
      </c>
      <c r="AF74" s="52" t="s">
        <v>1</v>
      </c>
      <c r="AG74" s="52" t="s">
        <v>1</v>
      </c>
      <c r="AH74" s="357" t="s">
        <v>1</v>
      </c>
      <c r="AI74" s="366" t="s">
        <v>1</v>
      </c>
      <c r="AJ74" s="793" t="s">
        <v>1</v>
      </c>
      <c r="AK74" s="67" t="s">
        <v>1</v>
      </c>
      <c r="AL74" s="866" t="s">
        <v>1</v>
      </c>
      <c r="AM74" s="818" t="s">
        <v>1</v>
      </c>
      <c r="AN74" s="818" t="s">
        <v>1</v>
      </c>
      <c r="AO74" s="818" t="s">
        <v>1</v>
      </c>
      <c r="AP74" s="921" t="s">
        <v>1</v>
      </c>
      <c r="AQ74" s="52" t="s">
        <v>1</v>
      </c>
      <c r="AR74" s="1066" t="s">
        <v>1</v>
      </c>
    </row>
    <row r="75" spans="1:44" s="15" customFormat="1">
      <c r="A75" s="335" t="s">
        <v>113</v>
      </c>
      <c r="C75" s="36" t="s">
        <v>1</v>
      </c>
      <c r="D75" s="36" t="s">
        <v>1</v>
      </c>
      <c r="E75" s="36" t="s">
        <v>1</v>
      </c>
      <c r="F75" s="36" t="s">
        <v>1</v>
      </c>
      <c r="G75" s="36" t="s">
        <v>1</v>
      </c>
      <c r="H75" s="36" t="s">
        <v>1</v>
      </c>
      <c r="I75" s="36" t="s">
        <v>1</v>
      </c>
      <c r="J75" s="36" t="s">
        <v>1</v>
      </c>
      <c r="K75" s="36" t="s">
        <v>1</v>
      </c>
      <c r="L75" s="36" t="s">
        <v>1</v>
      </c>
      <c r="M75" s="36" t="s">
        <v>1</v>
      </c>
      <c r="N75" s="36" t="s">
        <v>1</v>
      </c>
      <c r="O75" s="36" t="s">
        <v>1</v>
      </c>
      <c r="P75" s="58" t="s">
        <v>1</v>
      </c>
      <c r="Q75" s="36" t="s">
        <v>1</v>
      </c>
      <c r="R75" s="36" t="s">
        <v>1</v>
      </c>
      <c r="S75" s="36" t="s">
        <v>1</v>
      </c>
      <c r="T75" s="36" t="s">
        <v>1</v>
      </c>
      <c r="U75" s="36" t="s">
        <v>1</v>
      </c>
      <c r="V75" s="58">
        <v>260</v>
      </c>
      <c r="W75" s="58" t="s">
        <v>1</v>
      </c>
      <c r="X75" s="58">
        <v>300</v>
      </c>
      <c r="Y75" s="58" t="s">
        <v>1</v>
      </c>
      <c r="Z75" s="58">
        <v>233</v>
      </c>
      <c r="AA75" s="36"/>
      <c r="AB75" s="323"/>
      <c r="AC75" s="323" t="s">
        <v>1</v>
      </c>
      <c r="AD75" s="316" t="s">
        <v>1</v>
      </c>
      <c r="AE75" s="36" t="s">
        <v>1</v>
      </c>
      <c r="AF75" s="52">
        <v>38</v>
      </c>
      <c r="AG75" s="52" t="s">
        <v>1</v>
      </c>
      <c r="AH75" s="357" t="s">
        <v>1</v>
      </c>
      <c r="AI75" s="366" t="s">
        <v>1</v>
      </c>
      <c r="AJ75" s="793" t="s">
        <v>1</v>
      </c>
      <c r="AK75" s="300">
        <v>385</v>
      </c>
      <c r="AL75" s="861" t="s">
        <v>1</v>
      </c>
      <c r="AM75" s="818" t="s">
        <v>1</v>
      </c>
      <c r="AN75" s="818" t="s">
        <v>1</v>
      </c>
      <c r="AO75" s="818" t="s">
        <v>1</v>
      </c>
      <c r="AP75" s="921" t="s">
        <v>1</v>
      </c>
      <c r="AQ75" s="52" t="s">
        <v>1</v>
      </c>
      <c r="AR75" s="1066" t="s">
        <v>1</v>
      </c>
    </row>
    <row r="76" spans="1:44" s="15" customFormat="1">
      <c r="A76" s="336" t="s">
        <v>229</v>
      </c>
      <c r="B76" s="349" t="s">
        <v>230</v>
      </c>
      <c r="C76" s="142"/>
      <c r="D76" s="58"/>
      <c r="E76" s="58"/>
      <c r="F76" s="58"/>
      <c r="G76" s="58"/>
      <c r="H76" s="58"/>
      <c r="I76" s="58"/>
      <c r="J76" s="58"/>
      <c r="K76" s="58"/>
      <c r="L76" s="58"/>
      <c r="M76" s="142"/>
      <c r="N76" s="58"/>
      <c r="O76" s="142"/>
      <c r="P76" s="142"/>
      <c r="Q76" s="142"/>
      <c r="R76" s="142"/>
      <c r="S76" s="58"/>
      <c r="T76" s="142"/>
      <c r="U76" s="58"/>
      <c r="V76" s="58"/>
      <c r="W76" s="58"/>
      <c r="Z76" s="58"/>
      <c r="AD76" s="367"/>
      <c r="AE76" s="323"/>
      <c r="AF76" s="34"/>
      <c r="AG76" s="34"/>
      <c r="AH76" s="283"/>
      <c r="AI76" s="348"/>
      <c r="AJ76" s="791"/>
      <c r="AK76" s="32"/>
      <c r="AL76" s="860"/>
      <c r="AM76" s="811"/>
      <c r="AN76" s="811"/>
      <c r="AO76" s="811"/>
      <c r="AP76" s="916"/>
      <c r="AQ76" s="34"/>
      <c r="AR76" s="1078"/>
    </row>
    <row r="77" spans="1:44" s="15" customFormat="1">
      <c r="A77" s="333" t="s">
        <v>108</v>
      </c>
      <c r="B77" s="283"/>
      <c r="C77" s="58">
        <v>1000</v>
      </c>
      <c r="D77" s="36" t="s">
        <v>1</v>
      </c>
      <c r="E77" s="36" t="s">
        <v>1</v>
      </c>
      <c r="F77" s="36" t="s">
        <v>1</v>
      </c>
      <c r="G77" s="36" t="s">
        <v>1</v>
      </c>
      <c r="H77" s="36" t="s">
        <v>1</v>
      </c>
      <c r="I77" s="36" t="s">
        <v>1</v>
      </c>
      <c r="J77" s="36" t="s">
        <v>1</v>
      </c>
      <c r="K77" s="36" t="s">
        <v>1</v>
      </c>
      <c r="L77" s="36" t="s">
        <v>1</v>
      </c>
      <c r="M77" s="58">
        <v>8</v>
      </c>
      <c r="N77" s="36" t="s">
        <v>1</v>
      </c>
      <c r="O77" s="58">
        <v>16</v>
      </c>
      <c r="P77" s="58">
        <v>32</v>
      </c>
      <c r="Q77" s="58">
        <v>20</v>
      </c>
      <c r="R77" s="58">
        <v>236</v>
      </c>
      <c r="S77" s="58" t="s">
        <v>1</v>
      </c>
      <c r="T77" s="58">
        <v>260</v>
      </c>
      <c r="U77" s="58">
        <v>8</v>
      </c>
      <c r="V77" s="58">
        <v>900</v>
      </c>
      <c r="W77" s="58">
        <v>150</v>
      </c>
      <c r="X77" s="58">
        <v>1020</v>
      </c>
      <c r="Y77" s="58">
        <v>700</v>
      </c>
      <c r="Z77" s="58" t="s">
        <v>1</v>
      </c>
      <c r="AA77" s="58">
        <v>800</v>
      </c>
      <c r="AB77" s="323">
        <v>600</v>
      </c>
      <c r="AC77" s="58">
        <v>500</v>
      </c>
      <c r="AD77" s="58">
        <v>500</v>
      </c>
      <c r="AE77" s="58">
        <v>100</v>
      </c>
      <c r="AF77" s="58" t="s">
        <v>1</v>
      </c>
      <c r="AG77" s="58" t="s">
        <v>1</v>
      </c>
      <c r="AH77" s="357" t="s">
        <v>1</v>
      </c>
      <c r="AI77" s="364">
        <v>400</v>
      </c>
      <c r="AJ77" s="794">
        <v>300</v>
      </c>
      <c r="AK77" s="300">
        <v>700</v>
      </c>
      <c r="AL77" s="861" t="s">
        <v>1</v>
      </c>
      <c r="AM77" s="818" t="s">
        <v>1</v>
      </c>
      <c r="AN77" s="818" t="s">
        <v>1</v>
      </c>
      <c r="AO77" s="818" t="s">
        <v>1</v>
      </c>
      <c r="AP77" s="921" t="s">
        <v>1</v>
      </c>
      <c r="AQ77" s="52" t="s">
        <v>1</v>
      </c>
      <c r="AR77" s="1066" t="s">
        <v>1</v>
      </c>
    </row>
    <row r="78" spans="1:44" s="15" customFormat="1">
      <c r="A78" s="335" t="s">
        <v>109</v>
      </c>
      <c r="B78" s="283"/>
      <c r="C78" s="36" t="s">
        <v>1</v>
      </c>
      <c r="D78" s="36" t="s">
        <v>1</v>
      </c>
      <c r="E78" s="36" t="s">
        <v>1</v>
      </c>
      <c r="F78" s="36" t="s">
        <v>1</v>
      </c>
      <c r="G78" s="36" t="s">
        <v>1</v>
      </c>
      <c r="H78" s="36" t="s">
        <v>1</v>
      </c>
      <c r="I78" s="36" t="s">
        <v>1</v>
      </c>
      <c r="J78" s="36" t="s">
        <v>1</v>
      </c>
      <c r="K78" s="36" t="s">
        <v>1</v>
      </c>
      <c r="L78" s="36" t="s">
        <v>1</v>
      </c>
      <c r="M78" s="36" t="s">
        <v>1</v>
      </c>
      <c r="N78" s="36" t="s">
        <v>1</v>
      </c>
      <c r="O78" s="58" t="s">
        <v>1</v>
      </c>
      <c r="P78" s="58">
        <v>8</v>
      </c>
      <c r="Q78" s="58">
        <v>20</v>
      </c>
      <c r="R78" s="58">
        <v>16</v>
      </c>
      <c r="S78" s="58" t="s">
        <v>1</v>
      </c>
      <c r="T78" s="58" t="s">
        <v>1</v>
      </c>
      <c r="U78" s="58" t="s">
        <v>1</v>
      </c>
      <c r="V78" s="58" t="s">
        <v>1</v>
      </c>
      <c r="W78" s="363" t="s">
        <v>1</v>
      </c>
      <c r="X78" s="58">
        <v>320</v>
      </c>
      <c r="Y78" s="58" t="s">
        <v>1</v>
      </c>
      <c r="Z78" s="58" t="s">
        <v>1</v>
      </c>
      <c r="AA78" s="58" t="s">
        <v>1</v>
      </c>
      <c r="AB78" s="331" t="s">
        <v>1</v>
      </c>
      <c r="AC78" s="58" t="s">
        <v>1</v>
      </c>
      <c r="AD78" s="316" t="s">
        <v>1</v>
      </c>
      <c r="AE78" s="58" t="s">
        <v>1</v>
      </c>
      <c r="AF78" s="58" t="s">
        <v>1</v>
      </c>
      <c r="AG78" s="58" t="s">
        <v>1</v>
      </c>
      <c r="AH78" s="357" t="s">
        <v>1</v>
      </c>
      <c r="AI78" s="364"/>
      <c r="AJ78" s="764" t="s">
        <v>1</v>
      </c>
      <c r="AK78" s="52" t="s">
        <v>1</v>
      </c>
      <c r="AL78" s="868" t="s">
        <v>1</v>
      </c>
      <c r="AM78" s="818" t="s">
        <v>1</v>
      </c>
      <c r="AN78" s="818" t="s">
        <v>1</v>
      </c>
      <c r="AO78" s="818" t="s">
        <v>1</v>
      </c>
      <c r="AP78" s="921" t="s">
        <v>1</v>
      </c>
      <c r="AQ78" s="52" t="s">
        <v>1</v>
      </c>
      <c r="AR78" s="1066" t="s">
        <v>1</v>
      </c>
    </row>
    <row r="79" spans="1:44" s="15" customFormat="1">
      <c r="A79" s="335" t="s">
        <v>135</v>
      </c>
      <c r="B79" s="283"/>
      <c r="C79" s="36" t="s">
        <v>1</v>
      </c>
      <c r="D79" s="36" t="s">
        <v>1</v>
      </c>
      <c r="E79" s="36" t="s">
        <v>1</v>
      </c>
      <c r="F79" s="36" t="s">
        <v>1</v>
      </c>
      <c r="G79" s="36" t="s">
        <v>1</v>
      </c>
      <c r="H79" s="36" t="s">
        <v>1</v>
      </c>
      <c r="I79" s="36" t="s">
        <v>1</v>
      </c>
      <c r="J79" s="36" t="s">
        <v>1</v>
      </c>
      <c r="K79" s="36" t="s">
        <v>1</v>
      </c>
      <c r="L79" s="36" t="s">
        <v>1</v>
      </c>
      <c r="M79" s="36" t="s">
        <v>1</v>
      </c>
      <c r="N79" s="36" t="s">
        <v>1</v>
      </c>
      <c r="O79" s="58" t="s">
        <v>1</v>
      </c>
      <c r="P79" s="58" t="s">
        <v>1</v>
      </c>
      <c r="Q79" s="58" t="s">
        <v>1</v>
      </c>
      <c r="R79" s="58" t="s">
        <v>1</v>
      </c>
      <c r="S79" s="58" t="s">
        <v>1</v>
      </c>
      <c r="T79" s="58" t="s">
        <v>1</v>
      </c>
      <c r="U79" s="58" t="s">
        <v>1</v>
      </c>
      <c r="V79" s="58">
        <v>200</v>
      </c>
      <c r="W79" s="58" t="s">
        <v>1</v>
      </c>
      <c r="X79" s="58">
        <v>500</v>
      </c>
      <c r="Y79" s="58">
        <v>200</v>
      </c>
      <c r="Z79" s="58" t="s">
        <v>1</v>
      </c>
      <c r="AA79" s="58">
        <v>500</v>
      </c>
      <c r="AB79" s="323">
        <v>250</v>
      </c>
      <c r="AC79" s="58" t="s">
        <v>1</v>
      </c>
      <c r="AD79" s="316" t="s">
        <v>1</v>
      </c>
      <c r="AE79" s="58" t="s">
        <v>1</v>
      </c>
      <c r="AF79" s="58" t="s">
        <v>1</v>
      </c>
      <c r="AG79" s="58" t="s">
        <v>1</v>
      </c>
      <c r="AH79" s="357" t="s">
        <v>1</v>
      </c>
      <c r="AI79" s="364"/>
      <c r="AJ79" s="764">
        <v>200</v>
      </c>
      <c r="AK79" s="300">
        <v>200</v>
      </c>
      <c r="AL79" s="861" t="s">
        <v>1</v>
      </c>
      <c r="AM79" s="818" t="s">
        <v>1</v>
      </c>
      <c r="AN79" s="818" t="s">
        <v>1</v>
      </c>
      <c r="AO79" s="818" t="s">
        <v>1</v>
      </c>
      <c r="AP79" s="921" t="s">
        <v>1</v>
      </c>
      <c r="AQ79" s="52" t="s">
        <v>1</v>
      </c>
      <c r="AR79" s="1066" t="s">
        <v>1</v>
      </c>
    </row>
    <row r="80" spans="1:44" s="15" customFormat="1">
      <c r="A80" s="335" t="s">
        <v>110</v>
      </c>
      <c r="B80" s="283"/>
      <c r="C80" s="36" t="s">
        <v>1</v>
      </c>
      <c r="D80" s="36" t="s">
        <v>1</v>
      </c>
      <c r="E80" s="36" t="s">
        <v>1</v>
      </c>
      <c r="F80" s="36" t="s">
        <v>1</v>
      </c>
      <c r="G80" s="36" t="s">
        <v>1</v>
      </c>
      <c r="H80" s="36" t="s">
        <v>1</v>
      </c>
      <c r="I80" s="36" t="s">
        <v>1</v>
      </c>
      <c r="J80" s="36" t="s">
        <v>1</v>
      </c>
      <c r="K80" s="36" t="s">
        <v>1</v>
      </c>
      <c r="L80" s="36" t="s">
        <v>1</v>
      </c>
      <c r="M80" s="36" t="s">
        <v>1</v>
      </c>
      <c r="N80" s="36" t="s">
        <v>1</v>
      </c>
      <c r="O80" s="363" t="s">
        <v>1</v>
      </c>
      <c r="P80" s="58" t="s">
        <v>1</v>
      </c>
      <c r="Q80" s="58" t="s">
        <v>1</v>
      </c>
      <c r="R80" s="58">
        <v>16</v>
      </c>
      <c r="S80" s="58" t="s">
        <v>1</v>
      </c>
      <c r="T80" s="58" t="s">
        <v>1</v>
      </c>
      <c r="U80" s="58" t="s">
        <v>1</v>
      </c>
      <c r="V80" s="58" t="s">
        <v>1</v>
      </c>
      <c r="W80" s="58">
        <v>120</v>
      </c>
      <c r="X80" s="58" t="s">
        <v>1</v>
      </c>
      <c r="Y80" s="58" t="s">
        <v>1</v>
      </c>
      <c r="Z80" s="58" t="s">
        <v>1</v>
      </c>
      <c r="AA80" s="58" t="s">
        <v>1</v>
      </c>
      <c r="AB80" s="331" t="s">
        <v>1</v>
      </c>
      <c r="AC80" s="58" t="s">
        <v>1</v>
      </c>
      <c r="AD80" s="316" t="s">
        <v>1</v>
      </c>
      <c r="AE80" s="58" t="s">
        <v>1</v>
      </c>
      <c r="AF80" s="58" t="s">
        <v>1</v>
      </c>
      <c r="AG80" s="58" t="s">
        <v>1</v>
      </c>
      <c r="AH80" s="357" t="s">
        <v>1</v>
      </c>
      <c r="AI80" s="364">
        <v>200</v>
      </c>
      <c r="AJ80" s="764" t="s">
        <v>1</v>
      </c>
      <c r="AK80" s="52" t="s">
        <v>1</v>
      </c>
      <c r="AL80" s="868" t="s">
        <v>1</v>
      </c>
      <c r="AM80" s="818" t="s">
        <v>1</v>
      </c>
      <c r="AN80" s="818" t="s">
        <v>1</v>
      </c>
      <c r="AO80" s="818" t="s">
        <v>1</v>
      </c>
      <c r="AP80" s="921" t="s">
        <v>1</v>
      </c>
      <c r="AQ80" s="52" t="s">
        <v>1</v>
      </c>
      <c r="AR80" s="1066" t="s">
        <v>1</v>
      </c>
    </row>
    <row r="81" spans="1:124" s="15" customFormat="1">
      <c r="A81" s="335" t="s">
        <v>111</v>
      </c>
      <c r="B81" s="283"/>
      <c r="C81" s="36" t="s">
        <v>1</v>
      </c>
      <c r="D81" s="36" t="s">
        <v>1</v>
      </c>
      <c r="E81" s="36" t="s">
        <v>1</v>
      </c>
      <c r="F81" s="36" t="s">
        <v>1</v>
      </c>
      <c r="G81" s="36" t="s">
        <v>1</v>
      </c>
      <c r="H81" s="36" t="s">
        <v>1</v>
      </c>
      <c r="I81" s="36" t="s">
        <v>1</v>
      </c>
      <c r="J81" s="36" t="s">
        <v>1</v>
      </c>
      <c r="K81" s="36" t="s">
        <v>1</v>
      </c>
      <c r="L81" s="36" t="s">
        <v>1</v>
      </c>
      <c r="M81" s="36" t="s">
        <v>1</v>
      </c>
      <c r="N81" s="36" t="s">
        <v>1</v>
      </c>
      <c r="O81" s="58">
        <v>16</v>
      </c>
      <c r="P81" s="363" t="s">
        <v>1</v>
      </c>
      <c r="Q81" s="58" t="s">
        <v>1</v>
      </c>
      <c r="R81" s="58">
        <v>196</v>
      </c>
      <c r="S81" s="58" t="s">
        <v>1</v>
      </c>
      <c r="T81" s="363" t="s">
        <v>1</v>
      </c>
      <c r="U81" s="58">
        <v>8</v>
      </c>
      <c r="V81" s="58">
        <v>500</v>
      </c>
      <c r="W81" s="58">
        <v>30</v>
      </c>
      <c r="X81" s="58" t="s">
        <v>1</v>
      </c>
      <c r="Y81" s="58" t="s">
        <v>1</v>
      </c>
      <c r="Z81" s="58" t="s">
        <v>1</v>
      </c>
      <c r="AA81" s="58" t="s">
        <v>1</v>
      </c>
      <c r="AB81" s="331" t="s">
        <v>1</v>
      </c>
      <c r="AC81" s="58" t="s">
        <v>1</v>
      </c>
      <c r="AD81" s="316" t="s">
        <v>1</v>
      </c>
      <c r="AE81" s="58" t="s">
        <v>1</v>
      </c>
      <c r="AF81" s="58" t="s">
        <v>1</v>
      </c>
      <c r="AG81" s="58" t="s">
        <v>1</v>
      </c>
      <c r="AH81" s="357" t="s">
        <v>1</v>
      </c>
      <c r="AI81" s="364"/>
      <c r="AJ81" s="764" t="s">
        <v>1</v>
      </c>
      <c r="AK81" s="300">
        <v>500</v>
      </c>
      <c r="AL81" s="861" t="s">
        <v>1</v>
      </c>
      <c r="AM81" s="818" t="s">
        <v>1</v>
      </c>
      <c r="AN81" s="818" t="s">
        <v>1</v>
      </c>
      <c r="AO81" s="818" t="s">
        <v>1</v>
      </c>
      <c r="AP81" s="921" t="s">
        <v>1</v>
      </c>
      <c r="AQ81" s="52" t="s">
        <v>1</v>
      </c>
      <c r="AR81" s="1066" t="s">
        <v>1</v>
      </c>
    </row>
    <row r="82" spans="1:124" s="15" customFormat="1">
      <c r="A82" s="335" t="s">
        <v>388</v>
      </c>
      <c r="B82" s="283"/>
      <c r="C82" s="36" t="s">
        <v>1</v>
      </c>
      <c r="D82" s="36" t="s">
        <v>1</v>
      </c>
      <c r="E82" s="36" t="s">
        <v>1</v>
      </c>
      <c r="F82" s="36" t="s">
        <v>1</v>
      </c>
      <c r="G82" s="36" t="s">
        <v>1</v>
      </c>
      <c r="H82" s="36" t="s">
        <v>1</v>
      </c>
      <c r="I82" s="36" t="s">
        <v>1</v>
      </c>
      <c r="J82" s="36" t="s">
        <v>1</v>
      </c>
      <c r="K82" s="36" t="s">
        <v>1</v>
      </c>
      <c r="L82" s="36" t="s">
        <v>1</v>
      </c>
      <c r="M82" s="36" t="s">
        <v>1</v>
      </c>
      <c r="N82" s="36" t="s">
        <v>1</v>
      </c>
      <c r="O82" s="58" t="s">
        <v>1</v>
      </c>
      <c r="P82" s="58">
        <v>8</v>
      </c>
      <c r="Q82" s="58" t="s">
        <v>1</v>
      </c>
      <c r="R82" s="58" t="s">
        <v>1</v>
      </c>
      <c r="S82" s="58" t="s">
        <v>1</v>
      </c>
      <c r="T82" s="58">
        <v>60</v>
      </c>
      <c r="U82" s="58" t="s">
        <v>1</v>
      </c>
      <c r="V82" s="58">
        <v>200</v>
      </c>
      <c r="W82" s="58" t="s">
        <v>1</v>
      </c>
      <c r="X82" s="58">
        <v>200</v>
      </c>
      <c r="Y82" s="58" t="s">
        <v>1</v>
      </c>
      <c r="Z82" s="58" t="s">
        <v>1</v>
      </c>
      <c r="AA82" s="58" t="s">
        <v>1</v>
      </c>
      <c r="AB82" s="363" t="s">
        <v>1</v>
      </c>
      <c r="AC82" s="58" t="s">
        <v>1</v>
      </c>
      <c r="AD82" s="316" t="s">
        <v>1</v>
      </c>
      <c r="AE82" s="58" t="s">
        <v>1</v>
      </c>
      <c r="AF82" s="58" t="s">
        <v>1</v>
      </c>
      <c r="AG82" s="58" t="s">
        <v>1</v>
      </c>
      <c r="AH82" s="357" t="s">
        <v>1</v>
      </c>
      <c r="AI82" s="364">
        <v>200</v>
      </c>
      <c r="AJ82" s="764" t="s">
        <v>1</v>
      </c>
      <c r="AK82" s="52" t="s">
        <v>1</v>
      </c>
      <c r="AL82" s="868" t="s">
        <v>1</v>
      </c>
      <c r="AM82" s="818" t="s">
        <v>1</v>
      </c>
      <c r="AN82" s="818" t="s">
        <v>1</v>
      </c>
      <c r="AO82" s="818" t="s">
        <v>1</v>
      </c>
      <c r="AP82" s="921" t="s">
        <v>1</v>
      </c>
      <c r="AQ82" s="52" t="s">
        <v>1</v>
      </c>
      <c r="AR82" s="1066" t="s">
        <v>1</v>
      </c>
    </row>
    <row r="83" spans="1:124" s="15" customFormat="1">
      <c r="A83" s="335" t="s">
        <v>136</v>
      </c>
      <c r="B83" s="283"/>
      <c r="C83" s="36" t="s">
        <v>1</v>
      </c>
      <c r="D83" s="36" t="s">
        <v>1</v>
      </c>
      <c r="E83" s="36" t="s">
        <v>1</v>
      </c>
      <c r="F83" s="36" t="s">
        <v>1</v>
      </c>
      <c r="G83" s="36" t="s">
        <v>1</v>
      </c>
      <c r="H83" s="36" t="s">
        <v>1</v>
      </c>
      <c r="I83" s="36" t="s">
        <v>1</v>
      </c>
      <c r="J83" s="36" t="s">
        <v>1</v>
      </c>
      <c r="K83" s="36" t="s">
        <v>1</v>
      </c>
      <c r="L83" s="36" t="s">
        <v>1</v>
      </c>
      <c r="M83" s="36" t="s">
        <v>1</v>
      </c>
      <c r="N83" s="36" t="s">
        <v>1</v>
      </c>
      <c r="O83" s="58" t="s">
        <v>1</v>
      </c>
      <c r="P83" s="58">
        <v>16</v>
      </c>
      <c r="Q83" s="58" t="s">
        <v>1</v>
      </c>
      <c r="R83" s="58" t="s">
        <v>1</v>
      </c>
      <c r="S83" s="58" t="s">
        <v>1</v>
      </c>
      <c r="T83" s="58" t="s">
        <v>1</v>
      </c>
      <c r="U83" s="58" t="s">
        <v>1</v>
      </c>
      <c r="V83" s="58" t="s">
        <v>1</v>
      </c>
      <c r="W83" s="58" t="s">
        <v>1</v>
      </c>
      <c r="X83" s="58" t="s">
        <v>1</v>
      </c>
      <c r="Y83" s="58" t="s">
        <v>1</v>
      </c>
      <c r="Z83" s="58" t="s">
        <v>1</v>
      </c>
      <c r="AA83" s="363" t="s">
        <v>1</v>
      </c>
      <c r="AB83" s="331">
        <v>150</v>
      </c>
      <c r="AC83" s="58">
        <v>500</v>
      </c>
      <c r="AD83" s="58" t="s">
        <v>1</v>
      </c>
      <c r="AE83" s="58" t="s">
        <v>1</v>
      </c>
      <c r="AF83" s="58" t="s">
        <v>1</v>
      </c>
      <c r="AG83" s="58" t="s">
        <v>1</v>
      </c>
      <c r="AH83" s="357" t="s">
        <v>1</v>
      </c>
      <c r="AI83" s="364"/>
      <c r="AJ83" s="764" t="s">
        <v>1</v>
      </c>
      <c r="AK83" s="52" t="s">
        <v>1</v>
      </c>
      <c r="AL83" s="868" t="s">
        <v>1</v>
      </c>
      <c r="AM83" s="818" t="s">
        <v>1</v>
      </c>
      <c r="AN83" s="818" t="s">
        <v>1</v>
      </c>
      <c r="AO83" s="818" t="s">
        <v>1</v>
      </c>
      <c r="AP83" s="921" t="s">
        <v>1</v>
      </c>
      <c r="AQ83" s="52" t="s">
        <v>1</v>
      </c>
      <c r="AR83" s="1066" t="s">
        <v>1</v>
      </c>
    </row>
    <row r="84" spans="1:124" s="15" customFormat="1">
      <c r="A84" s="335" t="s">
        <v>112</v>
      </c>
      <c r="B84" s="283"/>
      <c r="C84" s="36" t="s">
        <v>1</v>
      </c>
      <c r="D84" s="36" t="s">
        <v>1</v>
      </c>
      <c r="E84" s="36" t="s">
        <v>1</v>
      </c>
      <c r="F84" s="36" t="s">
        <v>1</v>
      </c>
      <c r="G84" s="36" t="s">
        <v>1</v>
      </c>
      <c r="H84" s="36" t="s">
        <v>1</v>
      </c>
      <c r="I84" s="36" t="s">
        <v>1</v>
      </c>
      <c r="J84" s="36" t="s">
        <v>1</v>
      </c>
      <c r="K84" s="36" t="s">
        <v>1</v>
      </c>
      <c r="L84" s="36" t="s">
        <v>1</v>
      </c>
      <c r="M84" s="36" t="s">
        <v>1</v>
      </c>
      <c r="N84" s="36" t="s">
        <v>1</v>
      </c>
      <c r="O84" s="36" t="s">
        <v>1</v>
      </c>
      <c r="P84" s="36" t="s">
        <v>1</v>
      </c>
      <c r="Q84" s="36" t="s">
        <v>1</v>
      </c>
      <c r="R84" s="36" t="s">
        <v>1</v>
      </c>
      <c r="S84" s="58" t="s">
        <v>1</v>
      </c>
      <c r="T84" s="58" t="s">
        <v>1</v>
      </c>
      <c r="U84" s="36" t="s">
        <v>1</v>
      </c>
      <c r="V84" s="36" t="s">
        <v>1</v>
      </c>
      <c r="W84" s="36" t="s">
        <v>1</v>
      </c>
      <c r="X84" s="36" t="s">
        <v>1</v>
      </c>
      <c r="Y84" s="36" t="s">
        <v>1</v>
      </c>
      <c r="Z84" s="36" t="s">
        <v>1</v>
      </c>
      <c r="AA84" s="58">
        <v>100</v>
      </c>
      <c r="AB84" s="331">
        <v>200</v>
      </c>
      <c r="AC84" s="36" t="s">
        <v>1</v>
      </c>
      <c r="AD84" s="58">
        <v>500</v>
      </c>
      <c r="AE84" s="58" t="s">
        <v>1</v>
      </c>
      <c r="AF84" s="58" t="s">
        <v>1</v>
      </c>
      <c r="AG84" s="58" t="s">
        <v>1</v>
      </c>
      <c r="AH84" s="357" t="s">
        <v>1</v>
      </c>
      <c r="AI84" s="364"/>
      <c r="AJ84" s="764" t="s">
        <v>1</v>
      </c>
      <c r="AK84" s="52" t="s">
        <v>1</v>
      </c>
      <c r="AL84" s="868" t="s">
        <v>1</v>
      </c>
      <c r="AM84" s="818" t="s">
        <v>1</v>
      </c>
      <c r="AN84" s="818" t="s">
        <v>1</v>
      </c>
      <c r="AO84" s="818" t="s">
        <v>1</v>
      </c>
      <c r="AP84" s="921" t="s">
        <v>1</v>
      </c>
      <c r="AQ84" s="52" t="s">
        <v>1</v>
      </c>
      <c r="AR84" s="1066" t="s">
        <v>1</v>
      </c>
    </row>
    <row r="85" spans="1:124" s="320" customFormat="1">
      <c r="A85" s="335" t="s">
        <v>113</v>
      </c>
      <c r="B85" s="283"/>
      <c r="C85" s="36" t="s">
        <v>1</v>
      </c>
      <c r="D85" s="36" t="s">
        <v>1</v>
      </c>
      <c r="E85" s="36" t="s">
        <v>1</v>
      </c>
      <c r="F85" s="36" t="s">
        <v>1</v>
      </c>
      <c r="G85" s="36" t="s">
        <v>1</v>
      </c>
      <c r="H85" s="36" t="s">
        <v>1</v>
      </c>
      <c r="I85" s="36" t="s">
        <v>1</v>
      </c>
      <c r="J85" s="36" t="s">
        <v>1</v>
      </c>
      <c r="K85" s="36" t="s">
        <v>1</v>
      </c>
      <c r="L85" s="36" t="s">
        <v>1</v>
      </c>
      <c r="M85" s="36" t="s">
        <v>1</v>
      </c>
      <c r="N85" s="36" t="s">
        <v>1</v>
      </c>
      <c r="O85" s="58" t="s">
        <v>1</v>
      </c>
      <c r="P85" s="58" t="s">
        <v>1</v>
      </c>
      <c r="Q85" s="58" t="s">
        <v>1</v>
      </c>
      <c r="R85" s="58">
        <v>8</v>
      </c>
      <c r="S85" s="58" t="s">
        <v>1</v>
      </c>
      <c r="T85" s="58">
        <v>200</v>
      </c>
      <c r="U85" s="58" t="s">
        <v>1</v>
      </c>
      <c r="V85" s="58" t="s">
        <v>1</v>
      </c>
      <c r="W85" s="58" t="s">
        <v>1</v>
      </c>
      <c r="X85" s="58" t="s">
        <v>1</v>
      </c>
      <c r="Y85" s="58">
        <v>500</v>
      </c>
      <c r="Z85" s="58" t="s">
        <v>1</v>
      </c>
      <c r="AA85" s="58">
        <v>200</v>
      </c>
      <c r="AB85" s="331" t="s">
        <v>1</v>
      </c>
      <c r="AC85" s="58" t="s">
        <v>1</v>
      </c>
      <c r="AD85" s="316" t="s">
        <v>1</v>
      </c>
      <c r="AE85" s="58">
        <v>100</v>
      </c>
      <c r="AF85" s="58" t="s">
        <v>1</v>
      </c>
      <c r="AG85" s="58" t="s">
        <v>1</v>
      </c>
      <c r="AH85" s="357" t="s">
        <v>1</v>
      </c>
      <c r="AI85" s="364"/>
      <c r="AJ85" s="764">
        <v>100</v>
      </c>
      <c r="AK85" s="52" t="s">
        <v>1</v>
      </c>
      <c r="AL85" s="879" t="s">
        <v>1</v>
      </c>
      <c r="AM85" s="818" t="s">
        <v>1</v>
      </c>
      <c r="AN85" s="818" t="s">
        <v>1</v>
      </c>
      <c r="AO85" s="818" t="s">
        <v>1</v>
      </c>
      <c r="AP85" s="921" t="s">
        <v>1</v>
      </c>
      <c r="AQ85" s="52" t="s">
        <v>1</v>
      </c>
      <c r="AR85" s="1066" t="s">
        <v>1</v>
      </c>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c r="CO85" s="325"/>
      <c r="CP85" s="325"/>
      <c r="CQ85" s="325"/>
      <c r="CR85" s="325"/>
      <c r="CS85" s="325"/>
      <c r="CT85" s="325"/>
      <c r="CU85" s="325"/>
      <c r="CV85" s="325"/>
      <c r="CW85" s="325"/>
      <c r="CX85" s="325"/>
      <c r="CY85" s="325"/>
      <c r="CZ85" s="325"/>
      <c r="DA85" s="325"/>
      <c r="DB85" s="325"/>
      <c r="DC85" s="325"/>
      <c r="DD85" s="325"/>
      <c r="DE85" s="325"/>
      <c r="DF85" s="325"/>
      <c r="DG85" s="325"/>
      <c r="DH85" s="325"/>
      <c r="DI85" s="325"/>
      <c r="DJ85" s="325"/>
      <c r="DK85" s="325"/>
      <c r="DL85" s="325"/>
      <c r="DM85" s="325"/>
      <c r="DN85" s="325"/>
      <c r="DO85" s="325"/>
      <c r="DP85" s="325"/>
      <c r="DQ85" s="325"/>
      <c r="DR85" s="325"/>
      <c r="DS85" s="325"/>
      <c r="DT85" s="325"/>
    </row>
    <row r="86" spans="1:124" s="325" customFormat="1" ht="38.25">
      <c r="A86" s="760" t="s">
        <v>460</v>
      </c>
      <c r="B86" s="760"/>
      <c r="C86" s="760"/>
      <c r="D86" s="760"/>
      <c r="E86" s="760"/>
      <c r="F86" s="760"/>
      <c r="G86" s="760"/>
      <c r="H86" s="760"/>
      <c r="I86" s="760"/>
      <c r="J86" s="760"/>
      <c r="K86" s="760"/>
      <c r="L86" s="760"/>
      <c r="M86" s="760"/>
      <c r="N86" s="760"/>
      <c r="O86" s="760"/>
      <c r="P86" s="760"/>
      <c r="Q86" s="760"/>
      <c r="R86" s="760"/>
      <c r="S86" s="760"/>
      <c r="T86" s="760"/>
      <c r="U86" s="760"/>
      <c r="V86" s="760"/>
      <c r="W86" s="760"/>
      <c r="X86" s="760"/>
      <c r="Y86" s="760"/>
      <c r="Z86" s="760"/>
      <c r="AA86" s="760"/>
      <c r="AB86" s="760"/>
      <c r="AC86" s="760"/>
      <c r="AD86" s="760"/>
      <c r="AE86" s="760"/>
      <c r="AF86" s="761"/>
      <c r="AG86" s="761"/>
      <c r="AH86" s="761"/>
      <c r="AI86" s="666"/>
      <c r="AJ86" s="795"/>
      <c r="AK86" s="974"/>
      <c r="AL86" s="872"/>
      <c r="AM86" s="831"/>
      <c r="AN86" s="831"/>
      <c r="AO86" s="831"/>
      <c r="AP86" s="923"/>
      <c r="AQ86" s="323"/>
      <c r="AR86" s="1086"/>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R23"/>
  <sheetViews>
    <sheetView workbookViewId="0">
      <pane xSplit="1" topLeftCell="AF1" activePane="topRight" state="frozen"/>
      <selection pane="topRight" activeCell="AV25" sqref="AV25"/>
    </sheetView>
  </sheetViews>
  <sheetFormatPr defaultRowHeight="12.75"/>
  <cols>
    <col min="1" max="1" width="42.7109375" bestFit="1" customWidth="1"/>
    <col min="2" max="2" width="10.7109375" bestFit="1" customWidth="1"/>
    <col min="3" max="3" width="5.42578125" bestFit="1" customWidth="1"/>
    <col min="4" max="6" width="5" bestFit="1" customWidth="1"/>
    <col min="7" max="22" width="5.42578125" bestFit="1" customWidth="1"/>
    <col min="23" max="30" width="6.85546875" bestFit="1" customWidth="1"/>
    <col min="31" max="33" width="7.85546875" bestFit="1" customWidth="1"/>
    <col min="34" max="34" width="9.42578125" bestFit="1" customWidth="1"/>
    <col min="35" max="35" width="7.85546875" bestFit="1" customWidth="1"/>
    <col min="36" max="37" width="11.5703125" customWidth="1"/>
    <col min="38" max="38" width="11.7109375" customWidth="1"/>
    <col min="39" max="40" width="11.140625" customWidth="1"/>
    <col min="41" max="42" width="11.85546875" customWidth="1"/>
  </cols>
  <sheetData>
    <row r="1" spans="1:44" s="15" customFormat="1" ht="38.25">
      <c r="A1" s="368" t="s">
        <v>445</v>
      </c>
      <c r="B1" s="369" t="s">
        <v>232</v>
      </c>
      <c r="C1" s="369">
        <v>1991</v>
      </c>
      <c r="D1" s="369">
        <v>1992</v>
      </c>
      <c r="E1" s="369">
        <v>1993</v>
      </c>
      <c r="F1" s="369">
        <v>1994</v>
      </c>
      <c r="G1" s="369">
        <v>1995</v>
      </c>
      <c r="H1" s="369">
        <v>1996</v>
      </c>
      <c r="I1" s="369">
        <v>1997</v>
      </c>
      <c r="J1" s="369">
        <v>1998</v>
      </c>
      <c r="K1" s="369">
        <v>1999</v>
      </c>
      <c r="L1" s="369">
        <v>2000</v>
      </c>
      <c r="M1" s="369">
        <v>2001</v>
      </c>
      <c r="N1" s="369">
        <v>2002</v>
      </c>
      <c r="O1" s="369">
        <v>2003</v>
      </c>
      <c r="P1" s="369">
        <v>2004</v>
      </c>
      <c r="Q1" s="369">
        <v>2005</v>
      </c>
      <c r="R1" s="369">
        <v>2006</v>
      </c>
      <c r="S1" s="369">
        <v>2007</v>
      </c>
      <c r="T1" s="369">
        <v>2008</v>
      </c>
      <c r="U1" s="369">
        <v>2009</v>
      </c>
      <c r="V1" s="370">
        <v>2010</v>
      </c>
      <c r="W1" s="370">
        <v>2011</v>
      </c>
      <c r="X1" s="370">
        <v>2012</v>
      </c>
      <c r="Y1" s="370">
        <v>2013</v>
      </c>
      <c r="Z1" s="370">
        <v>2014</v>
      </c>
      <c r="AA1" s="370">
        <v>2015</v>
      </c>
      <c r="AB1" s="370">
        <v>2016</v>
      </c>
      <c r="AC1" s="371">
        <v>2017</v>
      </c>
      <c r="AD1" s="371">
        <v>2018</v>
      </c>
      <c r="AE1" s="370">
        <v>2019</v>
      </c>
      <c r="AF1" s="370">
        <v>2020</v>
      </c>
      <c r="AG1" s="370">
        <v>2021</v>
      </c>
      <c r="AH1" s="372">
        <v>2022</v>
      </c>
      <c r="AI1" s="372">
        <v>2023</v>
      </c>
      <c r="AJ1" s="772">
        <v>2024</v>
      </c>
      <c r="AK1" s="372">
        <v>2025</v>
      </c>
      <c r="AL1" s="772" t="s">
        <v>463</v>
      </c>
      <c r="AM1" s="772" t="s">
        <v>471</v>
      </c>
      <c r="AN1" s="772" t="s">
        <v>481</v>
      </c>
      <c r="AO1" s="772" t="s">
        <v>488</v>
      </c>
      <c r="AP1" s="772" t="s">
        <v>497</v>
      </c>
      <c r="AQ1" s="772" t="s">
        <v>519</v>
      </c>
      <c r="AR1" s="772" t="s">
        <v>537</v>
      </c>
    </row>
    <row r="2" spans="1:44" s="15" customFormat="1">
      <c r="A2" s="329" t="s">
        <v>234</v>
      </c>
      <c r="B2" s="373" t="s">
        <v>233</v>
      </c>
      <c r="C2" s="36"/>
      <c r="D2" s="36"/>
      <c r="E2" s="36"/>
      <c r="F2" s="36"/>
      <c r="G2" s="36"/>
      <c r="H2" s="36"/>
      <c r="I2" s="36"/>
      <c r="J2" s="36"/>
      <c r="K2" s="36"/>
      <c r="L2" s="36"/>
      <c r="M2" s="36"/>
      <c r="N2" s="36"/>
      <c r="O2" s="36"/>
      <c r="P2" s="36"/>
      <c r="Q2" s="36"/>
      <c r="R2" s="36"/>
      <c r="S2" s="36"/>
      <c r="T2" s="36"/>
      <c r="U2" s="36"/>
      <c r="V2" s="36"/>
      <c r="W2" s="36"/>
      <c r="X2" s="36"/>
      <c r="Y2" s="36"/>
      <c r="Z2" s="36"/>
      <c r="AA2" s="36"/>
      <c r="AB2" s="374"/>
      <c r="AC2" s="374"/>
      <c r="AD2" s="241"/>
      <c r="AE2" s="34"/>
      <c r="AF2" s="276"/>
      <c r="AG2" s="374"/>
      <c r="AH2" s="375"/>
      <c r="AI2" s="332"/>
      <c r="AJ2" s="773"/>
      <c r="AK2" s="13"/>
      <c r="AL2" s="860"/>
      <c r="AM2" s="863"/>
      <c r="AN2" s="863"/>
      <c r="AO2" s="863"/>
      <c r="AP2" s="863"/>
      <c r="AQ2" s="863"/>
      <c r="AR2" s="863"/>
    </row>
    <row r="3" spans="1:44" s="15" customFormat="1">
      <c r="A3" s="333" t="s">
        <v>108</v>
      </c>
      <c r="B3" s="283"/>
      <c r="C3" s="36">
        <v>4.0999999999999996</v>
      </c>
      <c r="D3" s="36">
        <v>23.5</v>
      </c>
      <c r="E3" s="36">
        <v>0.6</v>
      </c>
      <c r="F3" s="36">
        <v>8</v>
      </c>
      <c r="G3" s="36">
        <v>29.9</v>
      </c>
      <c r="H3" s="36">
        <v>63.3</v>
      </c>
      <c r="I3" s="36">
        <v>121.9</v>
      </c>
      <c r="J3" s="36">
        <v>161.30000000000001</v>
      </c>
      <c r="K3" s="36">
        <v>188</v>
      </c>
      <c r="L3" s="36">
        <v>210.6</v>
      </c>
      <c r="M3" s="36">
        <v>260.2</v>
      </c>
      <c r="N3" s="36">
        <v>300.3</v>
      </c>
      <c r="O3" s="36">
        <v>352.1</v>
      </c>
      <c r="P3" s="36">
        <v>486.3</v>
      </c>
      <c r="Q3" s="36">
        <v>577.29999999999995</v>
      </c>
      <c r="R3" s="36">
        <v>740.8</v>
      </c>
      <c r="S3" s="36">
        <v>875.4</v>
      </c>
      <c r="T3" s="36">
        <v>993.5</v>
      </c>
      <c r="U3" s="36">
        <v>899.3</v>
      </c>
      <c r="V3" s="36">
        <v>968.2</v>
      </c>
      <c r="W3" s="36">
        <v>1068.5999999999999</v>
      </c>
      <c r="X3" s="36">
        <v>1245.8</v>
      </c>
      <c r="Y3" s="36">
        <v>1407.6</v>
      </c>
      <c r="Z3" s="36">
        <v>1641.3</v>
      </c>
      <c r="AA3" s="36">
        <v>1786.6</v>
      </c>
      <c r="AB3" s="276">
        <v>2193.6999999999998</v>
      </c>
      <c r="AC3" s="376" t="s">
        <v>65</v>
      </c>
      <c r="AD3" s="376" t="s">
        <v>89</v>
      </c>
      <c r="AE3" s="36">
        <v>3382.7</v>
      </c>
      <c r="AF3" s="36">
        <v>3431.679087</v>
      </c>
      <c r="AG3" s="36">
        <v>4044.4929099999999</v>
      </c>
      <c r="AH3" s="679">
        <v>5183.6176409999998</v>
      </c>
      <c r="AI3" s="378">
        <v>6301.2</v>
      </c>
      <c r="AJ3" s="771">
        <v>7803.6</v>
      </c>
      <c r="AK3" s="312">
        <v>9468</v>
      </c>
      <c r="AL3" s="863">
        <v>457</v>
      </c>
      <c r="AM3" s="863">
        <v>986</v>
      </c>
      <c r="AN3" s="863">
        <v>1628</v>
      </c>
      <c r="AO3" s="907">
        <v>2228.4</v>
      </c>
      <c r="AP3" s="930">
        <v>2838</v>
      </c>
      <c r="AQ3" s="930">
        <v>3632.8</v>
      </c>
      <c r="AR3" s="1082">
        <v>4521.6000000000004</v>
      </c>
    </row>
    <row r="4" spans="1:44" s="15" customFormat="1">
      <c r="A4" s="335" t="s">
        <v>109</v>
      </c>
      <c r="B4" s="283"/>
      <c r="C4" s="58" t="s">
        <v>1</v>
      </c>
      <c r="D4" s="58" t="s">
        <v>1</v>
      </c>
      <c r="E4" s="58" t="s">
        <v>1</v>
      </c>
      <c r="F4" s="58" t="s">
        <v>1</v>
      </c>
      <c r="G4" s="58" t="s">
        <v>1</v>
      </c>
      <c r="H4" s="58" t="s">
        <v>1</v>
      </c>
      <c r="I4" s="58" t="s">
        <v>1</v>
      </c>
      <c r="J4" s="58" t="s">
        <v>1</v>
      </c>
      <c r="K4" s="58" t="s">
        <v>1</v>
      </c>
      <c r="L4" s="58" t="s">
        <v>1</v>
      </c>
      <c r="M4" s="58" t="s">
        <v>1</v>
      </c>
      <c r="N4" s="58" t="s">
        <v>1</v>
      </c>
      <c r="O4" s="58" t="s">
        <v>1</v>
      </c>
      <c r="P4" s="58" t="s">
        <v>1</v>
      </c>
      <c r="Q4" s="58" t="s">
        <v>1</v>
      </c>
      <c r="R4" s="58" t="s">
        <v>1</v>
      </c>
      <c r="S4" s="58" t="s">
        <v>1</v>
      </c>
      <c r="T4" s="58" t="s">
        <v>1</v>
      </c>
      <c r="U4" s="58" t="s">
        <v>1</v>
      </c>
      <c r="V4" s="58" t="s">
        <v>1</v>
      </c>
      <c r="W4" s="58" t="s">
        <v>1</v>
      </c>
      <c r="X4" s="36">
        <v>216</v>
      </c>
      <c r="Y4" s="36">
        <v>266.8</v>
      </c>
      <c r="Z4" s="36">
        <v>267</v>
      </c>
      <c r="AA4" s="36">
        <v>376.1</v>
      </c>
      <c r="AB4" s="276">
        <v>501.2</v>
      </c>
      <c r="AC4" s="376" t="s">
        <v>67</v>
      </c>
      <c r="AD4" s="376" t="s">
        <v>90</v>
      </c>
      <c r="AE4" s="381">
        <v>752.2</v>
      </c>
      <c r="AF4" s="339">
        <v>698.70239400000003</v>
      </c>
      <c r="AG4" s="339">
        <v>753.30750899999998</v>
      </c>
      <c r="AH4" s="377">
        <v>720.14409599999999</v>
      </c>
      <c r="AI4" s="378">
        <v>883</v>
      </c>
      <c r="AJ4" s="771">
        <v>1065.8</v>
      </c>
      <c r="AK4" s="312">
        <v>1165.2</v>
      </c>
      <c r="AL4" s="858">
        <v>45.8</v>
      </c>
      <c r="AM4" s="863">
        <v>125.5</v>
      </c>
      <c r="AN4" s="863">
        <v>249.3</v>
      </c>
      <c r="AO4" s="907">
        <v>342.2</v>
      </c>
      <c r="AP4" s="931">
        <v>425.1</v>
      </c>
      <c r="AQ4" s="931">
        <v>512.5</v>
      </c>
      <c r="AR4" s="1082">
        <v>597.20000000000005</v>
      </c>
    </row>
    <row r="5" spans="1:44" s="15" customFormat="1">
      <c r="A5" s="335" t="s">
        <v>135</v>
      </c>
      <c r="B5" s="283"/>
      <c r="C5" s="58" t="s">
        <v>1</v>
      </c>
      <c r="D5" s="58" t="s">
        <v>1</v>
      </c>
      <c r="E5" s="58" t="s">
        <v>1</v>
      </c>
      <c r="F5" s="58" t="s">
        <v>1</v>
      </c>
      <c r="G5" s="58" t="s">
        <v>1</v>
      </c>
      <c r="H5" s="58" t="s">
        <v>1</v>
      </c>
      <c r="I5" s="58" t="s">
        <v>1</v>
      </c>
      <c r="J5" s="58" t="s">
        <v>1</v>
      </c>
      <c r="K5" s="58" t="s">
        <v>1</v>
      </c>
      <c r="L5" s="58" t="s">
        <v>1</v>
      </c>
      <c r="M5" s="58" t="s">
        <v>1</v>
      </c>
      <c r="N5" s="58" t="s">
        <v>1</v>
      </c>
      <c r="O5" s="58" t="s">
        <v>1</v>
      </c>
      <c r="P5" s="58" t="s">
        <v>1</v>
      </c>
      <c r="Q5" s="58" t="s">
        <v>1</v>
      </c>
      <c r="R5" s="58" t="s">
        <v>1</v>
      </c>
      <c r="S5" s="58" t="s">
        <v>1</v>
      </c>
      <c r="T5" s="58" t="s">
        <v>1</v>
      </c>
      <c r="U5" s="58" t="s">
        <v>1</v>
      </c>
      <c r="V5" s="58" t="s">
        <v>1</v>
      </c>
      <c r="W5" s="58" t="s">
        <v>1</v>
      </c>
      <c r="X5" s="36">
        <v>79.5</v>
      </c>
      <c r="Y5" s="36">
        <v>85.8</v>
      </c>
      <c r="Z5" s="36">
        <v>148</v>
      </c>
      <c r="AA5" s="36">
        <v>173.1</v>
      </c>
      <c r="AB5" s="276">
        <v>120</v>
      </c>
      <c r="AC5" s="376" t="s">
        <v>66</v>
      </c>
      <c r="AD5" s="376" t="s">
        <v>91</v>
      </c>
      <c r="AE5" s="381">
        <v>259.3</v>
      </c>
      <c r="AF5" s="339">
        <v>250.74450100000001</v>
      </c>
      <c r="AG5" s="339">
        <v>291.94788799999998</v>
      </c>
      <c r="AH5" s="377">
        <v>403.26854100000003</v>
      </c>
      <c r="AI5" s="378">
        <v>566</v>
      </c>
      <c r="AJ5" s="771">
        <v>730.6</v>
      </c>
      <c r="AK5" s="312">
        <v>696.6</v>
      </c>
      <c r="AL5" s="858">
        <v>25.9</v>
      </c>
      <c r="AM5" s="863">
        <v>52</v>
      </c>
      <c r="AN5" s="863">
        <v>80.099999999999994</v>
      </c>
      <c r="AO5" s="907">
        <v>110.5</v>
      </c>
      <c r="AP5" s="931">
        <v>139.19999999999999</v>
      </c>
      <c r="AQ5" s="930">
        <v>187</v>
      </c>
      <c r="AR5" s="1082">
        <v>235.6</v>
      </c>
    </row>
    <row r="6" spans="1:44" s="15" customFormat="1">
      <c r="A6" s="335" t="s">
        <v>110</v>
      </c>
      <c r="B6" s="283"/>
      <c r="C6" s="58" t="s">
        <v>1</v>
      </c>
      <c r="D6" s="58" t="s">
        <v>1</v>
      </c>
      <c r="E6" s="58" t="s">
        <v>1</v>
      </c>
      <c r="F6" s="58" t="s">
        <v>1</v>
      </c>
      <c r="G6" s="58" t="s">
        <v>1</v>
      </c>
      <c r="H6" s="58" t="s">
        <v>1</v>
      </c>
      <c r="I6" s="58" t="s">
        <v>1</v>
      </c>
      <c r="J6" s="58" t="s">
        <v>1</v>
      </c>
      <c r="K6" s="58" t="s">
        <v>1</v>
      </c>
      <c r="L6" s="58" t="s">
        <v>1</v>
      </c>
      <c r="M6" s="58" t="s">
        <v>1</v>
      </c>
      <c r="N6" s="58" t="s">
        <v>1</v>
      </c>
      <c r="O6" s="58" t="s">
        <v>1</v>
      </c>
      <c r="P6" s="58" t="s">
        <v>1</v>
      </c>
      <c r="Q6" s="58" t="s">
        <v>1</v>
      </c>
      <c r="R6" s="58" t="s">
        <v>1</v>
      </c>
      <c r="S6" s="58" t="s">
        <v>1</v>
      </c>
      <c r="T6" s="58" t="s">
        <v>1</v>
      </c>
      <c r="U6" s="58" t="s">
        <v>1</v>
      </c>
      <c r="V6" s="58" t="s">
        <v>1</v>
      </c>
      <c r="W6" s="58" t="s">
        <v>1</v>
      </c>
      <c r="X6" s="36">
        <v>135.5</v>
      </c>
      <c r="Y6" s="36">
        <v>130.19999999999999</v>
      </c>
      <c r="Z6" s="36">
        <v>188.4</v>
      </c>
      <c r="AA6" s="36">
        <v>236</v>
      </c>
      <c r="AB6" s="276">
        <v>292.8</v>
      </c>
      <c r="AC6" s="376" t="s">
        <v>68</v>
      </c>
      <c r="AD6" s="376" t="s">
        <v>92</v>
      </c>
      <c r="AE6" s="381">
        <v>313.3</v>
      </c>
      <c r="AF6" s="339">
        <v>435.82021900000001</v>
      </c>
      <c r="AG6" s="339">
        <v>480.314931</v>
      </c>
      <c r="AH6" s="377">
        <v>648.91782799999999</v>
      </c>
      <c r="AI6" s="378">
        <v>595</v>
      </c>
      <c r="AJ6" s="771">
        <v>792.9</v>
      </c>
      <c r="AK6" s="312">
        <v>1096.5</v>
      </c>
      <c r="AL6" s="858">
        <v>100.4</v>
      </c>
      <c r="AM6" s="863">
        <v>198.6</v>
      </c>
      <c r="AN6" s="863">
        <v>298.89999999999998</v>
      </c>
      <c r="AO6" s="907">
        <v>378.5</v>
      </c>
      <c r="AP6" s="931">
        <v>461.8</v>
      </c>
      <c r="AQ6" s="931">
        <v>525.20000000000005</v>
      </c>
      <c r="AR6" s="1082">
        <v>655</v>
      </c>
    </row>
    <row r="7" spans="1:44" s="15" customFormat="1">
      <c r="A7" s="335" t="s">
        <v>111</v>
      </c>
      <c r="B7" s="283"/>
      <c r="C7" s="58" t="s">
        <v>1</v>
      </c>
      <c r="D7" s="58" t="s">
        <v>1</v>
      </c>
      <c r="E7" s="58" t="s">
        <v>1</v>
      </c>
      <c r="F7" s="58" t="s">
        <v>1</v>
      </c>
      <c r="G7" s="58" t="s">
        <v>1</v>
      </c>
      <c r="H7" s="58" t="s">
        <v>1</v>
      </c>
      <c r="I7" s="58" t="s">
        <v>1</v>
      </c>
      <c r="J7" s="58" t="s">
        <v>1</v>
      </c>
      <c r="K7" s="58" t="s">
        <v>1</v>
      </c>
      <c r="L7" s="58" t="s">
        <v>1</v>
      </c>
      <c r="M7" s="58" t="s">
        <v>1</v>
      </c>
      <c r="N7" s="58" t="s">
        <v>1</v>
      </c>
      <c r="O7" s="58" t="s">
        <v>1</v>
      </c>
      <c r="P7" s="58" t="s">
        <v>1</v>
      </c>
      <c r="Q7" s="58" t="s">
        <v>1</v>
      </c>
      <c r="R7" s="58" t="s">
        <v>1</v>
      </c>
      <c r="S7" s="58" t="s">
        <v>1</v>
      </c>
      <c r="T7" s="58" t="s">
        <v>1</v>
      </c>
      <c r="U7" s="58" t="s">
        <v>1</v>
      </c>
      <c r="V7" s="58" t="s">
        <v>1</v>
      </c>
      <c r="W7" s="58" t="s">
        <v>1</v>
      </c>
      <c r="X7" s="36">
        <v>157.9</v>
      </c>
      <c r="Y7" s="36">
        <v>223.2</v>
      </c>
      <c r="Z7" s="36">
        <v>190.7</v>
      </c>
      <c r="AA7" s="36">
        <v>230.3</v>
      </c>
      <c r="AB7" s="276">
        <v>412.2</v>
      </c>
      <c r="AC7" s="376" t="s">
        <v>69</v>
      </c>
      <c r="AD7" s="376" t="s">
        <v>93</v>
      </c>
      <c r="AE7" s="381">
        <v>458.5</v>
      </c>
      <c r="AF7" s="339">
        <v>445.27809400000001</v>
      </c>
      <c r="AG7" s="339">
        <v>604.33975199999998</v>
      </c>
      <c r="AH7" s="377">
        <v>787.79990999999995</v>
      </c>
      <c r="AI7" s="378">
        <v>1347.1</v>
      </c>
      <c r="AJ7" s="771">
        <v>1571.1</v>
      </c>
      <c r="AK7" s="312">
        <v>2108.9</v>
      </c>
      <c r="AL7" s="858">
        <v>110.3</v>
      </c>
      <c r="AM7" s="863">
        <v>222.6</v>
      </c>
      <c r="AN7" s="863">
        <v>344.4</v>
      </c>
      <c r="AO7" s="907">
        <v>474.3</v>
      </c>
      <c r="AP7" s="931">
        <v>601.9</v>
      </c>
      <c r="AQ7" s="931">
        <v>790.4</v>
      </c>
      <c r="AR7" s="1082">
        <v>1022.3</v>
      </c>
    </row>
    <row r="8" spans="1:44" s="15" customFormat="1">
      <c r="A8" s="335" t="s">
        <v>388</v>
      </c>
      <c r="B8" s="283"/>
      <c r="C8" s="58" t="s">
        <v>1</v>
      </c>
      <c r="D8" s="58" t="s">
        <v>1</v>
      </c>
      <c r="E8" s="58" t="s">
        <v>1</v>
      </c>
      <c r="F8" s="58" t="s">
        <v>1</v>
      </c>
      <c r="G8" s="58" t="s">
        <v>1</v>
      </c>
      <c r="H8" s="58" t="s">
        <v>1</v>
      </c>
      <c r="I8" s="58" t="s">
        <v>1</v>
      </c>
      <c r="J8" s="58" t="s">
        <v>1</v>
      </c>
      <c r="K8" s="58" t="s">
        <v>1</v>
      </c>
      <c r="L8" s="58" t="s">
        <v>1</v>
      </c>
      <c r="M8" s="58" t="s">
        <v>1</v>
      </c>
      <c r="N8" s="58" t="s">
        <v>1</v>
      </c>
      <c r="O8" s="58" t="s">
        <v>1</v>
      </c>
      <c r="P8" s="58" t="s">
        <v>1</v>
      </c>
      <c r="Q8" s="58" t="s">
        <v>1</v>
      </c>
      <c r="R8" s="58" t="s">
        <v>1</v>
      </c>
      <c r="S8" s="58" t="s">
        <v>1</v>
      </c>
      <c r="T8" s="58" t="s">
        <v>1</v>
      </c>
      <c r="U8" s="58" t="s">
        <v>1</v>
      </c>
      <c r="V8" s="58" t="s">
        <v>1</v>
      </c>
      <c r="W8" s="58" t="s">
        <v>1</v>
      </c>
      <c r="X8" s="36">
        <v>322</v>
      </c>
      <c r="Y8" s="36">
        <v>340.5</v>
      </c>
      <c r="Z8" s="36">
        <v>399.9</v>
      </c>
      <c r="AA8" s="36">
        <v>326.89999999999998</v>
      </c>
      <c r="AB8" s="276">
        <v>373.1</v>
      </c>
      <c r="AC8" s="376" t="s">
        <v>70</v>
      </c>
      <c r="AD8" s="376" t="s">
        <v>94</v>
      </c>
      <c r="AE8" s="381">
        <v>786.4</v>
      </c>
      <c r="AF8" s="339">
        <v>825.26264500000002</v>
      </c>
      <c r="AG8" s="339">
        <v>997.47093299999995</v>
      </c>
      <c r="AH8" s="377">
        <v>1119.9498470000001</v>
      </c>
      <c r="AI8" s="378">
        <v>853.6</v>
      </c>
      <c r="AJ8" s="771">
        <v>953.4</v>
      </c>
      <c r="AK8" s="312">
        <v>905.7</v>
      </c>
      <c r="AL8" s="858">
        <v>55.8</v>
      </c>
      <c r="AM8" s="863">
        <v>150.5</v>
      </c>
      <c r="AN8" s="863">
        <v>243.9</v>
      </c>
      <c r="AO8" s="907">
        <v>329.4</v>
      </c>
      <c r="AP8" s="931">
        <v>426.1</v>
      </c>
      <c r="AQ8" s="931">
        <v>625.9</v>
      </c>
      <c r="AR8" s="1082">
        <v>818.1</v>
      </c>
    </row>
    <row r="9" spans="1:44" s="15" customFormat="1">
      <c r="A9" s="335" t="s">
        <v>136</v>
      </c>
      <c r="B9" s="283"/>
      <c r="C9" s="36" t="s">
        <v>1</v>
      </c>
      <c r="D9" s="36" t="s">
        <v>1</v>
      </c>
      <c r="E9" s="36" t="s">
        <v>1</v>
      </c>
      <c r="F9" s="36" t="s">
        <v>1</v>
      </c>
      <c r="G9" s="36" t="s">
        <v>1</v>
      </c>
      <c r="H9" s="36" t="s">
        <v>1</v>
      </c>
      <c r="I9" s="36" t="s">
        <v>1</v>
      </c>
      <c r="J9" s="36" t="s">
        <v>1</v>
      </c>
      <c r="K9" s="36" t="s">
        <v>1</v>
      </c>
      <c r="L9" s="36" t="s">
        <v>1</v>
      </c>
      <c r="M9" s="36" t="s">
        <v>1</v>
      </c>
      <c r="N9" s="36" t="s">
        <v>1</v>
      </c>
      <c r="O9" s="36" t="s">
        <v>1</v>
      </c>
      <c r="P9" s="36" t="s">
        <v>1</v>
      </c>
      <c r="Q9" s="36" t="s">
        <v>1</v>
      </c>
      <c r="R9" s="36" t="s">
        <v>1</v>
      </c>
      <c r="S9" s="36" t="s">
        <v>1</v>
      </c>
      <c r="T9" s="36" t="s">
        <v>1</v>
      </c>
      <c r="U9" s="36" t="s">
        <v>1</v>
      </c>
      <c r="V9" s="36" t="s">
        <v>1</v>
      </c>
      <c r="W9" s="36" t="s">
        <v>1</v>
      </c>
      <c r="X9" s="36">
        <v>219.2</v>
      </c>
      <c r="Y9" s="36">
        <v>224.1</v>
      </c>
      <c r="Z9" s="36">
        <v>269</v>
      </c>
      <c r="AA9" s="36">
        <v>329.1</v>
      </c>
      <c r="AB9" s="276">
        <v>315.10000000000002</v>
      </c>
      <c r="AC9" s="376" t="s">
        <v>71</v>
      </c>
      <c r="AD9" s="376" t="s">
        <v>95</v>
      </c>
      <c r="AE9" s="381">
        <v>486.8</v>
      </c>
      <c r="AF9" s="339">
        <v>443.71698199999997</v>
      </c>
      <c r="AG9" s="339">
        <v>486.24361399999998</v>
      </c>
      <c r="AH9" s="377">
        <v>731.89121799999998</v>
      </c>
      <c r="AI9" s="378">
        <v>1449.5</v>
      </c>
      <c r="AJ9" s="771">
        <v>1256.0999999999999</v>
      </c>
      <c r="AK9" s="312">
        <v>2380.5</v>
      </c>
      <c r="AL9" s="858">
        <v>73.400000000000006</v>
      </c>
      <c r="AM9" s="863">
        <v>138.6</v>
      </c>
      <c r="AN9" s="863">
        <v>254.7</v>
      </c>
      <c r="AO9" s="907">
        <v>377.6</v>
      </c>
      <c r="AP9" s="932">
        <v>508</v>
      </c>
      <c r="AQ9" s="932">
        <v>631.29999999999995</v>
      </c>
      <c r="AR9" s="1082">
        <v>749.4</v>
      </c>
    </row>
    <row r="10" spans="1:44" s="15" customFormat="1">
      <c r="A10" s="335" t="s">
        <v>112</v>
      </c>
      <c r="B10" s="283"/>
      <c r="C10" s="58" t="s">
        <v>1</v>
      </c>
      <c r="D10" s="58" t="s">
        <v>1</v>
      </c>
      <c r="E10" s="58" t="s">
        <v>1</v>
      </c>
      <c r="F10" s="58" t="s">
        <v>1</v>
      </c>
      <c r="G10" s="58" t="s">
        <v>1</v>
      </c>
      <c r="H10" s="58" t="s">
        <v>1</v>
      </c>
      <c r="I10" s="58" t="s">
        <v>1</v>
      </c>
      <c r="J10" s="58" t="s">
        <v>1</v>
      </c>
      <c r="K10" s="58" t="s">
        <v>1</v>
      </c>
      <c r="L10" s="58" t="s">
        <v>1</v>
      </c>
      <c r="M10" s="58" t="s">
        <v>1</v>
      </c>
      <c r="N10" s="58" t="s">
        <v>1</v>
      </c>
      <c r="O10" s="58" t="s">
        <v>1</v>
      </c>
      <c r="P10" s="58" t="s">
        <v>1</v>
      </c>
      <c r="Q10" s="58" t="s">
        <v>1</v>
      </c>
      <c r="R10" s="58" t="s">
        <v>1</v>
      </c>
      <c r="S10" s="58" t="s">
        <v>1</v>
      </c>
      <c r="T10" s="58" t="s">
        <v>1</v>
      </c>
      <c r="U10" s="58" t="s">
        <v>1</v>
      </c>
      <c r="V10" s="58" t="s">
        <v>1</v>
      </c>
      <c r="W10" s="58" t="s">
        <v>1</v>
      </c>
      <c r="X10" s="58" t="s">
        <v>1</v>
      </c>
      <c r="Y10" s="58" t="s">
        <v>1</v>
      </c>
      <c r="Z10" s="36">
        <v>0.2</v>
      </c>
      <c r="AA10" s="36">
        <v>0.2</v>
      </c>
      <c r="AB10" s="276">
        <v>5.6</v>
      </c>
      <c r="AC10" s="376" t="s">
        <v>72</v>
      </c>
      <c r="AD10" s="376" t="s">
        <v>96</v>
      </c>
      <c r="AE10" s="381">
        <v>25.4</v>
      </c>
      <c r="AF10" s="339">
        <v>16.651233999999999</v>
      </c>
      <c r="AG10" s="339">
        <v>17.016829000000001</v>
      </c>
      <c r="AH10" s="377">
        <v>118.502886</v>
      </c>
      <c r="AI10" s="378">
        <v>54.3</v>
      </c>
      <c r="AJ10" s="771">
        <v>237</v>
      </c>
      <c r="AK10" s="312">
        <v>105.2</v>
      </c>
      <c r="AL10" s="858">
        <v>4.9000000000000004</v>
      </c>
      <c r="AM10" s="863">
        <v>12.8</v>
      </c>
      <c r="AN10" s="863">
        <v>20.9</v>
      </c>
      <c r="AO10" s="907">
        <v>30</v>
      </c>
      <c r="AP10" s="932">
        <v>38</v>
      </c>
      <c r="AQ10" s="932">
        <v>47.4</v>
      </c>
      <c r="AR10" s="1082">
        <v>54.2</v>
      </c>
    </row>
    <row r="11" spans="1:44" s="15" customFormat="1">
      <c r="A11" s="335" t="s">
        <v>113</v>
      </c>
      <c r="B11" s="283"/>
      <c r="C11" s="58" t="s">
        <v>1</v>
      </c>
      <c r="D11" s="58" t="s">
        <v>1</v>
      </c>
      <c r="E11" s="58" t="s">
        <v>1</v>
      </c>
      <c r="F11" s="58" t="s">
        <v>1</v>
      </c>
      <c r="G11" s="58" t="s">
        <v>1</v>
      </c>
      <c r="H11" s="58" t="s">
        <v>1</v>
      </c>
      <c r="I11" s="58" t="s">
        <v>1</v>
      </c>
      <c r="J11" s="58" t="s">
        <v>1</v>
      </c>
      <c r="K11" s="58" t="s">
        <v>1</v>
      </c>
      <c r="L11" s="58" t="s">
        <v>1</v>
      </c>
      <c r="M11" s="58" t="s">
        <v>1</v>
      </c>
      <c r="N11" s="58" t="s">
        <v>1</v>
      </c>
      <c r="O11" s="58" t="s">
        <v>1</v>
      </c>
      <c r="P11" s="58" t="s">
        <v>1</v>
      </c>
      <c r="Q11" s="58" t="s">
        <v>1</v>
      </c>
      <c r="R11" s="58" t="s">
        <v>1</v>
      </c>
      <c r="S11" s="58" t="s">
        <v>1</v>
      </c>
      <c r="T11" s="58" t="s">
        <v>1</v>
      </c>
      <c r="U11" s="58" t="s">
        <v>1</v>
      </c>
      <c r="V11" s="58" t="s">
        <v>1</v>
      </c>
      <c r="W11" s="58" t="s">
        <v>1</v>
      </c>
      <c r="X11" s="36">
        <v>115.7</v>
      </c>
      <c r="Y11" s="36">
        <v>137</v>
      </c>
      <c r="Z11" s="36">
        <v>178.1</v>
      </c>
      <c r="AA11" s="36">
        <v>114.9</v>
      </c>
      <c r="AB11" s="276">
        <v>173.7</v>
      </c>
      <c r="AC11" s="376" t="s">
        <v>73</v>
      </c>
      <c r="AD11" s="376" t="s">
        <v>97</v>
      </c>
      <c r="AE11" s="381">
        <v>300.8</v>
      </c>
      <c r="AF11" s="339">
        <v>315.503018</v>
      </c>
      <c r="AG11" s="339">
        <v>413.85145399999999</v>
      </c>
      <c r="AH11" s="377">
        <v>653.14331500000003</v>
      </c>
      <c r="AI11" s="378">
        <v>552.70000000000005</v>
      </c>
      <c r="AJ11" s="771">
        <v>1196.7</v>
      </c>
      <c r="AK11" s="312">
        <v>1009.4</v>
      </c>
      <c r="AL11" s="858">
        <v>40.5</v>
      </c>
      <c r="AM11" s="863">
        <v>85.4</v>
      </c>
      <c r="AN11" s="863">
        <v>135.80000000000001</v>
      </c>
      <c r="AO11" s="907">
        <v>185.9</v>
      </c>
      <c r="AP11" s="931">
        <v>237.9</v>
      </c>
      <c r="AQ11" s="931">
        <v>313.10000000000002</v>
      </c>
      <c r="AR11" s="1082">
        <v>389.8</v>
      </c>
    </row>
    <row r="12" spans="1:44" s="15" customFormat="1">
      <c r="A12" s="343" t="s">
        <v>102</v>
      </c>
      <c r="B12" s="373" t="s">
        <v>74</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82"/>
      <c r="AE12" s="34"/>
      <c r="AF12" s="339"/>
      <c r="AG12" s="339"/>
      <c r="AH12" s="377"/>
      <c r="AI12" s="383"/>
      <c r="AJ12" s="771"/>
      <c r="AK12" s="6"/>
      <c r="AL12" s="860"/>
      <c r="AM12" s="863"/>
      <c r="AN12" s="863"/>
      <c r="AO12" s="907"/>
      <c r="AP12" s="931"/>
      <c r="AQ12" s="931"/>
      <c r="AR12" s="1082"/>
    </row>
    <row r="13" spans="1:44" s="15" customFormat="1">
      <c r="A13" s="333" t="s">
        <v>108</v>
      </c>
      <c r="B13" s="283"/>
      <c r="C13" s="36">
        <v>83.8</v>
      </c>
      <c r="D13" s="36">
        <v>57.4</v>
      </c>
      <c r="E13" s="36">
        <v>88.9</v>
      </c>
      <c r="F13" s="36">
        <v>58.3</v>
      </c>
      <c r="G13" s="36">
        <v>136.5</v>
      </c>
      <c r="H13" s="36">
        <v>172.7</v>
      </c>
      <c r="I13" s="36">
        <v>180.1</v>
      </c>
      <c r="J13" s="36">
        <v>122.9</v>
      </c>
      <c r="K13" s="36">
        <v>97.5</v>
      </c>
      <c r="L13" s="36">
        <v>98.8</v>
      </c>
      <c r="M13" s="36">
        <v>112.4</v>
      </c>
      <c r="N13" s="36">
        <v>108</v>
      </c>
      <c r="O13" s="36">
        <v>107.2</v>
      </c>
      <c r="P13" s="36">
        <v>126.4</v>
      </c>
      <c r="Q13" s="36">
        <v>116.2</v>
      </c>
      <c r="R13" s="36">
        <v>115</v>
      </c>
      <c r="S13" s="36">
        <v>104.5</v>
      </c>
      <c r="T13" s="36">
        <v>97.6</v>
      </c>
      <c r="U13" s="36">
        <v>84</v>
      </c>
      <c r="V13" s="36">
        <v>101.1</v>
      </c>
      <c r="W13" s="36">
        <v>101.4</v>
      </c>
      <c r="X13" s="36">
        <v>111.8</v>
      </c>
      <c r="Y13" s="36">
        <v>110.2</v>
      </c>
      <c r="Z13" s="36">
        <v>108.1</v>
      </c>
      <c r="AA13" s="36">
        <v>102.5</v>
      </c>
      <c r="AB13" s="46">
        <v>100</v>
      </c>
      <c r="AC13" s="34">
        <v>103.4</v>
      </c>
      <c r="AD13" s="34">
        <v>108.3</v>
      </c>
      <c r="AE13" s="339">
        <v>111.2</v>
      </c>
      <c r="AF13" s="339">
        <v>94.6</v>
      </c>
      <c r="AG13" s="339">
        <v>109.4</v>
      </c>
      <c r="AH13" s="377">
        <v>111.6</v>
      </c>
      <c r="AI13" s="383">
        <v>106.4</v>
      </c>
      <c r="AJ13" s="774">
        <v>115.7</v>
      </c>
      <c r="AK13" s="354">
        <v>112.6</v>
      </c>
      <c r="AL13" s="862">
        <v>100.3</v>
      </c>
      <c r="AM13" s="863">
        <v>102.4</v>
      </c>
      <c r="AN13" s="863">
        <v>102.5</v>
      </c>
      <c r="AO13" s="907">
        <v>103</v>
      </c>
      <c r="AP13" s="933">
        <v>103.2</v>
      </c>
      <c r="AQ13" s="933">
        <v>103.6</v>
      </c>
      <c r="AR13" s="1083">
        <v>104</v>
      </c>
    </row>
    <row r="14" spans="1:44" s="15" customFormat="1">
      <c r="A14" s="335" t="s">
        <v>109</v>
      </c>
      <c r="B14" s="283"/>
      <c r="C14" s="58" t="s">
        <v>1</v>
      </c>
      <c r="D14" s="58" t="s">
        <v>1</v>
      </c>
      <c r="E14" s="58" t="s">
        <v>1</v>
      </c>
      <c r="F14" s="58" t="s">
        <v>1</v>
      </c>
      <c r="G14" s="58" t="s">
        <v>1</v>
      </c>
      <c r="H14" s="58" t="s">
        <v>1</v>
      </c>
      <c r="I14" s="58" t="s">
        <v>1</v>
      </c>
      <c r="J14" s="58" t="s">
        <v>1</v>
      </c>
      <c r="K14" s="58" t="s">
        <v>1</v>
      </c>
      <c r="L14" s="58" t="s">
        <v>1</v>
      </c>
      <c r="M14" s="58" t="s">
        <v>1</v>
      </c>
      <c r="N14" s="58" t="s">
        <v>1</v>
      </c>
      <c r="O14" s="58" t="s">
        <v>1</v>
      </c>
      <c r="P14" s="58" t="s">
        <v>1</v>
      </c>
      <c r="Q14" s="58" t="s">
        <v>1</v>
      </c>
      <c r="R14" s="58" t="s">
        <v>1</v>
      </c>
      <c r="S14" s="58" t="s">
        <v>1</v>
      </c>
      <c r="T14" s="58" t="s">
        <v>1</v>
      </c>
      <c r="U14" s="58" t="s">
        <v>1</v>
      </c>
      <c r="V14" s="58" t="s">
        <v>1</v>
      </c>
      <c r="W14" s="58" t="s">
        <v>1</v>
      </c>
      <c r="X14" s="36">
        <v>107</v>
      </c>
      <c r="Y14" s="36">
        <v>120.4</v>
      </c>
      <c r="Z14" s="36">
        <v>93.4</v>
      </c>
      <c r="AA14" s="36">
        <v>132.6</v>
      </c>
      <c r="AB14" s="46">
        <v>108.6</v>
      </c>
      <c r="AC14" s="339">
        <v>109.7</v>
      </c>
      <c r="AD14" s="339">
        <v>106.7</v>
      </c>
      <c r="AE14" s="339">
        <v>103.5</v>
      </c>
      <c r="AF14" s="339">
        <v>86.7</v>
      </c>
      <c r="AG14" s="339">
        <v>100.1</v>
      </c>
      <c r="AH14" s="377">
        <v>83.3</v>
      </c>
      <c r="AI14" s="383">
        <v>107.3</v>
      </c>
      <c r="AJ14" s="774">
        <v>112.8</v>
      </c>
      <c r="AK14" s="354">
        <v>101.4</v>
      </c>
      <c r="AL14" s="862">
        <v>94.4</v>
      </c>
      <c r="AM14" s="863">
        <v>97.5</v>
      </c>
      <c r="AN14" s="863">
        <v>97.9</v>
      </c>
      <c r="AO14" s="907">
        <v>100.2</v>
      </c>
      <c r="AP14" s="933">
        <v>101.7</v>
      </c>
      <c r="AQ14" s="933">
        <v>102.8</v>
      </c>
      <c r="AR14" s="1083">
        <v>101.1</v>
      </c>
    </row>
    <row r="15" spans="1:44" s="15" customFormat="1">
      <c r="A15" s="335" t="s">
        <v>135</v>
      </c>
      <c r="B15" s="283"/>
      <c r="C15" s="36" t="s">
        <v>1</v>
      </c>
      <c r="D15" s="36" t="s">
        <v>1</v>
      </c>
      <c r="E15" s="36" t="s">
        <v>1</v>
      </c>
      <c r="F15" s="36" t="s">
        <v>1</v>
      </c>
      <c r="G15" s="36" t="s">
        <v>1</v>
      </c>
      <c r="H15" s="36" t="s">
        <v>1</v>
      </c>
      <c r="I15" s="36" t="s">
        <v>1</v>
      </c>
      <c r="J15" s="36" t="s">
        <v>1</v>
      </c>
      <c r="K15" s="36" t="s">
        <v>1</v>
      </c>
      <c r="L15" s="36" t="s">
        <v>1</v>
      </c>
      <c r="M15" s="36" t="s">
        <v>1</v>
      </c>
      <c r="N15" s="36" t="s">
        <v>1</v>
      </c>
      <c r="O15" s="36" t="s">
        <v>1</v>
      </c>
      <c r="P15" s="36" t="s">
        <v>1</v>
      </c>
      <c r="Q15" s="36" t="s">
        <v>1</v>
      </c>
      <c r="R15" s="36" t="s">
        <v>1</v>
      </c>
      <c r="S15" s="36" t="s">
        <v>1</v>
      </c>
      <c r="T15" s="36" t="s">
        <v>1</v>
      </c>
      <c r="U15" s="36" t="s">
        <v>1</v>
      </c>
      <c r="V15" s="36" t="s">
        <v>1</v>
      </c>
      <c r="W15" s="36" t="s">
        <v>1</v>
      </c>
      <c r="X15" s="36">
        <v>93.6</v>
      </c>
      <c r="Y15" s="36">
        <v>105.3</v>
      </c>
      <c r="Z15" s="36">
        <v>160.6</v>
      </c>
      <c r="AA15" s="36">
        <v>110.1</v>
      </c>
      <c r="AB15" s="46">
        <v>56.4</v>
      </c>
      <c r="AC15" s="339">
        <v>152.9</v>
      </c>
      <c r="AD15" s="339">
        <v>114.1</v>
      </c>
      <c r="AE15" s="339">
        <v>100</v>
      </c>
      <c r="AF15" s="339">
        <v>90.2</v>
      </c>
      <c r="AG15" s="339">
        <v>108.1</v>
      </c>
      <c r="AH15" s="377">
        <v>120.3</v>
      </c>
      <c r="AI15" s="383">
        <v>122.8</v>
      </c>
      <c r="AJ15" s="774">
        <v>120.7</v>
      </c>
      <c r="AK15" s="354">
        <v>88.4</v>
      </c>
      <c r="AL15" s="862">
        <v>100.3</v>
      </c>
      <c r="AM15" s="863">
        <v>105.1</v>
      </c>
      <c r="AN15" s="863">
        <v>103.8</v>
      </c>
      <c r="AO15" s="907">
        <v>102.2</v>
      </c>
      <c r="AP15" s="933">
        <v>101</v>
      </c>
      <c r="AQ15" s="933">
        <v>102.2</v>
      </c>
      <c r="AR15" s="1083">
        <v>100.5</v>
      </c>
    </row>
    <row r="16" spans="1:44" s="15" customFormat="1">
      <c r="A16" s="335" t="s">
        <v>235</v>
      </c>
      <c r="B16" s="283"/>
      <c r="C16" s="36" t="s">
        <v>1</v>
      </c>
      <c r="D16" s="36" t="s">
        <v>1</v>
      </c>
      <c r="E16" s="36" t="s">
        <v>1</v>
      </c>
      <c r="F16" s="36" t="s">
        <v>1</v>
      </c>
      <c r="G16" s="36" t="s">
        <v>1</v>
      </c>
      <c r="H16" s="36" t="s">
        <v>1</v>
      </c>
      <c r="I16" s="36" t="s">
        <v>1</v>
      </c>
      <c r="J16" s="36" t="s">
        <v>1</v>
      </c>
      <c r="K16" s="36" t="s">
        <v>1</v>
      </c>
      <c r="L16" s="36" t="s">
        <v>1</v>
      </c>
      <c r="M16" s="36" t="s">
        <v>1</v>
      </c>
      <c r="N16" s="36" t="s">
        <v>1</v>
      </c>
      <c r="O16" s="36" t="s">
        <v>1</v>
      </c>
      <c r="P16" s="36" t="s">
        <v>1</v>
      </c>
      <c r="Q16" s="36" t="s">
        <v>1</v>
      </c>
      <c r="R16" s="36" t="s">
        <v>1</v>
      </c>
      <c r="S16" s="36" t="s">
        <v>1</v>
      </c>
      <c r="T16" s="36" t="s">
        <v>1</v>
      </c>
      <c r="U16" s="36" t="s">
        <v>1</v>
      </c>
      <c r="V16" s="36" t="s">
        <v>1</v>
      </c>
      <c r="W16" s="36" t="s">
        <v>1</v>
      </c>
      <c r="X16" s="36">
        <v>104.8</v>
      </c>
      <c r="Y16" s="36">
        <v>93.7</v>
      </c>
      <c r="Z16" s="36">
        <v>135</v>
      </c>
      <c r="AA16" s="36">
        <v>117.9</v>
      </c>
      <c r="AB16" s="46">
        <v>101.1</v>
      </c>
      <c r="AC16" s="339">
        <v>82.1</v>
      </c>
      <c r="AD16" s="339">
        <v>105.1</v>
      </c>
      <c r="AE16" s="339">
        <v>100.1</v>
      </c>
      <c r="AF16" s="339">
        <v>129.69999999999999</v>
      </c>
      <c r="AG16" s="339">
        <v>102.3</v>
      </c>
      <c r="AH16" s="377">
        <v>117.7</v>
      </c>
      <c r="AI16" s="383">
        <v>80.2</v>
      </c>
      <c r="AJ16" s="774">
        <v>124.5</v>
      </c>
      <c r="AK16" s="354">
        <v>128.30000000000001</v>
      </c>
      <c r="AL16" s="862">
        <v>100.1</v>
      </c>
      <c r="AM16" s="863">
        <v>108.4</v>
      </c>
      <c r="AN16" s="863">
        <v>109.5</v>
      </c>
      <c r="AO16" s="907">
        <v>104.3</v>
      </c>
      <c r="AP16" s="933">
        <v>103.5</v>
      </c>
      <c r="AQ16" s="933">
        <v>103.7</v>
      </c>
      <c r="AR16" s="1083">
        <v>103.6</v>
      </c>
    </row>
    <row r="17" spans="1:44" s="15" customFormat="1">
      <c r="A17" s="335" t="s">
        <v>111</v>
      </c>
      <c r="B17" s="283"/>
      <c r="C17" s="58" t="s">
        <v>1</v>
      </c>
      <c r="D17" s="58" t="s">
        <v>1</v>
      </c>
      <c r="E17" s="58" t="s">
        <v>1</v>
      </c>
      <c r="F17" s="58" t="s">
        <v>1</v>
      </c>
      <c r="G17" s="58" t="s">
        <v>1</v>
      </c>
      <c r="H17" s="58" t="s">
        <v>1</v>
      </c>
      <c r="I17" s="58" t="s">
        <v>1</v>
      </c>
      <c r="J17" s="58" t="s">
        <v>1</v>
      </c>
      <c r="K17" s="58" t="s">
        <v>1</v>
      </c>
      <c r="L17" s="58" t="s">
        <v>1</v>
      </c>
      <c r="M17" s="58" t="s">
        <v>1</v>
      </c>
      <c r="N17" s="58" t="s">
        <v>1</v>
      </c>
      <c r="O17" s="58" t="s">
        <v>1</v>
      </c>
      <c r="P17" s="58" t="s">
        <v>1</v>
      </c>
      <c r="Q17" s="58" t="s">
        <v>1</v>
      </c>
      <c r="R17" s="58" t="s">
        <v>1</v>
      </c>
      <c r="S17" s="58" t="s">
        <v>1</v>
      </c>
      <c r="T17" s="58" t="s">
        <v>1</v>
      </c>
      <c r="U17" s="58" t="s">
        <v>1</v>
      </c>
      <c r="V17" s="58" t="s">
        <v>1</v>
      </c>
      <c r="W17" s="58" t="s">
        <v>1</v>
      </c>
      <c r="X17" s="36">
        <v>99.1</v>
      </c>
      <c r="Y17" s="36">
        <v>137.9</v>
      </c>
      <c r="Z17" s="36">
        <v>79.599999999999994</v>
      </c>
      <c r="AA17" s="36">
        <v>113.7</v>
      </c>
      <c r="AB17" s="46">
        <v>145.80000000000001</v>
      </c>
      <c r="AC17" s="339">
        <v>85.2</v>
      </c>
      <c r="AD17" s="339">
        <v>104.3</v>
      </c>
      <c r="AE17" s="339">
        <v>101.1</v>
      </c>
      <c r="AF17" s="339">
        <v>90.6</v>
      </c>
      <c r="AG17" s="339">
        <v>126</v>
      </c>
      <c r="AH17" s="377">
        <v>113.6</v>
      </c>
      <c r="AI17" s="383">
        <v>149.6</v>
      </c>
      <c r="AJ17" s="774">
        <v>109</v>
      </c>
      <c r="AK17" s="354">
        <v>124.5</v>
      </c>
      <c r="AL17" s="862">
        <v>100</v>
      </c>
      <c r="AM17" s="863">
        <v>100.5</v>
      </c>
      <c r="AN17" s="863">
        <v>100.4</v>
      </c>
      <c r="AO17" s="907">
        <v>103.5</v>
      </c>
      <c r="AP17" s="933">
        <v>103.9</v>
      </c>
      <c r="AQ17" s="933">
        <v>104</v>
      </c>
      <c r="AR17" s="1083">
        <v>104</v>
      </c>
    </row>
    <row r="18" spans="1:44" s="15" customFormat="1">
      <c r="A18" s="335" t="s">
        <v>388</v>
      </c>
      <c r="B18" s="283"/>
      <c r="C18" s="36" t="s">
        <v>1</v>
      </c>
      <c r="D18" s="36" t="s">
        <v>1</v>
      </c>
      <c r="E18" s="36" t="s">
        <v>1</v>
      </c>
      <c r="F18" s="36" t="s">
        <v>1</v>
      </c>
      <c r="G18" s="36" t="s">
        <v>1</v>
      </c>
      <c r="H18" s="36" t="s">
        <v>1</v>
      </c>
      <c r="I18" s="36" t="s">
        <v>1</v>
      </c>
      <c r="J18" s="36" t="s">
        <v>1</v>
      </c>
      <c r="K18" s="36" t="s">
        <v>1</v>
      </c>
      <c r="L18" s="36" t="s">
        <v>1</v>
      </c>
      <c r="M18" s="36" t="s">
        <v>1</v>
      </c>
      <c r="N18" s="36" t="s">
        <v>1</v>
      </c>
      <c r="O18" s="36" t="s">
        <v>1</v>
      </c>
      <c r="P18" s="36" t="s">
        <v>1</v>
      </c>
      <c r="Q18" s="36" t="s">
        <v>1</v>
      </c>
      <c r="R18" s="36" t="s">
        <v>1</v>
      </c>
      <c r="S18" s="36" t="s">
        <v>1</v>
      </c>
      <c r="T18" s="36" t="s">
        <v>1</v>
      </c>
      <c r="U18" s="36" t="s">
        <v>1</v>
      </c>
      <c r="V18" s="36" t="s">
        <v>1</v>
      </c>
      <c r="W18" s="36" t="s">
        <v>1</v>
      </c>
      <c r="X18" s="36">
        <v>124.5</v>
      </c>
      <c r="Y18" s="36">
        <v>103.1</v>
      </c>
      <c r="Z18" s="36">
        <v>107.7</v>
      </c>
      <c r="AA18" s="36">
        <v>76.900000000000006</v>
      </c>
      <c r="AB18" s="46">
        <v>92.9</v>
      </c>
      <c r="AC18" s="339">
        <v>114.5</v>
      </c>
      <c r="AD18" s="339">
        <v>110.8</v>
      </c>
      <c r="AE18" s="339">
        <v>134.19999999999999</v>
      </c>
      <c r="AF18" s="339">
        <v>97.9</v>
      </c>
      <c r="AG18" s="339">
        <v>112.2</v>
      </c>
      <c r="AH18" s="377">
        <v>97.8</v>
      </c>
      <c r="AI18" s="383">
        <v>66.7</v>
      </c>
      <c r="AJ18" s="774">
        <v>104.4</v>
      </c>
      <c r="AK18" s="354">
        <v>88.1</v>
      </c>
      <c r="AL18" s="862">
        <v>100.2</v>
      </c>
      <c r="AM18" s="863">
        <v>100.8</v>
      </c>
      <c r="AN18" s="863">
        <v>101.6</v>
      </c>
      <c r="AO18" s="907">
        <v>102.6</v>
      </c>
      <c r="AP18" s="933">
        <v>103.2</v>
      </c>
      <c r="AQ18" s="933">
        <v>103.3</v>
      </c>
      <c r="AR18" s="1083">
        <v>109.1</v>
      </c>
    </row>
    <row r="19" spans="1:44" s="15" customFormat="1">
      <c r="A19" s="335" t="s">
        <v>136</v>
      </c>
      <c r="B19" s="283"/>
      <c r="C19" s="58" t="s">
        <v>1</v>
      </c>
      <c r="D19" s="58" t="s">
        <v>1</v>
      </c>
      <c r="E19" s="58" t="s">
        <v>1</v>
      </c>
      <c r="F19" s="58" t="s">
        <v>1</v>
      </c>
      <c r="G19" s="58" t="s">
        <v>1</v>
      </c>
      <c r="H19" s="58" t="s">
        <v>1</v>
      </c>
      <c r="I19" s="58" t="s">
        <v>1</v>
      </c>
      <c r="J19" s="58" t="s">
        <v>1</v>
      </c>
      <c r="K19" s="58" t="s">
        <v>1</v>
      </c>
      <c r="L19" s="58" t="s">
        <v>1</v>
      </c>
      <c r="M19" s="58" t="s">
        <v>1</v>
      </c>
      <c r="N19" s="58" t="s">
        <v>1</v>
      </c>
      <c r="O19" s="58" t="s">
        <v>1</v>
      </c>
      <c r="P19" s="58" t="s">
        <v>1</v>
      </c>
      <c r="Q19" s="58" t="s">
        <v>1</v>
      </c>
      <c r="R19" s="58" t="s">
        <v>1</v>
      </c>
      <c r="S19" s="58" t="s">
        <v>1</v>
      </c>
      <c r="T19" s="58" t="s">
        <v>1</v>
      </c>
      <c r="U19" s="58" t="s">
        <v>1</v>
      </c>
      <c r="V19" s="58" t="s">
        <v>1</v>
      </c>
      <c r="W19" s="58" t="s">
        <v>1</v>
      </c>
      <c r="X19" s="36">
        <v>114.8</v>
      </c>
      <c r="Y19" s="36">
        <v>99.6</v>
      </c>
      <c r="Z19" s="36">
        <v>112</v>
      </c>
      <c r="AA19" s="36">
        <v>115.2</v>
      </c>
      <c r="AB19" s="46">
        <v>77.900000000000006</v>
      </c>
      <c r="AC19" s="339">
        <v>95.2</v>
      </c>
      <c r="AD19" s="339">
        <v>104.1</v>
      </c>
      <c r="AE19" s="339">
        <v>125.8</v>
      </c>
      <c r="AF19" s="339">
        <v>85</v>
      </c>
      <c r="AG19" s="339">
        <v>101.7</v>
      </c>
      <c r="AH19" s="377">
        <v>131.1</v>
      </c>
      <c r="AI19" s="383">
        <v>173.3</v>
      </c>
      <c r="AJ19" s="774">
        <v>81</v>
      </c>
      <c r="AK19" s="354">
        <v>175.8</v>
      </c>
      <c r="AL19" s="862">
        <v>105.5</v>
      </c>
      <c r="AM19" s="863">
        <v>100.1</v>
      </c>
      <c r="AN19" s="863">
        <v>100.2</v>
      </c>
      <c r="AO19" s="907">
        <v>101.6</v>
      </c>
      <c r="AP19" s="933">
        <v>101.8</v>
      </c>
      <c r="AQ19" s="933">
        <v>102.1</v>
      </c>
      <c r="AR19" s="1083">
        <v>101.4</v>
      </c>
    </row>
    <row r="20" spans="1:44" s="15" customFormat="1" ht="25.5">
      <c r="A20" s="335" t="s">
        <v>112</v>
      </c>
      <c r="B20" s="283"/>
      <c r="C20" s="36" t="s">
        <v>1</v>
      </c>
      <c r="D20" s="36" t="s">
        <v>1</v>
      </c>
      <c r="E20" s="36" t="s">
        <v>1</v>
      </c>
      <c r="F20" s="36" t="s">
        <v>1</v>
      </c>
      <c r="G20" s="36" t="s">
        <v>1</v>
      </c>
      <c r="H20" s="36" t="s">
        <v>1</v>
      </c>
      <c r="I20" s="36" t="s">
        <v>1</v>
      </c>
      <c r="J20" s="36" t="s">
        <v>1</v>
      </c>
      <c r="K20" s="36" t="s">
        <v>1</v>
      </c>
      <c r="L20" s="36" t="s">
        <v>1</v>
      </c>
      <c r="M20" s="36" t="s">
        <v>1</v>
      </c>
      <c r="N20" s="36" t="s">
        <v>1</v>
      </c>
      <c r="O20" s="36" t="s">
        <v>1</v>
      </c>
      <c r="P20" s="36" t="s">
        <v>1</v>
      </c>
      <c r="Q20" s="36" t="s">
        <v>1</v>
      </c>
      <c r="R20" s="36" t="s">
        <v>1</v>
      </c>
      <c r="S20" s="36" t="s">
        <v>1</v>
      </c>
      <c r="T20" s="36" t="s">
        <v>1</v>
      </c>
      <c r="U20" s="36" t="s">
        <v>1</v>
      </c>
      <c r="V20" s="36" t="s">
        <v>1</v>
      </c>
      <c r="W20" s="36" t="s">
        <v>1</v>
      </c>
      <c r="X20" s="36" t="s">
        <v>1</v>
      </c>
      <c r="Y20" s="36" t="s">
        <v>1</v>
      </c>
      <c r="Z20" s="36">
        <v>5.9</v>
      </c>
      <c r="AA20" s="36">
        <v>123.7</v>
      </c>
      <c r="AB20" s="46">
        <v>2038.6</v>
      </c>
      <c r="AC20" s="339">
        <v>190</v>
      </c>
      <c r="AD20" s="339">
        <v>126.9</v>
      </c>
      <c r="AE20" s="339">
        <v>150.69999999999999</v>
      </c>
      <c r="AF20" s="339">
        <v>61.1</v>
      </c>
      <c r="AG20" s="339">
        <v>94.9</v>
      </c>
      <c r="AH20" s="384" t="s">
        <v>368</v>
      </c>
      <c r="AI20" s="383">
        <v>40.1</v>
      </c>
      <c r="AJ20" s="774">
        <v>407.7</v>
      </c>
      <c r="AK20" s="354">
        <v>41.2</v>
      </c>
      <c r="AL20" s="862">
        <v>100.4</v>
      </c>
      <c r="AM20" s="863">
        <v>140.6</v>
      </c>
      <c r="AN20" s="863">
        <v>160.19999999999999</v>
      </c>
      <c r="AO20" s="907">
        <v>170.3</v>
      </c>
      <c r="AP20" s="933">
        <v>165.5</v>
      </c>
      <c r="AQ20" s="933">
        <v>166.3</v>
      </c>
      <c r="AR20" s="1083">
        <v>160.9</v>
      </c>
    </row>
    <row r="21" spans="1:44" s="15" customFormat="1">
      <c r="A21" s="335" t="s">
        <v>113</v>
      </c>
      <c r="B21" s="283"/>
      <c r="C21" s="58" t="s">
        <v>1</v>
      </c>
      <c r="D21" s="58" t="s">
        <v>1</v>
      </c>
      <c r="E21" s="58" t="s">
        <v>1</v>
      </c>
      <c r="F21" s="58" t="s">
        <v>1</v>
      </c>
      <c r="G21" s="58" t="s">
        <v>1</v>
      </c>
      <c r="H21" s="58" t="s">
        <v>1</v>
      </c>
      <c r="I21" s="58" t="s">
        <v>1</v>
      </c>
      <c r="J21" s="58" t="s">
        <v>1</v>
      </c>
      <c r="K21" s="58" t="s">
        <v>1</v>
      </c>
      <c r="L21" s="58" t="s">
        <v>1</v>
      </c>
      <c r="M21" s="58" t="s">
        <v>1</v>
      </c>
      <c r="N21" s="58" t="s">
        <v>1</v>
      </c>
      <c r="O21" s="58" t="s">
        <v>1</v>
      </c>
      <c r="P21" s="58" t="s">
        <v>1</v>
      </c>
      <c r="Q21" s="58" t="s">
        <v>1</v>
      </c>
      <c r="R21" s="58" t="s">
        <v>1</v>
      </c>
      <c r="S21" s="58" t="s">
        <v>1</v>
      </c>
      <c r="T21" s="58" t="s">
        <v>1</v>
      </c>
      <c r="U21" s="58" t="s">
        <v>1</v>
      </c>
      <c r="V21" s="58" t="s">
        <v>1</v>
      </c>
      <c r="W21" s="58" t="s">
        <v>1</v>
      </c>
      <c r="X21" s="36">
        <v>128.6</v>
      </c>
      <c r="Y21" s="36">
        <v>115.5</v>
      </c>
      <c r="Z21" s="36">
        <v>121.3</v>
      </c>
      <c r="AA21" s="36">
        <v>60.7</v>
      </c>
      <c r="AB21" s="46">
        <v>123.2</v>
      </c>
      <c r="AC21" s="339">
        <v>118.3</v>
      </c>
      <c r="AD21" s="339">
        <v>118</v>
      </c>
      <c r="AE21" s="339">
        <v>100.1</v>
      </c>
      <c r="AF21" s="339">
        <v>97.8</v>
      </c>
      <c r="AG21" s="339">
        <v>121.8</v>
      </c>
      <c r="AH21" s="377">
        <v>137.5</v>
      </c>
      <c r="AI21" s="383">
        <v>74</v>
      </c>
      <c r="AJ21" s="774">
        <v>202.4</v>
      </c>
      <c r="AK21" s="354">
        <v>78.2</v>
      </c>
      <c r="AL21" s="862">
        <v>100.5</v>
      </c>
      <c r="AM21" s="863">
        <v>102.3</v>
      </c>
      <c r="AN21" s="863">
        <v>102.1</v>
      </c>
      <c r="AO21" s="907">
        <v>101.8</v>
      </c>
      <c r="AP21" s="933">
        <v>101.7</v>
      </c>
      <c r="AQ21" s="933">
        <v>102.3</v>
      </c>
      <c r="AR21" s="1083">
        <v>100.7</v>
      </c>
    </row>
    <row r="22" spans="1:44" s="15" customFormat="1">
      <c r="A22" s="343" t="s">
        <v>236</v>
      </c>
      <c r="B22" s="373" t="s">
        <v>74</v>
      </c>
      <c r="C22" s="36">
        <v>100</v>
      </c>
      <c r="D22" s="36">
        <v>57.4</v>
      </c>
      <c r="E22" s="36">
        <v>51</v>
      </c>
      <c r="F22" s="36">
        <v>29.7</v>
      </c>
      <c r="G22" s="36">
        <v>40.6</v>
      </c>
      <c r="H22" s="36">
        <v>70.099999999999994</v>
      </c>
      <c r="I22" s="36">
        <v>126.3</v>
      </c>
      <c r="J22" s="36">
        <v>155.19999999999999</v>
      </c>
      <c r="K22" s="36">
        <v>151.30000000000001</v>
      </c>
      <c r="L22" s="36">
        <v>149.5</v>
      </c>
      <c r="M22" s="36">
        <v>168</v>
      </c>
      <c r="N22" s="36">
        <v>181.5</v>
      </c>
      <c r="O22" s="36">
        <v>194.5</v>
      </c>
      <c r="P22" s="36">
        <v>245.9</v>
      </c>
      <c r="Q22" s="36">
        <v>285.8</v>
      </c>
      <c r="R22" s="36">
        <v>328.6</v>
      </c>
      <c r="S22" s="36">
        <v>343.5</v>
      </c>
      <c r="T22" s="36">
        <v>336.2</v>
      </c>
      <c r="U22" s="36">
        <v>281.60000000000002</v>
      </c>
      <c r="V22" s="36">
        <v>284.60000000000002</v>
      </c>
      <c r="W22" s="36">
        <v>288.7</v>
      </c>
      <c r="X22" s="36">
        <v>322.7</v>
      </c>
      <c r="Y22" s="36">
        <v>355.6</v>
      </c>
      <c r="Z22" s="36">
        <v>384.4</v>
      </c>
      <c r="AA22" s="36">
        <v>384</v>
      </c>
      <c r="AB22" s="34">
        <v>394</v>
      </c>
      <c r="AC22" s="34">
        <v>415.3</v>
      </c>
      <c r="AD22" s="58" t="s">
        <v>1</v>
      </c>
      <c r="AE22" s="34"/>
      <c r="AF22" s="34"/>
      <c r="AG22" s="34"/>
      <c r="AH22" s="35"/>
      <c r="AI22" s="383"/>
      <c r="AJ22" s="773"/>
      <c r="AK22" s="13"/>
      <c r="AL22" s="860"/>
      <c r="AM22" s="863"/>
      <c r="AN22" s="863"/>
      <c r="AO22" s="863"/>
      <c r="AP22" s="863"/>
      <c r="AQ22" s="863"/>
      <c r="AR22" s="1078"/>
    </row>
    <row r="23" spans="1:44" s="15" customFormat="1" ht="40.5">
      <c r="A23" s="385" t="s">
        <v>446</v>
      </c>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34"/>
      <c r="AG23" s="34"/>
      <c r="AH23" s="34"/>
      <c r="AI23" s="18"/>
      <c r="AJ23" s="775"/>
      <c r="AK23" s="18"/>
      <c r="AL23" s="812"/>
      <c r="AM23" s="863"/>
      <c r="AN23" s="863"/>
      <c r="AO23" s="863"/>
      <c r="AP23" s="863"/>
      <c r="AQ23" s="863"/>
      <c r="AR23" s="1078"/>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R17"/>
  <sheetViews>
    <sheetView zoomScaleNormal="100" workbookViewId="0">
      <pane xSplit="1" topLeftCell="AF1" activePane="topRight" state="frozen"/>
      <selection pane="topRight" activeCell="AR17" sqref="AR17"/>
    </sheetView>
  </sheetViews>
  <sheetFormatPr defaultRowHeight="12.75"/>
  <cols>
    <col min="1" max="1" width="56.28515625" bestFit="1" customWidth="1"/>
    <col min="2" max="2" width="12.7109375" bestFit="1" customWidth="1"/>
    <col min="3" max="3" width="7.85546875" bestFit="1" customWidth="1"/>
    <col min="4" max="12" width="6.85546875" bestFit="1" customWidth="1"/>
    <col min="13" max="14" width="7.85546875" bestFit="1" customWidth="1"/>
    <col min="15" max="32" width="8.85546875" bestFit="1" customWidth="1"/>
    <col min="33" max="33" width="13.5703125" customWidth="1"/>
    <col min="34" max="34" width="11" customWidth="1"/>
    <col min="35" max="35" width="12.28515625" customWidth="1"/>
    <col min="36" max="36" width="12.5703125" customWidth="1"/>
    <col min="37" max="37" width="10.28515625" customWidth="1"/>
    <col min="38" max="43" width="10.7109375" customWidth="1"/>
    <col min="44" max="44" width="11.28515625" customWidth="1"/>
  </cols>
  <sheetData>
    <row r="1" spans="1:44" s="15" customFormat="1" ht="38.25">
      <c r="A1" s="386" t="s">
        <v>164</v>
      </c>
      <c r="B1" s="293" t="s">
        <v>232</v>
      </c>
      <c r="C1" s="294">
        <v>1991</v>
      </c>
      <c r="D1" s="294">
        <v>1992</v>
      </c>
      <c r="E1" s="294">
        <v>1993</v>
      </c>
      <c r="F1" s="294">
        <v>1994</v>
      </c>
      <c r="G1" s="294">
        <v>1995</v>
      </c>
      <c r="H1" s="294">
        <v>1996</v>
      </c>
      <c r="I1" s="294">
        <v>1997</v>
      </c>
      <c r="J1" s="294">
        <v>1998</v>
      </c>
      <c r="K1" s="294">
        <v>1999</v>
      </c>
      <c r="L1" s="294">
        <v>2000</v>
      </c>
      <c r="M1" s="294">
        <v>2001</v>
      </c>
      <c r="N1" s="294">
        <v>2002</v>
      </c>
      <c r="O1" s="294">
        <v>2003</v>
      </c>
      <c r="P1" s="294">
        <v>2004</v>
      </c>
      <c r="Q1" s="294">
        <v>2005</v>
      </c>
      <c r="R1" s="294">
        <v>2006</v>
      </c>
      <c r="S1" s="294">
        <v>2007</v>
      </c>
      <c r="T1" s="294">
        <v>2008</v>
      </c>
      <c r="U1" s="294">
        <v>2009</v>
      </c>
      <c r="V1" s="294">
        <v>2010</v>
      </c>
      <c r="W1" s="294">
        <v>2011</v>
      </c>
      <c r="X1" s="294">
        <v>2012</v>
      </c>
      <c r="Y1" s="294">
        <v>2013</v>
      </c>
      <c r="Z1" s="294">
        <v>2014</v>
      </c>
      <c r="AA1" s="294">
        <v>2015</v>
      </c>
      <c r="AB1" s="294">
        <v>2016</v>
      </c>
      <c r="AC1" s="294">
        <v>2017</v>
      </c>
      <c r="AD1" s="294">
        <v>2018</v>
      </c>
      <c r="AE1" s="294">
        <v>2019</v>
      </c>
      <c r="AF1" s="294">
        <v>2020</v>
      </c>
      <c r="AG1" s="295">
        <v>2021</v>
      </c>
      <c r="AH1" s="295">
        <v>2022</v>
      </c>
      <c r="AI1" s="327">
        <v>2023</v>
      </c>
      <c r="AJ1" s="295">
        <v>2024</v>
      </c>
      <c r="AK1" s="295">
        <v>2025</v>
      </c>
      <c r="AL1" s="851" t="s">
        <v>463</v>
      </c>
      <c r="AM1" s="295" t="s">
        <v>471</v>
      </c>
      <c r="AN1" s="295" t="s">
        <v>481</v>
      </c>
      <c r="AO1" s="295" t="s">
        <v>488</v>
      </c>
      <c r="AP1" s="911" t="s">
        <v>497</v>
      </c>
      <c r="AQ1" s="294" t="s">
        <v>524</v>
      </c>
      <c r="AR1" s="327" t="s">
        <v>537</v>
      </c>
    </row>
    <row r="2" spans="1:44" s="15" customFormat="1">
      <c r="A2" s="387" t="s">
        <v>369</v>
      </c>
      <c r="B2" s="388" t="s">
        <v>370</v>
      </c>
      <c r="C2" s="389">
        <v>599.6</v>
      </c>
      <c r="D2" s="389">
        <v>469.1</v>
      </c>
      <c r="E2" s="389">
        <v>508.9</v>
      </c>
      <c r="F2" s="389">
        <v>433.6</v>
      </c>
      <c r="G2" s="389">
        <v>491.3</v>
      </c>
      <c r="H2" s="389">
        <v>530.5</v>
      </c>
      <c r="I2" s="389">
        <v>507.5</v>
      </c>
      <c r="J2" s="389">
        <v>389.8</v>
      </c>
      <c r="K2" s="389">
        <v>286.5</v>
      </c>
      <c r="L2" s="389">
        <v>217</v>
      </c>
      <c r="M2" s="389">
        <v>1579</v>
      </c>
      <c r="N2" s="389">
        <v>1789.9</v>
      </c>
      <c r="O2" s="390" t="s">
        <v>371</v>
      </c>
      <c r="P2" s="390">
        <v>1815</v>
      </c>
      <c r="Q2" s="390">
        <v>1943.8</v>
      </c>
      <c r="R2" s="390">
        <v>2093.6999999999998</v>
      </c>
      <c r="S2" s="390">
        <v>2257.3000000000002</v>
      </c>
      <c r="T2" s="389">
        <v>2311.1999999999998</v>
      </c>
      <c r="U2" s="390">
        <v>2417.6999999999998</v>
      </c>
      <c r="V2" s="390">
        <v>2595.5</v>
      </c>
      <c r="W2" s="390">
        <v>3190.6</v>
      </c>
      <c r="X2" s="390">
        <v>3802.7</v>
      </c>
      <c r="Y2" s="390">
        <v>4238.8</v>
      </c>
      <c r="Z2" s="390">
        <v>4808.6000000000004</v>
      </c>
      <c r="AA2" s="390">
        <v>4984.8</v>
      </c>
      <c r="AB2" s="390">
        <v>4984.2</v>
      </c>
      <c r="AC2" s="390">
        <v>5097.2</v>
      </c>
      <c r="AD2" s="390" t="s">
        <v>78</v>
      </c>
      <c r="AE2" s="390">
        <v>5588.9</v>
      </c>
      <c r="AF2" s="390">
        <v>1949.8</v>
      </c>
      <c r="AG2" s="390">
        <v>2100.3000000000002</v>
      </c>
      <c r="AH2" s="390">
        <v>2132.1999999999998</v>
      </c>
      <c r="AI2" s="391">
        <v>450.7</v>
      </c>
      <c r="AJ2" s="776" t="s">
        <v>390</v>
      </c>
      <c r="AK2" s="392">
        <v>479.7</v>
      </c>
      <c r="AL2" s="873">
        <v>39.1</v>
      </c>
      <c r="AM2" s="880">
        <v>77.7</v>
      </c>
      <c r="AN2" s="880">
        <v>117.9</v>
      </c>
      <c r="AO2" s="880">
        <v>159.9</v>
      </c>
      <c r="AP2" s="912">
        <v>198.6</v>
      </c>
      <c r="AQ2" s="951">
        <v>236.2</v>
      </c>
      <c r="AR2" s="1084">
        <v>272.5</v>
      </c>
    </row>
    <row r="3" spans="1:44" s="15" customFormat="1">
      <c r="A3" s="387" t="s">
        <v>165</v>
      </c>
      <c r="B3" s="393" t="s">
        <v>74</v>
      </c>
      <c r="C3" s="390">
        <v>115.2</v>
      </c>
      <c r="D3" s="389">
        <v>78.3</v>
      </c>
      <c r="E3" s="389">
        <v>108.5</v>
      </c>
      <c r="F3" s="389">
        <v>85.2</v>
      </c>
      <c r="G3" s="389">
        <v>113.3</v>
      </c>
      <c r="H3" s="389">
        <v>108</v>
      </c>
      <c r="I3" s="389">
        <v>95.7</v>
      </c>
      <c r="J3" s="389">
        <v>76.8</v>
      </c>
      <c r="K3" s="389">
        <v>73.400000000000006</v>
      </c>
      <c r="L3" s="389">
        <v>75.7</v>
      </c>
      <c r="M3" s="389">
        <v>727.6</v>
      </c>
      <c r="N3" s="389">
        <v>85.7</v>
      </c>
      <c r="O3" s="389">
        <v>98.6</v>
      </c>
      <c r="P3" s="390">
        <v>102.8</v>
      </c>
      <c r="Q3" s="390">
        <v>107.1</v>
      </c>
      <c r="R3" s="390">
        <v>107.7</v>
      </c>
      <c r="S3" s="390">
        <v>107.8</v>
      </c>
      <c r="T3" s="389">
        <v>102.4</v>
      </c>
      <c r="U3" s="390">
        <v>104.6</v>
      </c>
      <c r="V3" s="390">
        <v>107.4</v>
      </c>
      <c r="W3" s="390">
        <v>122.9</v>
      </c>
      <c r="X3" s="390">
        <v>119.2</v>
      </c>
      <c r="Y3" s="390">
        <v>111.5</v>
      </c>
      <c r="Z3" s="390">
        <v>113.4</v>
      </c>
      <c r="AA3" s="390">
        <v>103.7</v>
      </c>
      <c r="AB3" s="390">
        <v>100</v>
      </c>
      <c r="AC3" s="390">
        <v>102.3</v>
      </c>
      <c r="AD3" s="390">
        <v>102.1</v>
      </c>
      <c r="AE3" s="390" t="s">
        <v>85</v>
      </c>
      <c r="AF3" s="390">
        <v>34.9</v>
      </c>
      <c r="AG3" s="390">
        <v>107.7</v>
      </c>
      <c r="AH3" s="390">
        <v>101.7</v>
      </c>
      <c r="AI3" s="391">
        <v>110.8</v>
      </c>
      <c r="AJ3" s="776" t="s">
        <v>391</v>
      </c>
      <c r="AK3" s="392" t="s">
        <v>508</v>
      </c>
      <c r="AL3" s="874" t="s">
        <v>464</v>
      </c>
      <c r="AM3" s="821" t="s">
        <v>472</v>
      </c>
      <c r="AN3" s="821" t="s">
        <v>458</v>
      </c>
      <c r="AO3" s="821" t="s">
        <v>461</v>
      </c>
      <c r="AP3" s="912" t="s">
        <v>498</v>
      </c>
      <c r="AQ3" s="951">
        <v>97.2</v>
      </c>
      <c r="AR3" s="1084">
        <v>96.9</v>
      </c>
    </row>
    <row r="4" spans="1:44" s="15" customFormat="1">
      <c r="A4" s="394" t="s">
        <v>372</v>
      </c>
      <c r="B4" s="393" t="s">
        <v>74</v>
      </c>
      <c r="C4" s="390">
        <v>100</v>
      </c>
      <c r="D4" s="389">
        <v>78.3</v>
      </c>
      <c r="E4" s="389">
        <v>84.95</v>
      </c>
      <c r="F4" s="389">
        <v>72.38</v>
      </c>
      <c r="G4" s="389">
        <v>82</v>
      </c>
      <c r="H4" s="389">
        <v>88.56</v>
      </c>
      <c r="I4" s="389">
        <v>84.8</v>
      </c>
      <c r="J4" s="389">
        <v>64.8</v>
      </c>
      <c r="K4" s="389">
        <v>47.77</v>
      </c>
      <c r="L4" s="389">
        <v>36.159999999999997</v>
      </c>
      <c r="M4" s="389">
        <v>263.10000000000002</v>
      </c>
      <c r="N4" s="389">
        <v>225.7</v>
      </c>
      <c r="O4" s="390">
        <v>222.5</v>
      </c>
      <c r="P4" s="390">
        <v>228.79</v>
      </c>
      <c r="Q4" s="390">
        <v>245.04</v>
      </c>
      <c r="R4" s="390">
        <v>263.91000000000003</v>
      </c>
      <c r="S4" s="390">
        <v>284.49</v>
      </c>
      <c r="T4" s="390">
        <v>291.32</v>
      </c>
      <c r="U4" s="390">
        <v>304.72000000000003</v>
      </c>
      <c r="V4" s="390">
        <v>327.27</v>
      </c>
      <c r="W4" s="390">
        <v>402.22</v>
      </c>
      <c r="X4" s="390">
        <v>479.42</v>
      </c>
      <c r="Y4" s="390">
        <v>534.54999999999995</v>
      </c>
      <c r="Z4" s="390">
        <v>606.17999999999995</v>
      </c>
      <c r="AA4" s="390">
        <v>628.61</v>
      </c>
      <c r="AB4" s="390">
        <v>628.6</v>
      </c>
      <c r="AC4" s="390">
        <v>643.07000000000005</v>
      </c>
      <c r="AD4" s="390">
        <v>656.57</v>
      </c>
      <c r="AE4" s="390">
        <v>705.16</v>
      </c>
      <c r="AF4" s="390">
        <v>246.1</v>
      </c>
      <c r="AG4" s="390">
        <v>265</v>
      </c>
      <c r="AH4" s="390">
        <v>269.55</v>
      </c>
      <c r="AI4" s="391">
        <v>2874.4</v>
      </c>
      <c r="AJ4" s="942">
        <v>4212.7204274912301</v>
      </c>
      <c r="AK4" s="943">
        <v>4334.8893198884762</v>
      </c>
      <c r="AL4" s="943">
        <v>4482.2755567646846</v>
      </c>
      <c r="AM4" s="943">
        <v>4527.0983123323313</v>
      </c>
      <c r="AN4" s="943">
        <v>4513.5170173953347</v>
      </c>
      <c r="AO4" s="944">
        <v>4459.35481318659</v>
      </c>
      <c r="AP4" s="945">
        <v>4347.8709428569255</v>
      </c>
      <c r="AQ4" s="951">
        <f>AP4*AQ3/100</f>
        <v>4226.1305564569311</v>
      </c>
      <c r="AR4" s="1084">
        <f>AQ4*AR3/100</f>
        <v>4095.1205092067667</v>
      </c>
    </row>
    <row r="5" spans="1:44" s="15" customFormat="1">
      <c r="A5" s="387" t="s">
        <v>373</v>
      </c>
      <c r="B5" s="393" t="s">
        <v>374</v>
      </c>
      <c r="C5" s="389">
        <v>11991.6</v>
      </c>
      <c r="D5" s="389">
        <v>8911.7999999999993</v>
      </c>
      <c r="E5" s="389">
        <v>7610</v>
      </c>
      <c r="F5" s="389">
        <v>5180.7</v>
      </c>
      <c r="G5" s="389">
        <v>5603.8</v>
      </c>
      <c r="H5" s="389">
        <v>5026.8</v>
      </c>
      <c r="I5" s="389">
        <v>3159.2</v>
      </c>
      <c r="J5" s="389">
        <v>2435.9</v>
      </c>
      <c r="K5" s="389">
        <v>1910.1</v>
      </c>
      <c r="L5" s="389">
        <v>1405</v>
      </c>
      <c r="M5" s="389">
        <v>13794</v>
      </c>
      <c r="N5" s="389">
        <v>14911</v>
      </c>
      <c r="O5" s="390">
        <v>13646.5</v>
      </c>
      <c r="P5" s="390">
        <v>15223.9</v>
      </c>
      <c r="Q5" s="390">
        <v>16272.9</v>
      </c>
      <c r="R5" s="390">
        <v>18228.400000000001</v>
      </c>
      <c r="S5" s="390">
        <v>18823.8</v>
      </c>
      <c r="T5" s="390">
        <v>19499.900000000001</v>
      </c>
      <c r="U5" s="390">
        <v>20090.400000000001</v>
      </c>
      <c r="V5" s="390">
        <v>21330.3</v>
      </c>
      <c r="W5" s="390">
        <v>24959.4</v>
      </c>
      <c r="X5" s="390">
        <v>28640.5</v>
      </c>
      <c r="Y5" s="390">
        <v>32400.5</v>
      </c>
      <c r="Z5" s="390">
        <v>34839.699999999997</v>
      </c>
      <c r="AA5" s="390">
        <v>36306</v>
      </c>
      <c r="AB5" s="390">
        <v>38163.5</v>
      </c>
      <c r="AC5" s="390">
        <v>37506.400000000001</v>
      </c>
      <c r="AD5" s="390" t="s">
        <v>77</v>
      </c>
      <c r="AE5" s="390">
        <v>44414.400000000001</v>
      </c>
      <c r="AF5" s="390">
        <v>18026.2</v>
      </c>
      <c r="AG5" s="390">
        <v>24162.799999999999</v>
      </c>
      <c r="AH5" s="390">
        <v>20221.2</v>
      </c>
      <c r="AI5" s="391">
        <v>16189.2</v>
      </c>
      <c r="AJ5" s="776" t="s">
        <v>392</v>
      </c>
      <c r="AK5" s="392">
        <v>23391.5</v>
      </c>
      <c r="AL5" s="876">
        <v>2064.9</v>
      </c>
      <c r="AM5" s="819">
        <v>4035</v>
      </c>
      <c r="AN5" s="910">
        <v>6361.5</v>
      </c>
      <c r="AO5" s="819">
        <v>8608.9</v>
      </c>
      <c r="AP5" s="912">
        <v>10999.3</v>
      </c>
      <c r="AQ5" s="951" t="s">
        <v>525</v>
      </c>
      <c r="AR5" s="1084">
        <v>16637.900000000001</v>
      </c>
    </row>
    <row r="6" spans="1:44" s="15" customFormat="1">
      <c r="A6" s="387" t="s">
        <v>165</v>
      </c>
      <c r="B6" s="393" t="s">
        <v>74</v>
      </c>
      <c r="C6" s="390">
        <v>110.4</v>
      </c>
      <c r="D6" s="389">
        <v>74.3</v>
      </c>
      <c r="E6" s="389">
        <v>85.4</v>
      </c>
      <c r="F6" s="389">
        <v>68.099999999999994</v>
      </c>
      <c r="G6" s="389">
        <v>109.8</v>
      </c>
      <c r="H6" s="389">
        <v>89.7</v>
      </c>
      <c r="I6" s="389">
        <v>62.8</v>
      </c>
      <c r="J6" s="389">
        <v>77.099999999999994</v>
      </c>
      <c r="K6" s="389">
        <v>78.400000000000006</v>
      </c>
      <c r="L6" s="389">
        <v>73.599999999999994</v>
      </c>
      <c r="M6" s="389">
        <v>981.2</v>
      </c>
      <c r="N6" s="389">
        <v>98.1</v>
      </c>
      <c r="O6" s="389">
        <v>91.5</v>
      </c>
      <c r="P6" s="390">
        <v>111.6</v>
      </c>
      <c r="Q6" s="390">
        <v>106.9</v>
      </c>
      <c r="R6" s="390">
        <v>112</v>
      </c>
      <c r="S6" s="390">
        <v>103.3</v>
      </c>
      <c r="T6" s="390">
        <v>103.6</v>
      </c>
      <c r="U6" s="390">
        <v>103</v>
      </c>
      <c r="V6" s="390">
        <v>106.2</v>
      </c>
      <c r="W6" s="390">
        <v>117</v>
      </c>
      <c r="X6" s="390">
        <v>114.7</v>
      </c>
      <c r="Y6" s="390">
        <v>113.1</v>
      </c>
      <c r="Z6" s="390">
        <v>107.5</v>
      </c>
      <c r="AA6" s="390">
        <v>104.2</v>
      </c>
      <c r="AB6" s="390">
        <v>105.1</v>
      </c>
      <c r="AC6" s="390">
        <v>98.3</v>
      </c>
      <c r="AD6" s="390">
        <v>104.8</v>
      </c>
      <c r="AE6" s="390" t="s">
        <v>84</v>
      </c>
      <c r="AF6" s="390">
        <v>40.6</v>
      </c>
      <c r="AG6" s="390">
        <v>131.9</v>
      </c>
      <c r="AH6" s="390">
        <v>101.3</v>
      </c>
      <c r="AI6" s="391">
        <v>127.6</v>
      </c>
      <c r="AJ6" s="776" t="s">
        <v>393</v>
      </c>
      <c r="AK6" s="392">
        <v>113.4</v>
      </c>
      <c r="AL6" s="874" t="s">
        <v>18</v>
      </c>
      <c r="AM6" s="821" t="s">
        <v>473</v>
      </c>
      <c r="AN6" s="821" t="s">
        <v>482</v>
      </c>
      <c r="AO6" s="821" t="s">
        <v>489</v>
      </c>
      <c r="AP6" s="912" t="s">
        <v>499</v>
      </c>
      <c r="AQ6" s="951">
        <v>122.3</v>
      </c>
      <c r="AR6" s="1084">
        <v>122.1</v>
      </c>
    </row>
    <row r="7" spans="1:44" s="15" customFormat="1">
      <c r="A7" s="387" t="s">
        <v>375</v>
      </c>
      <c r="B7" s="393" t="s">
        <v>376</v>
      </c>
      <c r="C7" s="389">
        <v>88.3</v>
      </c>
      <c r="D7" s="389">
        <v>62.5</v>
      </c>
      <c r="E7" s="389">
        <v>42.2</v>
      </c>
      <c r="F7" s="389">
        <v>25</v>
      </c>
      <c r="G7" s="389">
        <v>10.3</v>
      </c>
      <c r="H7" s="389">
        <v>6.9</v>
      </c>
      <c r="I7" s="389">
        <v>6.8</v>
      </c>
      <c r="J7" s="389">
        <v>3.1</v>
      </c>
      <c r="K7" s="389">
        <v>2.4</v>
      </c>
      <c r="L7" s="389">
        <v>5.2</v>
      </c>
      <c r="M7" s="389">
        <v>50.4</v>
      </c>
      <c r="N7" s="389">
        <v>57</v>
      </c>
      <c r="O7" s="389">
        <v>62.7</v>
      </c>
      <c r="P7" s="390">
        <v>70.400000000000006</v>
      </c>
      <c r="Q7" s="390">
        <v>86.4</v>
      </c>
      <c r="R7" s="390">
        <v>104.2</v>
      </c>
      <c r="S7" s="390">
        <v>118.4</v>
      </c>
      <c r="T7" s="390">
        <v>128.4</v>
      </c>
      <c r="U7" s="390">
        <v>123.2</v>
      </c>
      <c r="V7" s="390">
        <v>142.4</v>
      </c>
      <c r="W7" s="390">
        <v>155.6</v>
      </c>
      <c r="X7" s="390">
        <v>168.3</v>
      </c>
      <c r="Y7" s="390">
        <v>194.4</v>
      </c>
      <c r="Z7" s="390">
        <v>216.8</v>
      </c>
      <c r="AA7" s="390">
        <v>232.1</v>
      </c>
      <c r="AB7" s="390">
        <v>252.3</v>
      </c>
      <c r="AC7" s="390">
        <v>256</v>
      </c>
      <c r="AD7" s="390">
        <v>247</v>
      </c>
      <c r="AE7" s="390">
        <v>257.5</v>
      </c>
      <c r="AF7" s="390">
        <v>252.3</v>
      </c>
      <c r="AG7" s="390">
        <v>288.7</v>
      </c>
      <c r="AH7" s="390">
        <v>294.7</v>
      </c>
      <c r="AI7" s="391">
        <v>24.2</v>
      </c>
      <c r="AJ7" s="778" t="s">
        <v>394</v>
      </c>
      <c r="AK7" s="392">
        <v>60.1</v>
      </c>
      <c r="AL7" s="873">
        <v>4.4000000000000004</v>
      </c>
      <c r="AM7" s="880">
        <v>8.3000000000000007</v>
      </c>
      <c r="AN7" s="880">
        <v>13</v>
      </c>
      <c r="AO7" s="880">
        <v>17.8</v>
      </c>
      <c r="AP7" s="912">
        <v>22.8</v>
      </c>
      <c r="AQ7" s="951">
        <v>27.7</v>
      </c>
      <c r="AR7" s="1084">
        <v>32.299999999999997</v>
      </c>
    </row>
    <row r="8" spans="1:44" s="15" customFormat="1">
      <c r="A8" s="387" t="s">
        <v>165</v>
      </c>
      <c r="B8" s="393" t="s">
        <v>74</v>
      </c>
      <c r="C8" s="395">
        <v>105.6</v>
      </c>
      <c r="D8" s="389">
        <v>70.7</v>
      </c>
      <c r="E8" s="389">
        <v>67.5</v>
      </c>
      <c r="F8" s="389">
        <v>59.7</v>
      </c>
      <c r="G8" s="389">
        <v>41.2</v>
      </c>
      <c r="H8" s="389">
        <v>66.900000000000006</v>
      </c>
      <c r="I8" s="389">
        <v>98.5</v>
      </c>
      <c r="J8" s="389">
        <v>45.6</v>
      </c>
      <c r="K8" s="389">
        <v>77.400000000000006</v>
      </c>
      <c r="L8" s="389">
        <v>216.6</v>
      </c>
      <c r="M8" s="389">
        <v>969.2</v>
      </c>
      <c r="N8" s="389">
        <v>113.09</v>
      </c>
      <c r="O8" s="389">
        <v>110</v>
      </c>
      <c r="P8" s="389">
        <v>113.9</v>
      </c>
      <c r="Q8" s="390">
        <v>122.7</v>
      </c>
      <c r="R8" s="390">
        <v>120.6</v>
      </c>
      <c r="S8" s="390">
        <v>113.6</v>
      </c>
      <c r="T8" s="390">
        <v>108.5</v>
      </c>
      <c r="U8" s="390">
        <v>96</v>
      </c>
      <c r="V8" s="390">
        <v>115.6</v>
      </c>
      <c r="W8" s="390">
        <v>109.2</v>
      </c>
      <c r="X8" s="390">
        <v>108.2</v>
      </c>
      <c r="Y8" s="390">
        <v>115.5</v>
      </c>
      <c r="Z8" s="390">
        <v>111.5</v>
      </c>
      <c r="AA8" s="390">
        <v>107</v>
      </c>
      <c r="AB8" s="390">
        <v>108.7</v>
      </c>
      <c r="AC8" s="390">
        <v>101.5</v>
      </c>
      <c r="AD8" s="390" t="s">
        <v>377</v>
      </c>
      <c r="AE8" s="390" t="s">
        <v>83</v>
      </c>
      <c r="AF8" s="390">
        <v>98</v>
      </c>
      <c r="AG8" s="390">
        <v>108.3</v>
      </c>
      <c r="AH8" s="390">
        <v>102.1</v>
      </c>
      <c r="AI8" s="391">
        <v>101.1</v>
      </c>
      <c r="AJ8" s="776" t="s">
        <v>395</v>
      </c>
      <c r="AK8" s="392">
        <v>112.3</v>
      </c>
      <c r="AL8" s="874" t="s">
        <v>465</v>
      </c>
      <c r="AM8" s="821" t="s">
        <v>474</v>
      </c>
      <c r="AN8" s="821" t="s">
        <v>483</v>
      </c>
      <c r="AO8" s="821" t="s">
        <v>490</v>
      </c>
      <c r="AP8" s="912" t="s">
        <v>500</v>
      </c>
      <c r="AQ8" s="951">
        <v>91.8</v>
      </c>
      <c r="AR8" s="1084">
        <v>92</v>
      </c>
    </row>
    <row r="9" spans="1:44" s="15" customFormat="1">
      <c r="A9" s="394" t="s">
        <v>372</v>
      </c>
      <c r="B9" s="396" t="s">
        <v>74</v>
      </c>
      <c r="C9" s="395">
        <v>100</v>
      </c>
      <c r="D9" s="395">
        <v>70.7</v>
      </c>
      <c r="E9" s="395">
        <v>47.72</v>
      </c>
      <c r="F9" s="395">
        <v>28.5</v>
      </c>
      <c r="G9" s="395">
        <v>11.7</v>
      </c>
      <c r="H9" s="395">
        <v>7.8</v>
      </c>
      <c r="I9" s="395">
        <v>7.6</v>
      </c>
      <c r="J9" s="395">
        <v>3.5</v>
      </c>
      <c r="K9" s="395">
        <v>2.7</v>
      </c>
      <c r="L9" s="397">
        <v>5.9</v>
      </c>
      <c r="M9" s="398">
        <v>57.2</v>
      </c>
      <c r="N9" s="398">
        <v>64.8</v>
      </c>
      <c r="O9" s="398">
        <v>71.2</v>
      </c>
      <c r="P9" s="398">
        <v>81.150000000000006</v>
      </c>
      <c r="Q9" s="390">
        <v>99.6</v>
      </c>
      <c r="R9" s="390">
        <v>120</v>
      </c>
      <c r="S9" s="390">
        <v>136.4</v>
      </c>
      <c r="T9" s="390">
        <v>147.30000000000001</v>
      </c>
      <c r="U9" s="390">
        <v>141.47</v>
      </c>
      <c r="V9" s="390">
        <v>163.54</v>
      </c>
      <c r="W9" s="390">
        <v>178.58</v>
      </c>
      <c r="X9" s="390">
        <v>193.23</v>
      </c>
      <c r="Y9" s="390">
        <v>223.18</v>
      </c>
      <c r="Z9" s="390">
        <v>248.84</v>
      </c>
      <c r="AA9" s="390">
        <v>266.26</v>
      </c>
      <c r="AB9" s="390">
        <v>289.43</v>
      </c>
      <c r="AC9" s="390">
        <v>293.77</v>
      </c>
      <c r="AD9" s="390">
        <v>283.49</v>
      </c>
      <c r="AE9" s="390">
        <v>295.39999999999998</v>
      </c>
      <c r="AF9" s="390">
        <v>281.10000000000002</v>
      </c>
      <c r="AG9" s="390">
        <v>300.88</v>
      </c>
      <c r="AH9" s="390">
        <v>307.2</v>
      </c>
      <c r="AI9" s="391">
        <v>481.7</v>
      </c>
      <c r="AJ9" s="777">
        <v>1392.7391231099205</v>
      </c>
      <c r="AK9" s="392">
        <v>1564.0460352524406</v>
      </c>
      <c r="AL9" s="875">
        <v>1118.2929152054949</v>
      </c>
      <c r="AM9" s="820">
        <v>941.60263460302667</v>
      </c>
      <c r="AN9" s="820">
        <v>836.14313952748762</v>
      </c>
      <c r="AO9" s="820">
        <v>745.00353731899145</v>
      </c>
      <c r="AP9" s="912">
        <v>680.93323310955816</v>
      </c>
      <c r="AQ9" s="951">
        <f t="shared" ref="AQ9:AR9" si="0">AP9*AQ8/100</f>
        <v>625.09670799457444</v>
      </c>
      <c r="AR9" s="1084">
        <f t="shared" si="0"/>
        <v>575.08897135500843</v>
      </c>
    </row>
    <row r="10" spans="1:44" s="15" customFormat="1">
      <c r="A10" s="387" t="s">
        <v>378</v>
      </c>
      <c r="B10" s="393" t="s">
        <v>379</v>
      </c>
      <c r="C10" s="389">
        <v>1848.8</v>
      </c>
      <c r="D10" s="389">
        <v>1452.5</v>
      </c>
      <c r="E10" s="389">
        <v>953</v>
      </c>
      <c r="F10" s="389">
        <v>587.6</v>
      </c>
      <c r="G10" s="389">
        <v>380.2</v>
      </c>
      <c r="H10" s="389">
        <v>308.3</v>
      </c>
      <c r="I10" s="389">
        <v>297.60000000000002</v>
      </c>
      <c r="J10" s="389">
        <v>360.2</v>
      </c>
      <c r="K10" s="389">
        <v>316.3</v>
      </c>
      <c r="L10" s="389">
        <v>445.1</v>
      </c>
      <c r="M10" s="389">
        <v>4342</v>
      </c>
      <c r="N10" s="389">
        <v>4946.6000000000004</v>
      </c>
      <c r="O10" s="389">
        <v>6508.9</v>
      </c>
      <c r="P10" s="390">
        <v>5843.6</v>
      </c>
      <c r="Q10" s="390">
        <v>6260.9</v>
      </c>
      <c r="R10" s="390">
        <v>7418.9</v>
      </c>
      <c r="S10" s="390">
        <v>8024.8</v>
      </c>
      <c r="T10" s="390">
        <v>8212</v>
      </c>
      <c r="U10" s="390">
        <v>8591.2999999999993</v>
      </c>
      <c r="V10" s="390">
        <v>11476.8</v>
      </c>
      <c r="W10" s="390">
        <v>16130.5</v>
      </c>
      <c r="X10" s="399">
        <v>17957.7</v>
      </c>
      <c r="Y10" s="390">
        <v>18928.400000000001</v>
      </c>
      <c r="Z10" s="390">
        <v>21780.3</v>
      </c>
      <c r="AA10" s="390">
        <v>21535.3</v>
      </c>
      <c r="AB10" s="390">
        <v>23745.7</v>
      </c>
      <c r="AC10" s="390">
        <v>29506.6</v>
      </c>
      <c r="AD10" s="390">
        <v>37755.800000000003</v>
      </c>
      <c r="AE10" s="390">
        <v>20802.599999999999</v>
      </c>
      <c r="AF10" s="390">
        <v>23606.1</v>
      </c>
      <c r="AG10" s="390">
        <v>37824.699999999997</v>
      </c>
      <c r="AH10" s="390">
        <v>40698.1</v>
      </c>
      <c r="AI10" s="391">
        <v>19045.7</v>
      </c>
      <c r="AJ10" s="776" t="s">
        <v>396</v>
      </c>
      <c r="AK10" s="392">
        <v>62420.2</v>
      </c>
      <c r="AL10" s="873">
        <v>4912.1000000000004</v>
      </c>
      <c r="AM10" s="880">
        <v>9345.6</v>
      </c>
      <c r="AN10" s="880">
        <v>14706.8</v>
      </c>
      <c r="AO10" s="880">
        <v>20167.900000000001</v>
      </c>
      <c r="AP10" s="912">
        <v>25641.1</v>
      </c>
      <c r="AQ10" s="951" t="s">
        <v>526</v>
      </c>
      <c r="AR10" s="1084">
        <v>36291.199999999997</v>
      </c>
    </row>
    <row r="11" spans="1:44" s="15" customFormat="1">
      <c r="A11" s="387" t="s">
        <v>165</v>
      </c>
      <c r="B11" s="393" t="s">
        <v>74</v>
      </c>
      <c r="C11" s="390">
        <v>104.5</v>
      </c>
      <c r="D11" s="389">
        <v>78.599999999999994</v>
      </c>
      <c r="E11" s="389">
        <v>65.599999999999994</v>
      </c>
      <c r="F11" s="389">
        <v>61.6</v>
      </c>
      <c r="G11" s="389">
        <v>64.7</v>
      </c>
      <c r="H11" s="389">
        <v>81</v>
      </c>
      <c r="I11" s="389">
        <v>96.5</v>
      </c>
      <c r="J11" s="389">
        <v>121</v>
      </c>
      <c r="K11" s="389">
        <v>87.8</v>
      </c>
      <c r="L11" s="389">
        <v>140.69999999999999</v>
      </c>
      <c r="M11" s="389">
        <v>975.5</v>
      </c>
      <c r="N11" s="389">
        <v>107.4</v>
      </c>
      <c r="O11" s="389">
        <v>1591.4</v>
      </c>
      <c r="P11" s="390">
        <v>89.8</v>
      </c>
      <c r="Q11" s="390">
        <v>107.1</v>
      </c>
      <c r="R11" s="390">
        <v>118.3</v>
      </c>
      <c r="S11" s="390">
        <v>108.2</v>
      </c>
      <c r="T11" s="390">
        <v>102.3</v>
      </c>
      <c r="U11" s="390">
        <v>104.6</v>
      </c>
      <c r="V11" s="390">
        <v>133.6</v>
      </c>
      <c r="W11" s="390">
        <v>140.5</v>
      </c>
      <c r="X11" s="390">
        <v>111.3</v>
      </c>
      <c r="Y11" s="390">
        <v>105.4</v>
      </c>
      <c r="Z11" s="390">
        <v>115.1</v>
      </c>
      <c r="AA11" s="390">
        <v>98.9</v>
      </c>
      <c r="AB11" s="390">
        <v>110.3</v>
      </c>
      <c r="AC11" s="390">
        <v>124.3</v>
      </c>
      <c r="AD11" s="390">
        <v>128</v>
      </c>
      <c r="AE11" s="390" t="s">
        <v>82</v>
      </c>
      <c r="AF11" s="390">
        <v>113.5</v>
      </c>
      <c r="AG11" s="390">
        <v>110.3</v>
      </c>
      <c r="AH11" s="390">
        <v>107.6</v>
      </c>
      <c r="AI11" s="391">
        <v>124.7</v>
      </c>
      <c r="AJ11" s="776" t="s">
        <v>397</v>
      </c>
      <c r="AK11" s="392">
        <v>107.8</v>
      </c>
      <c r="AL11" s="874" t="s">
        <v>466</v>
      </c>
      <c r="AM11" s="821" t="s">
        <v>475</v>
      </c>
      <c r="AN11" s="821" t="s">
        <v>484</v>
      </c>
      <c r="AO11" s="821" t="s">
        <v>325</v>
      </c>
      <c r="AP11" s="912">
        <v>97.6</v>
      </c>
      <c r="AQ11" s="951">
        <v>100.4</v>
      </c>
      <c r="AR11" s="1084">
        <v>99</v>
      </c>
    </row>
    <row r="12" spans="1:44" s="15" customFormat="1" ht="38.25">
      <c r="A12" s="292" t="s">
        <v>163</v>
      </c>
      <c r="B12" s="293" t="s">
        <v>180</v>
      </c>
      <c r="C12" s="294">
        <v>1991</v>
      </c>
      <c r="D12" s="294">
        <v>1992</v>
      </c>
      <c r="E12" s="294">
        <v>1993</v>
      </c>
      <c r="F12" s="294">
        <v>1994</v>
      </c>
      <c r="G12" s="294">
        <v>1995</v>
      </c>
      <c r="H12" s="294">
        <v>1996</v>
      </c>
      <c r="I12" s="294">
        <v>1997</v>
      </c>
      <c r="J12" s="294">
        <v>1998</v>
      </c>
      <c r="K12" s="294">
        <v>1999</v>
      </c>
      <c r="L12" s="294">
        <v>2000</v>
      </c>
      <c r="M12" s="294">
        <v>2001</v>
      </c>
      <c r="N12" s="294">
        <v>2002</v>
      </c>
      <c r="O12" s="294">
        <v>2003</v>
      </c>
      <c r="P12" s="294">
        <v>2004</v>
      </c>
      <c r="Q12" s="294">
        <v>2005</v>
      </c>
      <c r="R12" s="294">
        <v>2006</v>
      </c>
      <c r="S12" s="294">
        <v>2007</v>
      </c>
      <c r="T12" s="294">
        <v>2008</v>
      </c>
      <c r="U12" s="294">
        <v>2009</v>
      </c>
      <c r="V12" s="294">
        <v>2010</v>
      </c>
      <c r="W12" s="294">
        <v>2011</v>
      </c>
      <c r="X12" s="294">
        <v>2012</v>
      </c>
      <c r="Y12" s="294">
        <v>2013</v>
      </c>
      <c r="Z12" s="294">
        <v>2014</v>
      </c>
      <c r="AA12" s="294">
        <v>2015</v>
      </c>
      <c r="AB12" s="294">
        <v>2016</v>
      </c>
      <c r="AC12" s="294">
        <v>2017</v>
      </c>
      <c r="AD12" s="294">
        <v>2018</v>
      </c>
      <c r="AE12" s="294">
        <v>2019</v>
      </c>
      <c r="AF12" s="294">
        <v>2020</v>
      </c>
      <c r="AG12" s="295">
        <v>2021</v>
      </c>
      <c r="AH12" s="295">
        <v>2022</v>
      </c>
      <c r="AI12" s="327">
        <v>2023</v>
      </c>
      <c r="AJ12" s="295">
        <v>2024</v>
      </c>
      <c r="AK12" s="295">
        <v>2025</v>
      </c>
      <c r="AL12" s="851" t="s">
        <v>463</v>
      </c>
      <c r="AM12" s="295" t="s">
        <v>471</v>
      </c>
      <c r="AN12" s="295" t="s">
        <v>481</v>
      </c>
      <c r="AO12" s="295" t="s">
        <v>488</v>
      </c>
      <c r="AP12" s="911" t="s">
        <v>497</v>
      </c>
      <c r="AQ12" s="294" t="s">
        <v>524</v>
      </c>
      <c r="AR12" s="327" t="s">
        <v>537</v>
      </c>
    </row>
    <row r="13" spans="1:44" s="15" customFormat="1">
      <c r="A13" s="400" t="s">
        <v>380</v>
      </c>
      <c r="B13" s="393" t="s">
        <v>214</v>
      </c>
      <c r="C13" s="389" t="s">
        <v>1</v>
      </c>
      <c r="D13" s="389" t="s">
        <v>1</v>
      </c>
      <c r="E13" s="389" t="s">
        <v>1</v>
      </c>
      <c r="F13" s="389" t="s">
        <v>1</v>
      </c>
      <c r="G13" s="389" t="s">
        <v>1</v>
      </c>
      <c r="H13" s="389" t="s">
        <v>1</v>
      </c>
      <c r="I13" s="389" t="s">
        <v>1</v>
      </c>
      <c r="J13" s="389" t="s">
        <v>1</v>
      </c>
      <c r="K13" s="389" t="s">
        <v>1</v>
      </c>
      <c r="L13" s="389" t="s">
        <v>1</v>
      </c>
      <c r="M13" s="389" t="s">
        <v>1</v>
      </c>
      <c r="N13" s="389" t="s">
        <v>1</v>
      </c>
      <c r="O13" s="389" t="s">
        <v>1</v>
      </c>
      <c r="P13" s="389" t="s">
        <v>1</v>
      </c>
      <c r="Q13" s="389" t="s">
        <v>1</v>
      </c>
      <c r="R13" s="389" t="s">
        <v>1</v>
      </c>
      <c r="S13" s="389" t="s">
        <v>1</v>
      </c>
      <c r="T13" s="389" t="s">
        <v>1</v>
      </c>
      <c r="U13" s="389">
        <v>6975.2</v>
      </c>
      <c r="V13" s="389">
        <v>8585.9</v>
      </c>
      <c r="W13" s="389">
        <v>9826.2000000000007</v>
      </c>
      <c r="X13" s="389">
        <v>11490.2</v>
      </c>
      <c r="Y13" s="389">
        <v>14553.2</v>
      </c>
      <c r="Z13" s="389">
        <v>16632.099999999999</v>
      </c>
      <c r="AA13" s="389">
        <v>14220.1</v>
      </c>
      <c r="AB13" s="389">
        <v>16117.9</v>
      </c>
      <c r="AC13" s="395">
        <v>19868.599999999999</v>
      </c>
      <c r="AD13" s="401" t="s">
        <v>75</v>
      </c>
      <c r="AE13" s="401">
        <v>25307.1</v>
      </c>
      <c r="AF13" s="395">
        <v>32073.200000000001</v>
      </c>
      <c r="AG13" s="395">
        <v>38564.9</v>
      </c>
      <c r="AH13" s="395">
        <v>45253.599999999999</v>
      </c>
      <c r="AI13" s="402">
        <v>41321.9</v>
      </c>
      <c r="AJ13" s="779">
        <v>45032</v>
      </c>
      <c r="AK13" s="191">
        <v>51151.1</v>
      </c>
      <c r="AL13" s="877">
        <v>3982.5</v>
      </c>
      <c r="AM13" s="881">
        <v>8474.9</v>
      </c>
      <c r="AN13" s="881">
        <v>12571.5</v>
      </c>
      <c r="AO13" s="881">
        <v>16796</v>
      </c>
      <c r="AP13" s="913">
        <v>20883.900000000001</v>
      </c>
      <c r="AQ13" s="952">
        <v>25197</v>
      </c>
      <c r="AR13" s="1037">
        <v>29385.9</v>
      </c>
    </row>
    <row r="14" spans="1:44" s="15" customFormat="1" ht="25.5">
      <c r="A14" s="394" t="s">
        <v>381</v>
      </c>
      <c r="B14" s="393" t="s">
        <v>74</v>
      </c>
      <c r="C14" s="389" t="s">
        <v>1</v>
      </c>
      <c r="D14" s="389" t="s">
        <v>1</v>
      </c>
      <c r="E14" s="389" t="s">
        <v>1</v>
      </c>
      <c r="F14" s="389" t="s">
        <v>1</v>
      </c>
      <c r="G14" s="389" t="s">
        <v>1</v>
      </c>
      <c r="H14" s="389" t="s">
        <v>1</v>
      </c>
      <c r="I14" s="389" t="s">
        <v>1</v>
      </c>
      <c r="J14" s="389" t="s">
        <v>1</v>
      </c>
      <c r="K14" s="389" t="s">
        <v>1</v>
      </c>
      <c r="L14" s="389" t="s">
        <v>1</v>
      </c>
      <c r="M14" s="389" t="s">
        <v>1</v>
      </c>
      <c r="N14" s="389" t="s">
        <v>1</v>
      </c>
      <c r="O14" s="389" t="s">
        <v>1</v>
      </c>
      <c r="P14" s="389" t="s">
        <v>1</v>
      </c>
      <c r="Q14" s="389" t="s">
        <v>1</v>
      </c>
      <c r="R14" s="389" t="s">
        <v>1</v>
      </c>
      <c r="S14" s="389" t="s">
        <v>1</v>
      </c>
      <c r="T14" s="389" t="s">
        <v>1</v>
      </c>
      <c r="U14" s="403">
        <v>95.4</v>
      </c>
      <c r="V14" s="403">
        <v>121.9</v>
      </c>
      <c r="W14" s="403">
        <v>114.7</v>
      </c>
      <c r="X14" s="403">
        <v>115.5</v>
      </c>
      <c r="Y14" s="403">
        <v>122</v>
      </c>
      <c r="Z14" s="403">
        <v>95.9</v>
      </c>
      <c r="AA14" s="403">
        <v>76.5</v>
      </c>
      <c r="AB14" s="403">
        <v>105.5</v>
      </c>
      <c r="AC14" s="395">
        <v>127.6</v>
      </c>
      <c r="AD14" s="395">
        <v>101.7</v>
      </c>
      <c r="AE14" s="401" t="s">
        <v>79</v>
      </c>
      <c r="AF14" s="395">
        <v>158.1</v>
      </c>
      <c r="AG14" s="395">
        <v>135.4</v>
      </c>
      <c r="AH14" s="401">
        <v>123.2</v>
      </c>
      <c r="AI14" s="404">
        <v>116.5</v>
      </c>
      <c r="AJ14" s="780">
        <v>108.1</v>
      </c>
      <c r="AK14" s="319">
        <v>136.19999999999999</v>
      </c>
      <c r="AL14" s="877">
        <v>93.8</v>
      </c>
      <c r="AM14" s="783">
        <v>102.6</v>
      </c>
      <c r="AN14" s="783">
        <v>101.4</v>
      </c>
      <c r="AO14" s="783">
        <v>95.8</v>
      </c>
      <c r="AP14" s="913">
        <v>93.9</v>
      </c>
      <c r="AQ14" s="952">
        <v>94.4</v>
      </c>
      <c r="AR14" s="1037">
        <v>94.7</v>
      </c>
    </row>
    <row r="15" spans="1:44" s="15" customFormat="1">
      <c r="A15" s="394" t="s">
        <v>382</v>
      </c>
      <c r="B15" s="393" t="s">
        <v>214</v>
      </c>
      <c r="C15" s="389" t="s">
        <v>1</v>
      </c>
      <c r="D15" s="389" t="s">
        <v>1</v>
      </c>
      <c r="E15" s="389" t="s">
        <v>1</v>
      </c>
      <c r="F15" s="389" t="s">
        <v>1</v>
      </c>
      <c r="G15" s="389" t="s">
        <v>1</v>
      </c>
      <c r="H15" s="389" t="s">
        <v>1</v>
      </c>
      <c r="I15" s="389" t="s">
        <v>1</v>
      </c>
      <c r="J15" s="389" t="s">
        <v>1</v>
      </c>
      <c r="K15" s="389" t="s">
        <v>1</v>
      </c>
      <c r="L15" s="389" t="s">
        <v>1</v>
      </c>
      <c r="M15" s="389" t="s">
        <v>1</v>
      </c>
      <c r="N15" s="389">
        <v>70581</v>
      </c>
      <c r="O15" s="389">
        <v>125840</v>
      </c>
      <c r="P15" s="389">
        <v>166824</v>
      </c>
      <c r="Q15" s="389">
        <v>222324</v>
      </c>
      <c r="R15" s="389">
        <v>288301</v>
      </c>
      <c r="S15" s="389">
        <v>368446</v>
      </c>
      <c r="T15" s="389">
        <v>313019.90000000002</v>
      </c>
      <c r="U15" s="389">
        <v>335044.09999999998</v>
      </c>
      <c r="V15" s="389">
        <v>364704.9</v>
      </c>
      <c r="W15" s="389">
        <v>453522.2</v>
      </c>
      <c r="X15" s="389">
        <v>458351.7</v>
      </c>
      <c r="Y15" s="389">
        <v>371525</v>
      </c>
      <c r="Z15" s="389">
        <v>394614.7</v>
      </c>
      <c r="AA15" s="389">
        <v>400368</v>
      </c>
      <c r="AB15" s="395">
        <v>413000.8</v>
      </c>
      <c r="AC15" s="395">
        <v>436538.5</v>
      </c>
      <c r="AD15" s="401" t="s">
        <v>76</v>
      </c>
      <c r="AE15" s="401">
        <v>490621.9</v>
      </c>
      <c r="AF15" s="395">
        <v>536507.1</v>
      </c>
      <c r="AG15" s="395">
        <v>593505.6</v>
      </c>
      <c r="AH15" s="401">
        <v>620628.1</v>
      </c>
      <c r="AI15" s="402">
        <v>685844.8</v>
      </c>
      <c r="AJ15" s="781" t="s">
        <v>398</v>
      </c>
      <c r="AK15" s="405" t="s">
        <v>509</v>
      </c>
      <c r="AL15" s="877" t="s">
        <v>467</v>
      </c>
      <c r="AM15" s="882" t="s">
        <v>476</v>
      </c>
      <c r="AN15" s="881">
        <v>198275.7</v>
      </c>
      <c r="AO15" s="881">
        <v>265211.3</v>
      </c>
      <c r="AP15" s="913">
        <v>332099</v>
      </c>
      <c r="AQ15" s="952">
        <v>402399.6</v>
      </c>
      <c r="AR15" s="1037">
        <v>469923.4</v>
      </c>
    </row>
    <row r="16" spans="1:44" s="15" customFormat="1">
      <c r="A16" s="394" t="s">
        <v>383</v>
      </c>
      <c r="B16" s="393" t="s">
        <v>74</v>
      </c>
      <c r="C16" s="389" t="s">
        <v>1</v>
      </c>
      <c r="D16" s="389" t="s">
        <v>1</v>
      </c>
      <c r="E16" s="389" t="s">
        <v>1</v>
      </c>
      <c r="F16" s="389" t="s">
        <v>1</v>
      </c>
      <c r="G16" s="389" t="s">
        <v>1</v>
      </c>
      <c r="H16" s="389" t="s">
        <v>1</v>
      </c>
      <c r="I16" s="389" t="s">
        <v>1</v>
      </c>
      <c r="J16" s="389" t="s">
        <v>1</v>
      </c>
      <c r="K16" s="389" t="s">
        <v>1</v>
      </c>
      <c r="L16" s="389" t="s">
        <v>1</v>
      </c>
      <c r="M16" s="389" t="s">
        <v>1</v>
      </c>
      <c r="N16" s="395">
        <v>118.7</v>
      </c>
      <c r="O16" s="389">
        <v>125.8</v>
      </c>
      <c r="P16" s="389">
        <v>130</v>
      </c>
      <c r="Q16" s="389">
        <v>135.9</v>
      </c>
      <c r="R16" s="389">
        <v>130.4</v>
      </c>
      <c r="S16" s="389">
        <v>134.5</v>
      </c>
      <c r="T16" s="389">
        <v>113</v>
      </c>
      <c r="U16" s="389">
        <v>105.4</v>
      </c>
      <c r="V16" s="389">
        <v>101</v>
      </c>
      <c r="W16" s="389">
        <v>129.80000000000001</v>
      </c>
      <c r="X16" s="389">
        <v>104.8</v>
      </c>
      <c r="Y16" s="389">
        <v>121.4</v>
      </c>
      <c r="Z16" s="389">
        <v>111.9</v>
      </c>
      <c r="AA16" s="389">
        <v>101.7</v>
      </c>
      <c r="AB16" s="395">
        <v>103.5</v>
      </c>
      <c r="AC16" s="395">
        <v>105.1</v>
      </c>
      <c r="AD16" s="395">
        <v>99.7</v>
      </c>
      <c r="AE16" s="401" t="s">
        <v>80</v>
      </c>
      <c r="AF16" s="395">
        <v>107.8</v>
      </c>
      <c r="AG16" s="395">
        <v>109.8</v>
      </c>
      <c r="AH16" s="401">
        <v>104.2</v>
      </c>
      <c r="AI16" s="402">
        <v>102.3</v>
      </c>
      <c r="AJ16" s="780">
        <v>103.9</v>
      </c>
      <c r="AK16" s="319">
        <v>94.7</v>
      </c>
      <c r="AL16" s="877">
        <v>103.6</v>
      </c>
      <c r="AM16" s="783">
        <v>98.9</v>
      </c>
      <c r="AN16" s="783">
        <v>99</v>
      </c>
      <c r="AO16" s="783">
        <v>99.1</v>
      </c>
      <c r="AP16" s="913">
        <v>98.4</v>
      </c>
      <c r="AQ16" s="952">
        <v>98.5</v>
      </c>
      <c r="AR16" s="1037">
        <v>97.8</v>
      </c>
    </row>
    <row r="17" spans="1:44" s="15" customFormat="1">
      <c r="A17" s="394" t="s">
        <v>384</v>
      </c>
      <c r="B17" s="393" t="s">
        <v>74</v>
      </c>
      <c r="C17" s="390" t="s">
        <v>1</v>
      </c>
      <c r="D17" s="390" t="s">
        <v>1</v>
      </c>
      <c r="E17" s="390" t="s">
        <v>1</v>
      </c>
      <c r="F17" s="390" t="s">
        <v>1</v>
      </c>
      <c r="G17" s="390" t="s">
        <v>1</v>
      </c>
      <c r="H17" s="390" t="s">
        <v>1</v>
      </c>
      <c r="I17" s="390" t="s">
        <v>1</v>
      </c>
      <c r="J17" s="390" t="s">
        <v>1</v>
      </c>
      <c r="K17" s="390" t="s">
        <v>1</v>
      </c>
      <c r="L17" s="390" t="s">
        <v>1</v>
      </c>
      <c r="M17" s="390" t="s">
        <v>1</v>
      </c>
      <c r="N17" s="401" t="s">
        <v>1</v>
      </c>
      <c r="O17" s="390">
        <v>125.8</v>
      </c>
      <c r="P17" s="390">
        <v>163.54</v>
      </c>
      <c r="Q17" s="390">
        <v>222.25</v>
      </c>
      <c r="R17" s="390">
        <v>289.81</v>
      </c>
      <c r="S17" s="390">
        <v>389.8</v>
      </c>
      <c r="T17" s="390">
        <v>440.47</v>
      </c>
      <c r="U17" s="389">
        <v>464.26</v>
      </c>
      <c r="V17" s="389">
        <v>468.9</v>
      </c>
      <c r="W17" s="389">
        <v>608.63</v>
      </c>
      <c r="X17" s="390">
        <v>637.79999999999995</v>
      </c>
      <c r="Y17" s="390">
        <v>774.3</v>
      </c>
      <c r="Z17" s="390">
        <v>866.49</v>
      </c>
      <c r="AA17" s="390">
        <v>881.23</v>
      </c>
      <c r="AB17" s="395">
        <v>912.1</v>
      </c>
      <c r="AC17" s="395">
        <v>958.6</v>
      </c>
      <c r="AD17" s="395">
        <v>955.71</v>
      </c>
      <c r="AE17" s="401">
        <v>1000.63</v>
      </c>
      <c r="AF17" s="395">
        <v>1078.68</v>
      </c>
      <c r="AG17" s="395">
        <v>1184.3900000000001</v>
      </c>
      <c r="AH17" s="401">
        <v>1234.1300000000001</v>
      </c>
      <c r="AI17" s="404">
        <v>2176.1</v>
      </c>
      <c r="AJ17" s="781" t="s">
        <v>399</v>
      </c>
      <c r="AK17" s="405">
        <v>3521</v>
      </c>
      <c r="AL17" s="864" t="s">
        <v>510</v>
      </c>
      <c r="AM17" s="881">
        <v>3607.6306839999997</v>
      </c>
      <c r="AN17" s="900">
        <v>3571.5543771599996</v>
      </c>
      <c r="AO17" s="900">
        <v>3539.4103877655593</v>
      </c>
      <c r="AP17" s="914" t="s">
        <v>511</v>
      </c>
      <c r="AQ17" s="953">
        <v>3430.6</v>
      </c>
      <c r="AR17" s="1084">
        <v>3355.1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title</vt:lpstr>
      <vt:lpstr>demography</vt:lpstr>
      <vt:lpstr>work and standard of living</vt:lpstr>
      <vt:lpstr>grp</vt:lpstr>
      <vt:lpstr>industry</vt:lpstr>
      <vt:lpstr>agricultural industry </vt:lpstr>
      <vt:lpstr>construction</vt:lpstr>
      <vt:lpstr>trade</vt:lpstr>
      <vt:lpstr>transport and communication</vt:lpstr>
      <vt:lpstr>investments</vt:lpstr>
      <vt:lpstr>registers</vt:lpstr>
      <vt:lpstr>prices</vt:lpstr>
      <vt:lpstr>the science</vt:lpstr>
      <vt:lpstr>housing stock</vt:lpstr>
      <vt:lpstr>Лист8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F.Temirova</dc:creator>
  <cp:lastModifiedBy>Сакен Саттыбаев</cp:lastModifiedBy>
  <cp:lastPrinted>2019-09-13T11:15:53Z</cp:lastPrinted>
  <dcterms:created xsi:type="dcterms:W3CDTF">2014-06-20T03:42:26Z</dcterms:created>
  <dcterms:modified xsi:type="dcterms:W3CDTF">2026-08-18T11:28:32Z</dcterms:modified>
</cp:coreProperties>
</file>